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<sst xmlns="http://schemas.openxmlformats.org/spreadsheetml/2006/main" count="397" uniqueCount="89">
  <si>
    <t xml:space="preserve"> </t>
  </si>
  <si>
    <t>Month</t>
  </si>
  <si>
    <t>Values</t>
  </si>
  <si>
    <t>Grand Total</t>
  </si>
  <si>
    <t>Country</t>
  </si>
  <si>
    <t>Coupon</t>
  </si>
  <si>
    <t>Day</t>
  </si>
  <si>
    <t>COUNTA of Order id</t>
  </si>
  <si>
    <t>SUM of Subtotal $</t>
  </si>
  <si>
    <t>Bahrain</t>
  </si>
  <si>
    <t>BITS</t>
  </si>
  <si>
    <t>DB1</t>
  </si>
  <si>
    <t>DB3</t>
  </si>
  <si>
    <t>DB7</t>
  </si>
  <si>
    <t>DG10</t>
  </si>
  <si>
    <t>JM</t>
  </si>
  <si>
    <t>MIMI44</t>
  </si>
  <si>
    <t>MNN15</t>
  </si>
  <si>
    <t>MNN16</t>
  </si>
  <si>
    <t>MNN27</t>
  </si>
  <si>
    <t>NAA10</t>
  </si>
  <si>
    <t>ZM22</t>
  </si>
  <si>
    <t>Bahrain Total</t>
  </si>
  <si>
    <t>Kingdom of Saudi Arabia</t>
  </si>
  <si>
    <t>82WP58</t>
  </si>
  <si>
    <t>BCARE</t>
  </si>
  <si>
    <t>CC22</t>
  </si>
  <si>
    <t>DB12</t>
  </si>
  <si>
    <t>DB18</t>
  </si>
  <si>
    <t>DB22</t>
  </si>
  <si>
    <t>DB33</t>
  </si>
  <si>
    <t>DB6</t>
  </si>
  <si>
    <t>82WP58 Total</t>
  </si>
  <si>
    <t>DG3</t>
  </si>
  <si>
    <t>BCARE Total</t>
  </si>
  <si>
    <t>DG8</t>
  </si>
  <si>
    <t>BITS Total</t>
  </si>
  <si>
    <t>MNN17</t>
  </si>
  <si>
    <t>MNN37</t>
  </si>
  <si>
    <t>SA5</t>
  </si>
  <si>
    <t>URPAY</t>
  </si>
  <si>
    <t>WFR</t>
  </si>
  <si>
    <t>Kingdom of Saudi Arabia Total</t>
  </si>
  <si>
    <t>Kuwait</t>
  </si>
  <si>
    <t>CC22 Total</t>
  </si>
  <si>
    <t>DG2</t>
  </si>
  <si>
    <t>DG5</t>
  </si>
  <si>
    <t>FROZ</t>
  </si>
  <si>
    <t>HABIBI</t>
  </si>
  <si>
    <t>L50</t>
  </si>
  <si>
    <t>MNN19</t>
  </si>
  <si>
    <t>MNN26</t>
  </si>
  <si>
    <t>DB1 Total</t>
  </si>
  <si>
    <t>Kuwait Total</t>
  </si>
  <si>
    <t>UAE</t>
  </si>
  <si>
    <t>DB12 Total</t>
  </si>
  <si>
    <t>DB18 Total</t>
  </si>
  <si>
    <t>DB22 Total</t>
  </si>
  <si>
    <t>DG11</t>
  </si>
  <si>
    <t>DB3 Total</t>
  </si>
  <si>
    <t>RR22</t>
  </si>
  <si>
    <t>DB33 Total</t>
  </si>
  <si>
    <t>UAE Total</t>
  </si>
  <si>
    <t>DB6 Total</t>
  </si>
  <si>
    <t>DB7 Total</t>
  </si>
  <si>
    <t>DG10 Total</t>
  </si>
  <si>
    <t>DG11 Total</t>
  </si>
  <si>
    <t>DG2 Total</t>
  </si>
  <si>
    <t>DG3 Total</t>
  </si>
  <si>
    <t>DG5 Total</t>
  </si>
  <si>
    <t>DG8 Total</t>
  </si>
  <si>
    <t>FROZ Total</t>
  </si>
  <si>
    <t>HABIBI Total</t>
  </si>
  <si>
    <t>JM Total</t>
  </si>
  <si>
    <t>L50 Total</t>
  </si>
  <si>
    <t>MIMI44 Total</t>
  </si>
  <si>
    <t>MNN15 Total</t>
  </si>
  <si>
    <t>MNN16 Total</t>
  </si>
  <si>
    <t>MNN17 Total</t>
  </si>
  <si>
    <t>MNN19 Total</t>
  </si>
  <si>
    <t>MNN26 Total</t>
  </si>
  <si>
    <t>MNN27 Total</t>
  </si>
  <si>
    <t>MNN37 Total</t>
  </si>
  <si>
    <t>NAA10 Total</t>
  </si>
  <si>
    <t>RR22 Total</t>
  </si>
  <si>
    <t>SA5 Total</t>
  </si>
  <si>
    <t>URPAY Total</t>
  </si>
  <si>
    <t>WFR Total</t>
  </si>
  <si>
    <t>ZM22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</si>
</sst>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 mmm\,\ yyyy\ hh:mm:ss"/>
    <numFmt numFmtId="165" formatCode="0.###############"/>
    <numFmt numFmtId="166" formatCode="&quot;$&quot;#,##0.00"/>
    <numFmt numFmtId="167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724" sheet="Sheet1"/>
  </cacheSource>
  <cacheFields>
    <cacheField name="Order Date (Full date)" numFmtId="167">
      <sharedItems containsDate="1" containsString="0" containsBlank="1">
        <d v="2025-02-20T19:16:06Z"/>
        <d v="2025-02-26T08:08:49Z"/>
        <d v="2025-03-04T14:39:02Z"/>
        <d v="2025-03-04T16:37:34Z"/>
        <d v="2025-03-05T19:02:02Z"/>
        <d v="2025-03-06T04:04:49Z"/>
        <d v="2025-03-06T07:56:14Z"/>
        <d v="2025-03-06T10:40:03Z"/>
        <d v="2025-03-06T13:58:40Z"/>
        <d v="2025-03-06T16:18:07Z"/>
        <d v="2025-03-06T19:11:20Z"/>
        <d v="2025-03-07T17:39:19Z"/>
        <d v="2025-03-08T00:28:34Z"/>
        <d v="2025-03-08T15:47:13Z"/>
        <d v="2025-03-08T18:00:23Z"/>
        <d v="2025-03-09T10:20:45Z"/>
        <d v="2025-03-09T12:37:42Z"/>
        <d v="2025-03-09T14:03:27Z"/>
        <d v="2025-03-09T17:55:18Z"/>
        <d v="2025-03-09T21:36:49Z"/>
        <d v="2025-03-09T23:51:12Z"/>
        <d v="2025-03-10T10:49:41Z"/>
        <d v="2025-03-10T12:31:21Z"/>
        <d v="2025-03-10T19:02:49Z"/>
        <d v="2025-03-10T19:45:27Z"/>
        <d v="2025-03-10T21:58:14Z"/>
        <d v="2025-03-11T01:17:39Z"/>
        <d v="2025-03-11T12:11:22Z"/>
        <d v="2025-03-11T23:07:15Z"/>
        <d v="2025-03-11T23:59:59Z"/>
        <d v="2025-03-12T05:29:37Z"/>
        <d v="2025-03-12T08:06:09Z"/>
        <d v="2025-03-12T13:55:15Z"/>
        <d v="2025-03-12T14:49:16Z"/>
        <d v="2025-03-12T18:41:02Z"/>
        <d v="2025-03-12T19:36:58Z"/>
        <d v="2025-03-13T07:49:44Z"/>
        <d v="2025-03-13T08:12:46Z"/>
        <d v="2025-03-13T09:50:18Z"/>
        <d v="2025-03-13T17:44:31Z"/>
        <d v="2025-03-13T22:59:06Z"/>
        <d v="2025-03-13T23:52:21Z"/>
        <d v="2025-03-14T05:53:40Z"/>
        <d v="2025-03-14T07:55:28Z"/>
        <d v="2025-03-14T08:28:38Z"/>
        <d v="2025-03-14T08:44:29Z"/>
        <d v="2025-03-14T11:30:54Z"/>
        <d v="2025-03-14T11:42:38Z"/>
        <d v="2025-03-14T12:54:42Z"/>
        <d v="2025-03-14T16:06:12Z"/>
        <d v="2025-03-14T20:20:31Z"/>
        <d v="2025-03-14T21:02:06Z"/>
        <d v="2025-03-14T23:54:15Z"/>
        <d v="2025-03-15T01:18:40Z"/>
        <d v="2025-03-15T12:04:40Z"/>
        <d v="2025-03-15T15:13:50Z"/>
        <d v="2025-03-15T15:16:03Z"/>
        <d v="2025-03-15T16:09:23Z"/>
        <d v="2025-03-15T20:02:35Z"/>
        <d v="2025-03-16T18:43:30Z"/>
        <d v="2025-03-16T18:51:53Z"/>
        <d v="2025-03-17T00:17:14Z"/>
        <d v="2025-03-17T11:07:50Z"/>
        <d v="2025-03-17T13:45:09Z"/>
        <d v="2025-03-17T21:26:16Z"/>
        <d v="2025-03-17T22:31:34Z"/>
        <d v="2025-03-18T01:19:56Z"/>
        <d v="2025-03-18T12:16:26Z"/>
        <d v="2025-03-18T12:43:46Z"/>
        <d v="2025-03-18T14:35:58Z"/>
        <d v="2025-03-18T17:34:29Z"/>
        <d v="2025-03-18T17:40:48Z"/>
        <d v="2025-03-18T17:58:13Z"/>
        <d v="2025-03-19T02:40:20Z"/>
        <d v="2025-03-19T04:10:05Z"/>
        <d v="2025-03-19T04:51:21Z"/>
        <d v="2025-03-19T06:07:49Z"/>
        <d v="2025-03-19T13:08:31Z"/>
        <d v="2025-03-19T17:59:41Z"/>
        <d v="2025-03-19T19:24:02Z"/>
        <d v="2025-03-19T20:21:03Z"/>
        <d v="2025-03-19T21:10:21Z"/>
        <d v="2025-03-19T21:42:52Z"/>
        <d v="2025-03-19T23:45:11Z"/>
        <d v="2025-03-20T07:53:55Z"/>
        <d v="2025-03-20T10:21:32Z"/>
        <d v="2025-03-20T16:48:05Z"/>
        <d v="2025-03-20T17:15:31Z"/>
        <d v="2025-03-20T23:02:00Z"/>
        <d v="2025-03-20T23:35:21Z"/>
        <d v="2025-03-21T00:09:52Z"/>
        <d v="2025-03-21T00:53:41Z"/>
        <d v="2025-03-21T01:55:55Z"/>
        <d v="2025-03-21T10:07:15Z"/>
        <d v="2025-03-21T17:37:03Z"/>
        <d v="2025-03-21T18:16:06Z"/>
        <d v="2025-03-21T21:16:18Z"/>
        <d v="2025-03-21T21:29:39Z"/>
        <d v="2025-03-21T22:01:45Z"/>
        <d v="2025-03-21T23:04:07Z"/>
        <d v="2025-03-22T04:28:40Z"/>
        <d v="2025-03-22T13:55:18Z"/>
        <d v="2025-03-22T15:29:23Z"/>
        <d v="2025-03-22T16:28:08Z"/>
        <d v="2025-03-22T17:45:46Z"/>
        <d v="2025-03-22T21:10:54Z"/>
        <d v="2025-03-22T22:08:28Z"/>
        <d v="2025-03-23T00:19:14Z"/>
        <d v="2025-03-23T01:11:04Z"/>
        <d v="2025-03-23T07:04:32Z"/>
        <d v="2025-03-23T09:03:31Z"/>
        <d v="2025-03-23T10:25:51Z"/>
        <d v="2025-03-23T11:56:40Z"/>
        <d v="2025-03-23T12:20:16Z"/>
        <d v="2025-03-23T13:03:52Z"/>
        <d v="2025-03-23T13:47:45Z"/>
        <d v="2025-03-23T15:19:17Z"/>
        <d v="2025-03-23T16:28:57Z"/>
        <d v="2025-03-23T18:05:18Z"/>
        <d v="2025-03-23T19:28:41Z"/>
        <d v="2025-03-23T20:03:04Z"/>
        <d v="2025-03-23T21:14:11Z"/>
        <d v="2025-03-24T01:09:21Z"/>
        <d v="2025-03-24T03:34:46Z"/>
        <d v="2025-03-24T05:16:03Z"/>
        <d v="2025-03-24T08:57:08Z"/>
        <d v="2025-03-24T12:58:55Z"/>
        <d v="2025-03-24T14:10:15Z"/>
        <d v="2025-03-24T14:24:10Z"/>
        <d v="2025-03-24T16:02:12Z"/>
        <d v="2025-03-24T16:40:03Z"/>
        <d v="2025-03-24T20:36:01Z"/>
        <d v="2025-03-25T00:44:08Z"/>
        <d v="2025-03-25T02:31:41Z"/>
        <d v="2025-03-25T11:11:43Z"/>
        <d v="2025-03-25T11:39:45Z"/>
        <d v="2025-03-25T11:59:18Z"/>
        <d v="2025-03-25T12:58:58Z"/>
        <d v="2025-03-25T13:07:33Z"/>
        <d v="2025-03-25T13:12:01Z"/>
        <d v="2025-03-25T15:34:27Z"/>
        <d v="2025-03-25T16:41:25Z"/>
        <d v="2025-03-25T17:07:06Z"/>
        <d v="2025-03-25T17:25:07Z"/>
        <d v="2025-03-25T18:10:08Z"/>
        <d v="2025-03-25T19:57:26Z"/>
        <d v="2025-03-25T20:25:25Z"/>
        <d v="2025-03-25T21:12:02Z"/>
        <d v="2025-03-25T23:29:17Z"/>
        <d v="2025-03-26T01:34:41Z"/>
        <d v="2025-03-26T03:06:57Z"/>
        <d v="2025-03-26T04:43:52Z"/>
        <d v="2025-03-26T09:33:30Z"/>
        <d v="2025-03-26T13:51:37Z"/>
        <d v="2025-03-26T13:56:37Z"/>
        <d v="2025-03-26T16:54:43Z"/>
        <d v="2025-03-26T18:38:37Z"/>
        <d v="2025-03-26T18:43:23Z"/>
        <d v="2025-03-26T19:47:39Z"/>
        <d v="2025-03-26T20:57:28Z"/>
        <d v="2025-03-26T21:33:53Z"/>
        <d v="2025-03-27T00:36:45Z"/>
        <d v="2025-03-27T00:52:41Z"/>
        <d v="2025-03-27T00:53:49Z"/>
        <d v="2025-03-27T02:16:15Z"/>
        <d v="2025-03-27T02:21:21Z"/>
        <d v="2025-03-27T03:37:49Z"/>
        <d v="2025-03-27T04:50:55Z"/>
        <d v="2025-03-27T08:07:15Z"/>
        <d v="2025-03-27T11:31:38Z"/>
        <d v="2025-03-27T15:37:21Z"/>
        <d v="2025-03-27T16:28:08Z"/>
        <d v="2025-03-27T17:05:12Z"/>
        <d v="2025-03-27T17:10:39Z"/>
        <d v="2025-03-27T17:23:59Z"/>
        <d v="2025-03-27T18:56:09Z"/>
        <d v="2025-03-27T19:42:04Z"/>
        <d v="2025-03-27T19:53:49Z"/>
        <d v="2025-03-27T22:09:57Z"/>
        <d v="2025-03-27T22:18:44Z"/>
        <d v="2025-03-27T23:19:33Z"/>
        <d v="2025-03-28T01:23:20Z"/>
        <d v="2025-03-28T02:36:23Z"/>
        <d v="2025-03-28T02:52:30Z"/>
        <d v="2025-03-28T04:34:00Z"/>
        <d v="2025-03-28T05:16:06Z"/>
        <d v="2025-03-28T09:14:36Z"/>
        <d v="2025-03-28T12:27:38Z"/>
        <d v="2025-03-28T13:07:56Z"/>
        <d v="2025-03-28T14:10:46Z"/>
        <d v="2025-03-28T14:29:35Z"/>
        <d v="2025-03-28T17:08:34Z"/>
        <d v="2025-03-28T17:30:33Z"/>
        <d v="2025-03-28T17:57:55Z"/>
        <d v="2025-03-28T18:22:55Z"/>
        <d v="2025-03-28T18:46:10Z"/>
        <d v="2025-03-28T21:40:56Z"/>
        <d v="2025-03-28T23:09:24Z"/>
        <d v="2025-03-29T12:27:40Z"/>
        <d v="2025-03-29T12:53:23Z"/>
        <d v="2025-03-29T12:54:48Z"/>
        <d v="2025-03-29T14:26:00Z"/>
        <d v="2025-03-29T15:36:50Z"/>
        <d v="2025-03-29T20:01:22Z"/>
        <d v="2025-03-29T22:07:14Z"/>
        <d v="2025-03-30T07:09:28Z"/>
        <d v="2025-03-30T08:49:44Z"/>
        <d v="2025-03-31T04:11:16Z"/>
        <d v="2025-03-31T05:18:07Z"/>
        <d v="2025-03-31T10:24:18Z"/>
        <d v="2025-03-31T11:43:46Z"/>
        <d v="2025-03-31T22:21:53Z"/>
        <d v="2025-04-01T01:23:50Z"/>
        <d v="2025-04-01T14:30:07Z"/>
        <d v="2025-04-01T19:27:42Z"/>
        <d v="2025-04-01T23:42:29Z"/>
        <d v="2025-04-02T17:27:19Z"/>
        <d v="2025-04-02T17:33:13Z"/>
        <d v="2025-04-02T19:04:19Z"/>
        <d v="2025-04-02T20:31:06Z"/>
        <d v="2025-04-02T20:44:51Z"/>
        <d v="2025-04-02T21:08:24Z"/>
        <d v="2025-04-02T21:48:26Z"/>
        <d v="2025-04-02T22:23:14Z"/>
        <d v="2025-04-02T23:35:41Z"/>
        <d v="2025-04-03T05:30:54Z"/>
        <d v="2025-04-03T05:59:26Z"/>
        <d v="2025-04-03T12:55:12Z"/>
        <d v="2025-04-03T13:45:03Z"/>
        <d v="2025-04-03T19:43:02Z"/>
        <d v="2025-04-03T20:22:32Z"/>
        <d v="2025-04-03T21:52:09Z"/>
        <d v="2025-04-04T01:35:18Z"/>
        <d v="2025-04-04T01:50:28Z"/>
        <d v="2025-04-04T08:58:45Z"/>
        <d v="2025-04-04T11:48:09Z"/>
        <d v="2025-04-04T11:51:55Z"/>
        <d v="2025-04-04T14:12:45Z"/>
        <d v="2025-04-04T14:24:19Z"/>
        <d v="2025-04-04T15:37:29Z"/>
        <d v="2025-04-04T15:43:18Z"/>
        <d v="2025-04-04T21:03:38Z"/>
        <d v="2025-04-05T11:51:06Z"/>
        <d v="2025-04-05T15:00:13Z"/>
        <d v="2025-04-05T16:48:08Z"/>
        <d v="2025-04-05T18:50:43Z"/>
        <d v="2025-04-05T21:51:24Z"/>
        <d v="2025-04-06T18:05:07Z"/>
        <d v="2025-04-06T21:13:06Z"/>
        <d v="2025-04-07T11:23:05Z"/>
        <d v="2025-04-07T13:39:25Z"/>
        <d v="2025-04-07T13:48:12Z"/>
        <d v="2025-04-08T04:19:22Z"/>
        <d v="2025-04-08T12:30:48Z"/>
        <d v="2025-04-08T13:42:13Z"/>
        <d v="2025-04-08T19:17:32Z"/>
        <d v="2025-04-08T20:35:13Z"/>
        <d v="2025-04-08T20:47:42Z"/>
        <d v="2025-04-08T23:10:11Z"/>
        <d v="2025-04-09T00:28:26Z"/>
        <d v="2025-04-09T06:07:13Z"/>
        <d v="2025-04-09T06:28:54Z"/>
        <d v="2025-04-09T11:08:02Z"/>
        <d v="2025-04-09T14:17:22Z"/>
        <d v="2025-04-09T16:20:48Z"/>
        <d v="2025-04-09T17:06:58Z"/>
        <d v="2025-04-09T17:12:05Z"/>
        <d v="2025-04-09T21:06:30Z"/>
        <d v="2025-04-09T21:17:11Z"/>
        <d v="2025-04-10T03:37:42Z"/>
        <d v="2025-04-10T08:46:00Z"/>
        <d v="2025-04-10T09:41:24Z"/>
        <d v="2025-04-10T09:53:52Z"/>
        <d v="2025-04-10T10:01:55Z"/>
        <d v="2025-04-10T12:55:26Z"/>
        <d v="2025-04-10T16:10:37Z"/>
        <d v="2025-04-10T17:05:28Z"/>
        <d v="2025-04-10T17:23:56Z"/>
        <d v="2025-04-10T19:41:50Z"/>
        <d v="2025-04-10T19:57:07Z"/>
        <d v="2025-04-10T20:34:59Z"/>
        <d v="2025-04-10T22:02:04Z"/>
        <d v="2025-04-11T09:19:24Z"/>
        <d v="2025-04-11T18:21:05Z"/>
        <d v="2025-04-11T18:54:33Z"/>
        <d v="2025-04-12T10:08:26Z"/>
        <d v="2025-04-12T16:24:32Z"/>
        <d v="2025-04-13T05:27:58Z"/>
        <d v="2025-04-13T06:05:21Z"/>
        <d v="2025-04-13T09:42:29Z"/>
        <d v="2025-04-13T12:39:40Z"/>
        <d v="2025-04-14T10:46:16Z"/>
        <d v="2025-04-14T13:45:29Z"/>
        <d v="2025-04-14T16:09:00Z"/>
        <d v="2025-04-14T19:04:33Z"/>
        <d v="2025-04-14T23:05:32Z"/>
        <d v="2025-04-15T15:34:42Z"/>
        <d v="2025-04-15T18:34:53Z"/>
        <d v="2025-04-15T18:41:56Z"/>
        <d v="2025-04-16T10:40:03Z"/>
        <d v="2025-04-16T11:29:43Z"/>
        <d v="2025-04-16T12:17:12Z"/>
        <d v="2025-04-16T14:57:56Z"/>
        <d v="2025-04-17T14:52:23Z"/>
        <d v="2025-04-18T12:43:17Z"/>
        <d v="2025-04-18T19:30:04Z"/>
        <d v="2025-04-19T15:32:36Z"/>
        <d v="2025-04-19T17:24:12Z"/>
        <d v="2025-04-19T19:41:33Z"/>
        <d v="2025-04-19T22:16:39Z"/>
        <d v="2025-04-20T04:22:18Z"/>
        <d v="2025-04-20T04:49:28Z"/>
        <d v="2025-04-20T08:35:49Z"/>
        <d v="2025-04-20T14:10:50Z"/>
        <d v="2025-04-21T00:13:52Z"/>
        <d v="2025-04-21T12:48:28Z"/>
        <d v="2025-04-21T16:43:41Z"/>
        <d v="2025-04-21T18:24:02Z"/>
        <d v="2025-04-21T21:05:16Z"/>
        <d v="2025-04-22T04:57:59Z"/>
        <d v="2025-04-22T10:49:31Z"/>
        <d v="2025-04-22T13:28:10Z"/>
        <d v="2025-04-22T18:52:04Z"/>
        <d v="2025-04-22T19:27:08Z"/>
        <d v="2025-04-22T19:47:56Z"/>
        <d v="2025-04-23T10:09:22Z"/>
        <d v="2025-04-23T10:13:25Z"/>
        <d v="2025-04-23T11:07:44Z"/>
        <d v="2025-04-23T11:27:20Z"/>
        <d v="2025-04-23T11:43:00Z"/>
        <d v="2025-04-23T11:56:04Z"/>
        <d v="2025-04-23T13:00:00Z"/>
        <d v="2025-04-23T13:05:34Z"/>
        <d v="2025-04-23T14:15:25Z"/>
        <d v="2025-04-23T18:49:30Z"/>
        <d v="2025-04-24T00:19:35Z"/>
        <d v="2025-04-24T05:13:36Z"/>
        <d v="2025-04-24T10:56:05Z"/>
        <d v="2025-04-24T11:51:01Z"/>
        <d v="2025-04-24T17:14:15Z"/>
        <d v="2025-04-24T17:41:52Z"/>
        <d v="2025-04-25T08:17:49Z"/>
        <d v="2025-04-25T10:05:44Z"/>
        <d v="2025-04-25T11:38:08Z"/>
        <d v="2025-04-25T12:12:47Z"/>
        <d v="2025-04-25T15:55:03Z"/>
        <d v="2025-04-26T11:27:14Z"/>
        <d v="2025-04-26T16:35:27Z"/>
        <d v="2025-04-26T21:57:54Z"/>
        <d v="2025-04-26T22:02:32Z"/>
        <d v="2025-04-27T15:46:36Z"/>
        <d v="2025-04-27T16:41:41Z"/>
        <d v="2025-04-27T17:04:15Z"/>
        <d v="2025-04-27T20:13:38Z"/>
        <d v="2025-04-28T00:47:44Z"/>
        <d v="2025-04-28T10:14:18Z"/>
        <d v="2025-04-28T10:15:31Z"/>
        <d v="2025-04-28T10:57:18Z"/>
        <d v="2025-04-29T05:34:42Z"/>
        <d v="2025-04-29T08:37:18Z"/>
        <d v="2025-04-29T08:53:25Z"/>
        <d v="2025-04-29T17:03:58Z"/>
        <d v="2025-04-30T17:22:21Z"/>
        <d v="2025-04-30T18:34:56Z"/>
        <d v="2025-04-30T18:56:21Z"/>
        <d v="2025-04-30T22:43:11Z"/>
        <d v="2025-05-01T15:20:16Z"/>
        <d v="2025-05-02T01:30:07Z"/>
        <d v="2025-05-02T10:05:10Z"/>
        <d v="2025-05-02T12:15:59Z"/>
        <d v="2025-05-02T16:55:54Z"/>
        <d v="2025-05-03T01:12:00Z"/>
        <d v="2025-05-04T09:20:29Z"/>
        <d v="2025-05-04T18:03:20Z"/>
        <d v="2025-05-05T10:10:19Z"/>
        <d v="2025-05-05T12:47:25Z"/>
        <d v="2025-05-06T08:48:10Z"/>
        <d v="2025-05-06T12:54:49Z"/>
        <d v="2025-05-07T10:59:03Z"/>
        <d v="2025-05-08T08:28:34Z"/>
        <d v="2025-05-08T10:21:51Z"/>
        <d v="2025-05-08T11:44:23Z"/>
        <d v="2025-05-08T11:52:16Z"/>
        <d v="2025-05-08T14:15:23Z"/>
        <d v="2025-05-08T16:10:10Z"/>
        <d v="2025-05-08T17:28:58Z"/>
        <d v="2025-05-08T18:04:56Z"/>
        <d v="2025-05-08T19:15:26Z"/>
        <d v="2025-05-09T09:33:50Z"/>
        <d v="2025-05-09T11:11:16Z"/>
        <d v="2025-05-10T01:18:25Z"/>
        <d v="2025-05-10T15:13:16Z"/>
        <d v="2025-05-10T17:23:03Z"/>
        <d v="2025-05-10T19:11:43Z"/>
        <d v="2025-05-11T06:41:03Z"/>
        <d v="2025-05-11T12:46:19Z"/>
        <d v="2025-05-11T13:26:40Z"/>
        <d v="2025-05-12T14:24:27Z"/>
        <d v="2025-05-12T15:20:35Z"/>
        <d v="2025-05-13T06:02:16Z"/>
        <d v="2025-05-13T14:13:26Z"/>
        <d v="2025-05-13T17:04:12Z"/>
        <d v="2025-05-13T18:12:21Z"/>
        <d v="2025-05-13T18:45:15Z"/>
        <d v="2025-05-13T19:51:36Z"/>
        <d v="2025-05-13T22:12:32Z"/>
        <d v="2025-05-14T07:57:03Z"/>
        <d v="2025-05-14T09:51:48Z"/>
        <d v="2025-05-14T10:27:24Z"/>
        <d v="2025-05-14T10:44:08Z"/>
        <d v="2025-05-14T11:00:51Z"/>
        <d v="2025-05-14T17:54:33Z"/>
        <d v="2025-05-14T17:56:53Z"/>
        <d v="2025-05-14T20:59:55Z"/>
        <d v="2025-05-15T03:18:17Z"/>
        <d v="2025-05-15T07:31:34Z"/>
        <d v="2025-05-15T11:00:12Z"/>
        <d v="2025-05-15T15:49:54Z"/>
        <d v="2025-05-15T23:09:07Z"/>
        <d v="2025-05-16T08:51:20Z"/>
        <d v="2025-05-16T10:46:28Z"/>
        <d v="2025-05-16T21:19:39Z"/>
        <d v="2025-05-17T08:39:35Z"/>
        <d v="2025-05-18T03:37:41Z"/>
        <d v="2025-05-18T05:33:21Z"/>
        <d v="2025-05-18T07:10:03Z"/>
        <d v="2025-05-18T10:18:55Z"/>
        <d v="2025-05-18T12:34:36Z"/>
        <d v="2025-05-18T12:48:19Z"/>
        <d v="2025-05-18T13:08:42Z"/>
        <d v="2025-05-19T04:23:41Z"/>
        <d v="2025-05-19T04:58:28Z"/>
        <d v="2025-05-19T11:14:11Z"/>
        <d v="2025-05-19T12:45:58Z"/>
        <d v="2025-05-19T13:51:43Z"/>
        <d v="2025-05-19T15:44:17Z"/>
        <d v="2025-05-19T16:30:31Z"/>
        <d v="2025-05-19T16:43:10Z"/>
        <d v="2025-05-19T16:49:37Z"/>
        <d v="2025-05-20T01:03:21Z"/>
        <d v="2025-05-20T07:43:52Z"/>
        <d v="2025-05-20T08:19:23Z"/>
        <d v="2025-05-20T12:10:01Z"/>
        <d v="2025-05-20T15:20:10Z"/>
        <d v="2025-05-20T15:28:39Z"/>
        <d v="2025-05-20T21:27:28Z"/>
        <d v="2025-05-20T22:17:16Z"/>
        <d v="2025-05-21T01:20:24Z"/>
        <d v="2025-05-21T06:32:22Z"/>
        <d v="2025-05-21T08:39:34Z"/>
        <d v="2025-05-21T10:55:00Z"/>
        <d v="2025-05-21T12:30:23Z"/>
        <d v="2025-05-21T13:29:44Z"/>
        <d v="2025-05-21T14:09:03Z"/>
        <d v="2025-05-21T14:40:34Z"/>
        <d v="2025-05-21T16:49:22Z"/>
        <d v="2025-05-23T08:30:44Z"/>
        <d v="2025-05-23T20:06:18Z"/>
        <d v="2025-05-24T14:15:44Z"/>
        <d v="2025-05-24T14:40:10Z"/>
        <d v="2025-05-24T17:00:44Z"/>
        <d v="2025-05-24T17:48:17Z"/>
        <d v="2025-05-24T18:34:52Z"/>
        <d v="2025-05-25T13:20:56Z"/>
        <d v="2025-05-25T16:24:11Z"/>
        <d v="2025-05-25T20:04:00Z"/>
        <d v="2025-05-25T20:42:41Z"/>
        <d v="2025-05-26T02:40:35Z"/>
        <d v="2025-05-26T04:47:53Z"/>
        <d v="2025-05-26T07:42:39Z"/>
        <d v="2025-05-26T11:10:01Z"/>
        <d v="2025-05-26T12:47:41Z"/>
        <d v="2025-05-26T15:06:43Z"/>
        <d v="2025-05-26T15:40:14Z"/>
        <d v="2025-05-26T19:15:15Z"/>
        <d v="2025-05-27T07:28:08Z"/>
        <d v="2025-05-27T07:49:14Z"/>
        <d v="2025-05-27T09:27:40Z"/>
        <d v="2025-05-27T09:43:36Z"/>
        <d v="2025-05-27T15:05:02Z"/>
        <d v="2025-05-27T15:35:20Z"/>
        <d v="2025-05-27T15:58:12Z"/>
        <d v="2025-05-27T19:59:01Z"/>
        <d v="2025-05-27T20:18:25Z"/>
        <d v="2025-05-27T22:45:57Z"/>
        <d v="2025-05-28T00:56:01Z"/>
        <d v="2025-05-28T04:23:15Z"/>
        <d v="2025-05-28T07:26:52Z"/>
        <d v="2025-05-28T11:29:00Z"/>
        <d v="2025-05-28T12:44:26Z"/>
        <d v="2025-05-28T13:22:28Z"/>
        <d v="2025-05-28T14:54:13Z"/>
        <d v="2025-05-28T15:06:11Z"/>
        <d v="2025-05-28T15:36:34Z"/>
        <d v="2025-05-28T15:50:36Z"/>
        <d v="2025-05-28T16:50:47Z"/>
        <d v="2025-05-28T23:19:27Z"/>
        <d v="2025-05-29T07:48:45Z"/>
        <d v="2025-05-29T09:47:26Z"/>
        <d v="2025-05-29T10:50:27Z"/>
        <d v="2025-05-29T11:04:27Z"/>
        <d v="2025-05-29T11:05:53Z"/>
        <d v="2025-05-29T14:28:15Z"/>
        <d v="2025-05-29T19:40:22Z"/>
        <d v="2025-05-29T19:45:48Z"/>
        <d v="2025-05-29T20:38:53Z"/>
        <d v="2025-05-29T22:15:42Z"/>
        <d v="2025-05-29T23:06:56Z"/>
        <d v="2025-05-30T00:10:15Z"/>
        <d v="2025-05-30T02:04:55Z"/>
        <d v="2025-05-30T05:00:04Z"/>
        <d v="2025-05-30T07:07:19Z"/>
        <d v="2025-05-30T08:42:34Z"/>
        <d v="2025-05-30T09:06:47Z"/>
        <d v="2025-05-30T10:03:07Z"/>
        <d v="2025-05-30T11:48:36Z"/>
        <d v="2025-05-30T13:48:57Z"/>
        <d v="2025-05-30T15:43:20Z"/>
        <d v="2025-05-30T17:28:51Z"/>
        <d v="2025-05-30T19:58:52Z"/>
        <d v="2025-05-30T20:12:18Z"/>
        <d v="2025-05-30T23:37:15Z"/>
        <d v="2025-05-30T23:43:15Z"/>
        <d v="2025-05-31T08:12:21Z"/>
        <d v="2025-05-31T09:09:59Z"/>
        <d v="2025-05-31T09:11:52Z"/>
        <d v="2025-05-31T09:16:04Z"/>
        <d v="2025-05-31T09:31:23Z"/>
        <d v="2025-05-31T11:14:11Z"/>
        <d v="2025-05-31T12:20:59Z"/>
        <d v="2025-05-31T12:35:12Z"/>
        <d v="2025-05-31T18:45:33Z"/>
        <d v="2025-05-31T21:58:09Z"/>
        <d v="2025-06-01T00:11:09Z"/>
        <d v="2025-06-01T01:49:48Z"/>
        <d v="2025-06-01T05:14:49Z"/>
        <d v="2025-06-01T05:51:57Z"/>
        <d v="2025-06-01T08:53:25Z"/>
        <d v="2025-06-01T11:26:18Z"/>
        <d v="2025-06-01T13:47:06Z"/>
        <d v="2025-06-01T15:32:57Z"/>
        <d v="2025-06-01T15:41:59Z"/>
        <d v="2025-06-01T17:27:07Z"/>
        <d v="2025-06-01T17:28:37Z"/>
        <d v="2025-06-01T19:04:57Z"/>
        <d v="2025-06-01T22:11:08Z"/>
        <d v="2025-06-02T08:27:57Z"/>
        <d v="2025-06-02T11:07:49Z"/>
        <d v="2025-06-02T12:29:50Z"/>
        <d v="2025-06-02T13:01:27Z"/>
        <d v="2025-06-02T13:32:30Z"/>
        <d v="2025-06-02T13:53:08Z"/>
        <d v="2025-06-02T14:35:34Z"/>
        <d v="2025-06-02T15:00:01Z"/>
        <d v="2025-06-02T17:05:36Z"/>
        <d v="2025-06-02T19:28:31Z"/>
        <d v="2025-06-02T20:33:48Z"/>
        <d v="2025-06-03T07:07:22Z"/>
        <d v="2025-06-03T12:55:21Z"/>
        <d v="2025-06-03T20:24:13Z"/>
        <d v="2025-06-04T01:16:21Z"/>
        <d v="2025-06-04T02:32:24Z"/>
        <d v="2025-06-04T09:06:22Z"/>
        <d v="2025-06-04T18:55:12Z"/>
        <d v="2025-06-04T19:06:13Z"/>
        <d v="2025-06-04T23:39:32Z"/>
        <d v="2025-06-05T05:19:37Z"/>
        <d v="2025-06-05T12:19:02Z"/>
        <d v="2025-06-05T22:28:39Z"/>
        <d v="2025-06-06T04:56:26Z"/>
        <d v="2025-06-06T05:04:00Z"/>
        <d v="2025-06-06T09:06:45Z"/>
        <d v="2025-06-06T22:09:21Z"/>
        <d v="2025-06-07T06:46:14Z"/>
        <d v="2025-06-07T10:18:01Z"/>
        <d v="2025-06-07T10:39:09Z"/>
        <d v="2025-06-07T16:27:20Z"/>
        <d v="2025-06-08T08:48:59Z"/>
        <d v="2025-06-08T12:45:10Z"/>
        <d v="2025-06-08T12:56:59Z"/>
        <d v="2025-06-08T17:31:38Z"/>
        <d v="2025-06-08T20:14:51Z"/>
        <d v="2025-06-08T22:05:29Z"/>
        <d v="2025-06-09T11:50:02Z"/>
        <d v="2025-06-09T15:27:59Z"/>
        <d v="2025-06-09T17:10:57Z"/>
        <d v="2025-06-09T20:52:55Z"/>
        <d v="2025-06-09T22:14:42Z"/>
        <d v="2025-06-10T08:44:55Z"/>
        <d v="2025-06-10T09:18:36Z"/>
        <d v="2025-06-10T17:02:57Z"/>
        <d v="2025-06-11T07:55:33Z"/>
        <d v="2025-06-11T08:29:00Z"/>
        <d v="2025-06-11T10:22:57Z"/>
        <d v="2025-06-11T13:36:33Z"/>
        <d v="2025-06-11T17:40:00Z"/>
        <d v="2025-06-11T17:55:19Z"/>
        <d v="2025-06-11T19:32:26Z"/>
        <d v="2025-06-12T07:07:36Z"/>
        <d v="2025-06-12T07:20:07Z"/>
        <d v="2025-06-12T10:12:29Z"/>
        <d v="2025-06-12T10:30:45Z"/>
        <d v="2025-06-12T11:13:14Z"/>
        <d v="2025-06-12T15:08:23Z"/>
        <d v="2025-06-12T17:52:33Z"/>
        <d v="2025-06-12T21:55:58Z"/>
        <d v="2025-06-13T07:27:27Z"/>
        <d v="2025-06-13T11:46:56Z"/>
        <d v="2025-06-13T11:59:09Z"/>
        <d v="2025-06-13T12:00:07Z"/>
        <d v="2025-06-13T18:16:41Z"/>
        <d v="2025-06-13T20:14:07Z"/>
        <d v="2025-06-13T23:15:38Z"/>
        <d v="2025-06-14T08:27:20Z"/>
        <d v="2025-06-14T08:51:43Z"/>
        <d v="2025-06-15T04:48:14Z"/>
        <d v="2025-06-15T06:07:47Z"/>
        <d v="2025-06-15T14:23:12Z"/>
        <d v="2025-06-15T15:09:10Z"/>
        <d v="2025-06-16T14:32:08Z"/>
        <d v="2025-06-16T15:23:34Z"/>
        <d v="2025-06-16T16:21:31Z"/>
        <d v="2025-06-16T18:43:01Z"/>
        <d v="2025-06-17T07:18:08Z"/>
        <d v="2025-06-17T10:26:09Z"/>
        <d v="2025-06-17T16:25:47Z"/>
        <d v="2025-06-17T16:34:04Z"/>
        <d v="2025-06-18T11:38:23Z"/>
        <d v="2025-06-18T12:06:32Z"/>
        <d v="2025-06-18T12:30:33Z"/>
        <d v="2025-06-18T14:11:38Z"/>
        <d v="2025-06-18T17:26:50Z"/>
        <d v="2025-06-18T19:13:17Z"/>
        <d v="2025-06-18T20:03:04Z"/>
        <d v="2025-06-18T20:24:44Z"/>
        <d v="2025-06-18T21:28:14Z"/>
        <d v="2025-06-19T05:43:43Z"/>
        <d v="2025-06-19T07:04:07Z"/>
        <d v="2025-06-19T08:42:32Z"/>
        <d v="2025-06-19T11:18:28Z"/>
        <d v="2025-06-19T16:18:21Z"/>
        <d v="2025-06-19T22:02:19Z"/>
        <d v="2025-06-20T09:30:49Z"/>
        <d v="2025-06-20T10:20:57Z"/>
        <d v="2025-06-20T16:07:04Z"/>
        <d v="2025-06-20T17:23:46Z"/>
        <d v="2025-06-21T11:47:00Z"/>
        <d v="2025-06-21T15:31:02Z"/>
        <d v="2025-06-21T15:49:20Z"/>
        <d v="2025-06-22T02:00:05Z"/>
        <d v="2025-06-22T08:15:11Z"/>
        <d v="2025-06-22T11:01:36Z"/>
        <d v="2025-06-22T13:10:40Z"/>
        <d v="2025-06-22T20:16:13Z"/>
        <d v="2025-06-22T20:45:59Z"/>
        <d v="2025-06-23T07:44:47Z"/>
        <d v="2025-06-23T09:54:32Z"/>
        <d v="2025-06-23T16:09:00Z"/>
        <d v="2025-06-23T16:18:44Z"/>
        <d v="2025-06-24T11:58:27Z"/>
        <d v="2025-06-24T13:05:02Z"/>
        <d v="2025-06-24T13:06:59Z"/>
        <d v="2025-06-24T17:23:38Z"/>
        <d v="2025-06-25T05:47:32Z"/>
        <d v="2025-06-25T06:26:43Z"/>
        <d v="2025-06-25T11:10:03Z"/>
        <d v="2025-06-25T11:52:13Z"/>
        <d v="2025-06-25T12:34:10Z"/>
        <d v="2025-06-25T13:44:50Z"/>
        <d v="2025-06-25T15:05:09Z"/>
        <d v="2025-06-25T17:56:30Z"/>
        <d v="2025-06-25T21:19:51Z"/>
        <d v="2025-06-26T06:47:39Z"/>
        <d v="2025-06-26T07:46:58Z"/>
        <d v="2025-06-26T08:57:26Z"/>
        <d v="2025-06-26T10:06:57Z"/>
        <d v="2025-06-26T10:34:09Z"/>
        <d v="2025-06-26T10:37:17Z"/>
        <d v="2025-06-26T12:22:35Z"/>
        <d v="2025-06-26T13:01:51Z"/>
        <d v="2025-06-26T13:27:02Z"/>
        <d v="2025-06-26T14:33:20Z"/>
        <d v="2025-06-26T14:44:45Z"/>
        <d v="2025-06-26T19:08:55Z"/>
        <d v="2025-06-26T20:56:44Z"/>
        <d v="2025-06-27T02:15:28Z"/>
        <d v="2025-06-27T04:46:41Z"/>
        <d v="2025-06-27T09:13:38Z"/>
        <d v="2025-06-27T09:25:18Z"/>
        <d v="2025-06-27T10:05:07Z"/>
        <d v="2025-06-28T06:55:47Z"/>
        <d v="2025-06-28T08:12:42Z"/>
        <d v="2025-06-28T18:45:17Z"/>
        <d v="2025-06-28T18:47:54Z"/>
        <d v="2025-06-29T06:14:42Z"/>
        <d v="2025-06-29T07:39:06Z"/>
        <d v="2025-06-30T02:50:03Z"/>
        <d v="2025-06-30T12:00:25Z"/>
        <d v="2025-06-30T12:47:46Z"/>
        <d v="2025-06-30T15:32:53Z"/>
        <d v="2025-06-30T16:12:22Z"/>
        <d v="2025-06-30T23:54:23Z"/>
        <d v="2025-07-01T05:17:45Z"/>
        <d v="2025-07-01T05:30:28Z"/>
        <d v="2025-07-01T10:50:11Z"/>
        <d v="2025-07-01T13:05:52Z"/>
        <d v="2025-07-02T12:42:02Z"/>
        <d v="2025-07-02T13:08:05Z"/>
        <d v="2025-07-02T18:12:01Z"/>
        <d v="2025-07-03T06:32:15Z"/>
        <d v="2025-07-03T14:56:46Z"/>
        <d v="2025-07-03T14:56:56Z"/>
        <d v="2025-07-03T16:32:16Z"/>
        <d v="2025-07-03T20:33:05Z"/>
        <d v="2025-07-04T09:51:56Z"/>
        <d v="2025-07-04T11:21:02Z"/>
        <d v="2025-07-04T12:58:26Z"/>
        <d v="2025-07-04T14:07:33Z"/>
        <d v="2025-07-04T17:28:22Z"/>
        <d v="2025-07-04T20:14:43Z"/>
        <d v="2025-07-04T21:05:10Z"/>
        <d v="2025-07-05T02:21:12Z"/>
        <d v="2025-07-05T04:00:24Z"/>
        <d v="2025-07-05T07:39:34Z"/>
        <d v="2025-07-05T08:38:48Z"/>
        <d v="2025-07-05T17:34:28Z"/>
        <d v="2025-07-05T18:24:37Z"/>
        <d v="2025-07-06T10:40:13Z"/>
        <d v="2025-07-06T14:14:51Z"/>
        <d v="2025-07-06T17:45:04Z"/>
        <d v="2025-07-06T17:55:28Z"/>
        <d v="2025-07-07T04:56:15Z"/>
        <d v="2025-07-07T11:32:44Z"/>
        <d v="2025-07-07T14:22:48Z"/>
        <d v="2025-07-07T15:30:46Z"/>
        <d v="2025-07-07T21:15:11Z"/>
        <d v="2025-07-08T05:52:31Z"/>
        <d v="2025-07-08T12:26:35Z"/>
        <d v="2025-07-08T15:22:54Z"/>
        <d v="2025-07-08T18:32:05Z"/>
        <d v="2025-07-09T12:04:22Z"/>
        <d v="2025-07-09T13:50:33Z"/>
        <d v="2025-07-10T01:17:21Z"/>
        <d v="2025-07-10T06:06:09Z"/>
        <d v="2025-07-10T06:47:26Z"/>
        <d v="2025-07-10T13:20:55Z"/>
        <d v="2025-07-10T15:16:29Z"/>
        <d v="2025-07-10T15:50:00Z"/>
        <d v="2025-07-10T20:03:29Z"/>
        <d v="2025-07-11T00:45:06Z"/>
        <d v="2025-07-11T08:21:42Z"/>
        <d v="2025-07-11T09:14:57Z"/>
        <d v="2025-07-11T16:12:59Z"/>
        <d v="2025-07-12T02:16:24Z"/>
        <d v="2025-07-12T09:28:07Z"/>
        <d v="2025-07-12T13:59:46Z"/>
        <d v="2025-07-12T19:21:17Z"/>
        <d v="2025-07-13T06:56:00Z"/>
        <d v="2025-07-13T09:12:34Z"/>
        <d v="2025-07-13T16:08:17Z"/>
        <d v="2025-07-13T22:23:25Z"/>
        <d v="2025-07-13T22:41:46Z"/>
        <d v="2025-07-14T07:20:14Z"/>
        <d v="2025-07-14T08:41:49Z"/>
        <d v="2025-07-14T12:27:26Z"/>
        <d v="2025-07-15T09:06:16Z"/>
        <d v="2025-07-15T10:56:27Z"/>
        <d v="2025-07-15T12:24:05Z"/>
        <d v="2025-07-15T18:09:06Z"/>
        <d v="2025-07-15T20:02:04Z"/>
        <d v="2025-07-15T21:29:01Z"/>
        <d v="2025-07-16T02:13:20Z"/>
        <d v="2025-07-16T06:51:09Z"/>
        <d v="2025-07-16T09:17:17Z"/>
        <d v="2025-07-16T12:31:06Z"/>
        <d v="2025-07-16T12:37:09Z"/>
        <d v="2025-07-16T12:49:34Z"/>
        <d v="2025-07-16T13:06:30Z"/>
        <d v="2025-07-16T17:23:48Z"/>
        <d v="2025-07-17T09:40:06Z"/>
        <d v="2025-07-17T21:44:07Z"/>
        <d v="2025-07-18T11:45:32Z"/>
        <d v="2025-07-18T13:33:53Z"/>
        <d v="2025-07-18T14:39:44Z"/>
        <d v="2025-07-18T16:19:02Z"/>
        <d v="2025-07-19T08:02:01Z"/>
        <d v="2025-07-19T14:10:07Z"/>
        <d v="2025-07-19T17:26:14Z"/>
        <d v="2025-07-19T21:26:51Z"/>
        <d v="2025-07-20T07:16:30Z"/>
        <d v="2025-07-20T10:43:13Z"/>
        <d v="2025-07-20T12:37:51Z"/>
        <d v="2025-07-20T14:30:56Z"/>
        <d v="2025-07-20T15:29:12Z"/>
        <d v="2025-07-20T15:43:41Z"/>
        <d v="2025-07-20T18:43:57Z"/>
        <d v="2025-07-20T19:44:18Z"/>
        <d v="2025-07-20T20:52:35Z"/>
        <d v="2025-07-21T03:14:39Z"/>
        <d v="2025-07-21T10:53:57Z"/>
        <d v="2025-07-21T12:04:37Z"/>
        <d v="2025-07-21T14:50:14Z"/>
        <d v="2025-07-21T15:12:45Z"/>
        <d v="2025-07-21T15:25:45Z"/>
        <d v="2025-07-21T15:49:56Z"/>
        <d v="2025-07-21T20:10:10Z"/>
        <d v="2025-07-21T20:45:43Z"/>
        <d v="2025-07-22T13:37:29Z"/>
        <d v="2025-07-22T15:42:42Z"/>
        <d v="2025-07-22T19:41:21Z"/>
        <d v="2025-07-23T08:53:48Z"/>
        <d v="2025-07-23T12:00:37Z"/>
        <d v="2025-07-23T14:34:26Z"/>
        <d v="2025-07-23T16:45:34Z"/>
        <d v="2025-07-24T08:35:53Z"/>
        <d v="2025-07-24T16:41:34Z"/>
        <d v="2025-07-24T16:58:55Z"/>
        <d v="2025-07-24T20:44:05Z"/>
        <d v="2025-07-24T20:59:36Z"/>
        <d v="2025-07-24T21:08:26Z"/>
        <d v="2025-07-24T23:29:59Z"/>
        <d v="2025-07-25T00:43:55Z"/>
        <d v="2025-07-25T08:37:50Z"/>
        <d v="2025-07-25T10:27:13Z"/>
        <d v="2025-07-25T12:31:57Z"/>
        <d v="2025-07-25T12:52:55Z"/>
        <d v="2025-07-25T13:04:37Z"/>
        <d v="2025-07-25T15:29:20Z"/>
        <d v="2025-07-25T18:36:56Z"/>
        <d v="2025-07-25T19:51:19Z"/>
        <d v="2025-07-25T22:28:38Z"/>
        <d v="2025-07-26T15:34:48Z"/>
        <d v="2025-07-26T20:55:52Z"/>
        <d v="2025-07-27T15:02:38Z"/>
        <d v="2025-07-27T16:03:08Z"/>
        <d v="2025-07-27T19:17:25Z"/>
        <d v="2025-07-27T21:35:38Z"/>
        <d v="2025-07-28T08:33:19Z"/>
        <d v="2025-07-28T17:15:20Z"/>
        <d v="2025-07-28T18:03:12Z"/>
        <d v="2025-07-29T09:04:19Z"/>
        <d v="2025-07-29T11:17:11Z"/>
        <d v="2025-07-29T23:00:30Z"/>
        <d v="2025-07-30T09:01:38Z"/>
        <d v="2025-07-30T12:25:49Z"/>
        <d v="2025-07-30T14:27:38Z"/>
        <d v="2025-07-30T17:14:46Z"/>
        <d v="2025-07-31T05:42:01Z"/>
        <d v="2025-07-31T06:54:35Z"/>
        <d v="2025-07-31T09:39:27Z"/>
        <d v="2025-07-31T12:30:57Z"/>
        <d v="2025-07-31T20:26:46Z"/>
        <d v="2025-07-31T21:37:41Z"/>
        <d v="2025-08-01T00:19:21Z"/>
        <d v="2025-08-01T02:14:01Z"/>
        <d v="2025-08-01T07:09:01Z"/>
        <d v="2025-08-01T10:04:57Z"/>
        <d v="2025-08-01T13:42:42Z"/>
        <d v="2025-08-01T20:12:19Z"/>
        <d v="2025-08-02T08:50:35Z"/>
        <d v="2025-08-02T10:38:08Z"/>
        <d v="2025-08-02T10:54:39Z"/>
        <d v="2025-08-02T13:56:23Z"/>
        <d v="2025-08-02T14:04:24Z"/>
        <d v="2025-08-02T14:25:03Z"/>
        <d v="2025-08-02T15:52:58Z"/>
        <d v="2025-08-02T16:16:22Z"/>
        <d v="2025-08-02T19:08:35Z"/>
        <d v="2025-08-03T01:47:31Z"/>
        <d v="2025-08-03T03:18:32Z"/>
        <d v="2025-08-03T08:44:07Z"/>
        <d v="2025-08-03T09:40:56Z"/>
        <d v="2025-08-03T09:50:04Z"/>
        <d v="2025-08-03T11:36:36Z"/>
        <d v="2025-08-03T12:27:36Z"/>
        <d v="2025-08-03T18:51:32Z"/>
        <d v="2025-08-04T05:14:45Z"/>
        <d v="2025-08-04T11:47:27Z"/>
        <d v="2025-08-04T13:37:55Z"/>
        <d v="2025-08-04T14:55:25Z"/>
        <d v="2025-08-04T22:30:22Z"/>
        <d v="2025-08-05T08:30:30Z"/>
        <d v="2025-08-05T09:00:14Z"/>
        <d v="2025-08-05T09:42:53Z"/>
        <d v="2025-08-05T17:30:39Z"/>
        <d v="2025-08-05T22:08:49Z"/>
        <d v="2025-08-06T01:12:21Z"/>
        <d v="2025-08-06T08:24:19Z"/>
        <d v="2025-08-06T18:09:53Z"/>
        <d v="2025-08-06T18:46:11Z"/>
        <d v="2025-08-06T20:00:08Z"/>
        <d v="2025-08-07T07:21:59Z"/>
        <d v="2025-08-07T08:31:59Z"/>
        <d v="2025-08-07T10:37:43Z"/>
        <d v="2025-08-07T14:10:22Z"/>
        <d v="2025-08-07T15:02:45Z"/>
        <d v="2025-08-07T16:52:34Z"/>
        <d v="2025-08-07T18:21:48Z"/>
        <d v="2025-08-07T21:50:15Z"/>
        <d v="2025-08-07T22:41:38Z"/>
        <d v="2025-08-08T08:39:43Z"/>
        <d v="2025-08-08T08:56:48Z"/>
        <d v="2025-08-08T09:58:08Z"/>
        <d v="2025-08-08T10:00:35Z"/>
        <d v="2025-08-08T22:42:34Z"/>
        <d v="2025-08-09T05:34:47Z"/>
        <d v="2025-08-09T09:06:20Z"/>
        <d v="2025-08-09T12:48:00Z"/>
        <d v="2025-08-09T14:32:54Z"/>
        <d v="2025-08-10T07:06:57Z"/>
        <d v="2025-08-10T13:16:35Z"/>
        <d v="2025-08-10T14:36:03Z"/>
        <d v="2025-08-10T16:34:32Z"/>
        <d v="2025-08-10T18:18:32Z"/>
        <d v="2025-08-11T05:10:32Z"/>
        <d v="2025-08-11T08:30:44Z"/>
        <d v="2025-08-11T08:58:15Z"/>
        <d v="2025-08-11T14:22:29Z"/>
        <d v="2025-08-11T20:11:48Z"/>
        <d v="2025-08-11T22:07:56Z"/>
        <d v="2025-08-11T22:15:06Z"/>
        <d v="2025-08-12T09:07:56Z"/>
        <d v="2025-08-12T09:08:13Z"/>
        <d v="2025-08-12T16:51:13Z"/>
        <d v="2025-08-12T18:57:46Z"/>
        <d v="2025-08-12T20:01:32Z"/>
        <d v="2025-08-12T20:33:06Z"/>
        <d v="2025-08-13T11:24:26Z"/>
        <d v="2025-08-13T12:02:46Z"/>
        <d v="2025-08-13T12:34:50Z"/>
        <d v="2025-08-13T22:49:04Z"/>
        <d v="2025-08-13T23:09:10Z"/>
        <d v="2025-08-14T00:35:42Z"/>
        <d v="2025-08-14T07:14:59Z"/>
        <d v="2025-08-14T07:20:38Z"/>
        <d v="2025-08-14T07:51:33Z"/>
        <d v="2025-08-14T10:16:07Z"/>
        <d v="2025-08-14T12:36:52Z"/>
        <d v="2025-08-14T13:14:28Z"/>
        <d v="2025-08-14T21:23:32Z"/>
        <d v="2025-08-15T00:45:10Z"/>
        <d v="2025-08-15T13:03:16Z"/>
        <d v="2025-08-15T13:50:03Z"/>
        <d v="2025-08-15T15:09:56Z"/>
        <d v="2025-08-15T18:13:14Z"/>
        <d v="2025-08-15T22:08:34Z"/>
        <d v="2025-08-16T11:25:48Z"/>
        <d v="2025-08-17T06:41:44Z"/>
        <d v="2025-08-17T13:13:04Z"/>
        <d v="2025-08-17T18:36:03Z"/>
        <d v="2025-08-17T21:18:41Z"/>
        <d v="2025-08-18T04:45:46Z"/>
        <d v="2025-08-18T15:56:38Z"/>
        <d v="2025-08-18T19:01:23Z"/>
        <d v="2025-08-18T19:22:46Z"/>
        <d v="2025-08-18T20:19:36Z"/>
        <d v="2025-08-19T07:40:10Z"/>
        <d v="2025-08-19T08:31:38Z"/>
        <d v="2025-08-19T10:53:47Z"/>
        <d v="2025-08-19T15:32:26Z"/>
        <d v="2025-08-19T15:51:47Z"/>
        <d v="2025-08-19T17:57:36Z"/>
        <d v="2025-08-19T22:27:51Z"/>
        <d v="2025-08-20T08:43:03Z"/>
        <d v="2025-08-20T09:03:28Z"/>
        <d v="2025-08-20T09:24:00Z"/>
        <d v="2025-08-20T10:13:10Z"/>
        <d v="2025-08-20T11:04:19Z"/>
        <d v="2025-08-20T13:24:29Z"/>
        <d v="2025-08-20T18:01:23Z"/>
        <d v="2025-08-21T00:02:48Z"/>
        <d v="2025-08-21T10:35:04Z"/>
        <d v="2025-08-21T14:02:35Z"/>
        <d v="2025-08-21T16:02:12Z"/>
        <d v="2025-08-21T20:12:07Z"/>
        <d v="2025-08-22T15:11:20Z"/>
        <d v="2025-08-22T23:47:57Z"/>
        <d v="2025-08-23T16:44:00Z"/>
        <d v="2025-08-24T01:26:23Z"/>
        <d v="2025-08-24T12:16:27Z"/>
        <d v="2025-08-24T13:19:53Z"/>
        <d v="2025-08-24T15:45:36Z"/>
        <d v="2025-08-24T20:35:20Z"/>
        <d v="2025-08-25T18:49:41Z"/>
        <d v="2025-08-26T02:10:07Z"/>
        <d v="2025-08-26T13:48:27Z"/>
        <d v="2025-08-27T03:24:44Z"/>
        <d v="2025-08-27T09:35:51Z"/>
        <d v="2025-08-27T11:20:04Z"/>
        <d v="2025-08-27T14:12:45Z"/>
        <d v="2025-08-27T14:19:33Z"/>
        <d v="2025-08-27T15:35:43Z"/>
        <d v="2025-08-28T03:06:27Z"/>
        <d v="2025-08-28T07:05:46Z"/>
        <d v="2025-08-28T14:23:54Z"/>
        <d v="2025-08-28T15:13:41Z"/>
        <d v="2025-08-28T16:42:57Z"/>
        <d v="2025-08-28T17:17:12Z"/>
        <d v="2025-08-28T19:54:32Z"/>
        <d v="2025-08-29T07:45:50Z"/>
        <d v="2025-08-29T08:14:00Z"/>
        <d v="2025-08-29T09:08:57Z"/>
        <d v="2025-08-29T10:36:04Z"/>
        <d v="2025-08-29T10:58:02Z"/>
        <d v="2025-08-29T11:15:21Z"/>
        <d v="2025-08-29T12:34:09Z"/>
        <d v="2025-08-29T13:18:57Z"/>
        <d v="2025-08-29T14:47:00Z"/>
        <d v="2025-08-29T17:39:27Z"/>
        <d v="2025-08-29T22:19:27Z"/>
        <d v="2025-08-30T11:49:59Z"/>
        <d v="2025-08-30T20:59:30Z"/>
        <d v="2025-08-31T03:41:43Z"/>
        <d v="2025-08-31T07:37:00Z"/>
        <d v="2025-08-31T08:48:36Z"/>
        <d v="2025-08-31T08:50:44Z"/>
        <d v="2025-08-31T11:54:36Z"/>
        <d v="2025-08-31T12:13:45Z"/>
        <d v="2025-08-31T14:55:13Z"/>
        <d v="2025-08-31T18:05:18Z"/>
        <d v="2025-09-01T09:18:26Z"/>
        <d v="2025-09-01T13:30:03Z"/>
        <d v="2025-09-01T19:01:51Z"/>
        <d v="2025-09-02T09:36:27Z"/>
        <d v="2025-09-02T13:40:56Z"/>
        <d v="2025-09-02T18:40:02Z"/>
        <d v="2025-09-03T08:06:58Z"/>
        <d v="2025-09-03T09:05:53Z"/>
        <d v="2025-09-03T09:19:39Z"/>
        <d v="2025-09-03T10:57:51Z"/>
        <d v="2025-09-03T11:04:32Z"/>
        <d v="2025-09-03T13:38:19Z"/>
        <d v="2025-09-03T13:54:52Z"/>
        <d v="2025-09-03T14:15:11Z"/>
        <d v="2025-09-03T15:51:14Z"/>
        <d v="2025-09-03T15:54:30Z"/>
        <d v="2025-09-03T17:36:40Z"/>
        <d v="2025-09-03T19:10:13Z"/>
        <d v="2025-09-03T19:50:34Z"/>
        <d v="2025-09-03T21:01:36Z"/>
        <d v="2025-09-03T23:03:23Z"/>
        <d v="2025-09-03T23:21:09Z"/>
        <d v="2025-09-04T06:20:24Z"/>
        <d v="2025-09-04T10:58:08Z"/>
        <d v="2025-09-04T13:08:57Z"/>
        <d v="2025-09-04T13:32:21Z"/>
        <d v="2025-09-04T13:58:37Z"/>
        <d v="2025-09-04T15:54:55Z"/>
        <d v="2025-09-04T16:41:31Z"/>
        <d v="2025-09-04T18:18:46Z"/>
        <d v="2025-09-05T03:57:04Z"/>
        <d v="2025-09-05T15:11:24Z"/>
        <d v="2025-09-05T16:17:56Z"/>
        <d v="2025-09-05T20:05:25Z"/>
        <d v="2025-09-06T00:26:02Z"/>
        <d v="2025-09-06T05:45:32Z"/>
        <d v="2025-09-06T06:28:50Z"/>
        <d v="2025-09-06T09:39:58Z"/>
        <d v="2025-09-06T12:47:45Z"/>
        <d v="2025-09-06T14:05:07Z"/>
        <d v="2025-09-06T20:41:55Z"/>
        <d v="2025-09-07T09:04:07Z"/>
        <d v="2025-09-07T12:37:05Z"/>
        <d v="2025-09-07T14:18:52Z"/>
        <d v="2025-09-07T17:11:32Z"/>
        <d v="2025-09-08T09:10:50Z"/>
        <d v="2025-09-08T16:46:03Z"/>
        <d v="2025-09-08T19:25:21Z"/>
        <d v="2025-09-08T20:06:20Z"/>
        <d v="2025-09-09T05:33:08Z"/>
        <d v="2025-09-09T08:37:09Z"/>
        <d v="2025-09-09T09:00:37Z"/>
        <d v="2025-09-09T13:00:54Z"/>
        <d v="2025-09-09T14:44:16Z"/>
        <d v="2025-09-09T16:50:35Z"/>
        <d v="2025-09-09T20:22:10Z"/>
        <d v="2025-09-09T20:56:08Z"/>
        <d v="2025-09-10T08:47:15Z"/>
        <d v="2025-09-10T13:16:42Z"/>
        <d v="2025-09-10T14:31:45Z"/>
        <d v="2025-09-10T15:53:16Z"/>
        <d v="2025-09-11T00:16:48Z"/>
        <d v="2025-09-11T02:21:30Z"/>
        <d v="2025-09-11T07:51:33Z"/>
        <d v="2025-09-11T09:28:37Z"/>
        <d v="2025-09-11T10:26:59Z"/>
        <d v="2025-09-11T11:35:28Z"/>
        <d v="2025-09-11T12:00:33Z"/>
        <d v="2025-09-11T15:17:53Z"/>
        <d v="2025-09-11T18:54:07Z"/>
        <d v="2025-09-11T22:01:10Z"/>
        <d v="2025-09-12T09:26:36Z"/>
        <d v="2025-09-12T15:45:15Z"/>
        <d v="2025-09-12T16:53:48Z"/>
        <d v="2025-09-12T19:48:57Z"/>
        <d v="2025-09-12T22:47:47Z"/>
        <d v="2025-09-13T09:39:24Z"/>
        <d v="2025-09-13T10:13:12Z"/>
        <d v="2025-09-13T10:42:32Z"/>
        <d v="2025-09-13T11:26:56Z"/>
        <d v="2025-09-13T11:34:46Z"/>
        <d v="2025-09-13T12:00:11Z"/>
        <d v="2025-09-13T14:27:17Z"/>
        <d v="2025-09-13T15:41:31Z"/>
        <d v="2025-09-13T20:50:49Z"/>
        <d v="2025-09-14T08:23:02Z"/>
        <d v="2025-09-14T12:02:59Z"/>
        <d v="2025-09-14T12:47:57Z"/>
        <d v="2025-09-14T13:03:47Z"/>
        <d v="2025-09-14T18:20:00Z"/>
        <d v="2025-09-15T09:26:44Z"/>
        <d v="2025-09-15T15:26:44Z"/>
        <d v="2025-09-15T15:44:59Z"/>
        <d v="2025-09-16T07:32:35Z"/>
        <d v="2025-09-16T11:52:02Z"/>
        <d v="2025-09-16T13:03:44Z"/>
        <d v="2025-09-16T18:37:58Z"/>
        <d v="2025-09-17T12:41:17Z"/>
        <d v="2025-09-17T13:23:56Z"/>
        <d v="2025-09-18T08:28:55Z"/>
        <d v="2025-09-18T08:29:13Z"/>
        <d v="2025-09-18T10:28:06Z"/>
        <d v="2025-09-18T11:56:53Z"/>
        <d v="2025-09-18T12:16:38Z"/>
        <d v="2025-09-18T12:57:50Z"/>
        <d v="2025-09-18T13:35:53Z"/>
        <d v="2025-09-18T14:04:08Z"/>
        <d v="2025-09-18T14:39:05Z"/>
        <d v="2025-09-18T15:06:41Z"/>
        <d v="2025-09-18T15:58:24Z"/>
        <d v="2025-09-18T21:05:21Z"/>
        <d v="2025-09-18T22:17:29Z"/>
        <d v="2025-09-19T04:38:56Z"/>
        <d v="2025-09-19T06:58:18Z"/>
        <d v="2025-09-19T07:24:45Z"/>
        <d v="2025-09-19T13:10:17Z"/>
        <d v="2025-09-19T13:53:05Z"/>
        <d v="2025-09-19T16:41:27Z"/>
        <d v="2025-09-19T20:51:42Z"/>
        <d v="2025-09-20T13:41:23Z"/>
        <d v="2025-09-20T22:32:38Z"/>
        <d v="2025-09-22T13:33:17Z"/>
        <d v="2025-09-22T15:21:26Z"/>
        <d v="2025-09-22T17:44:34Z"/>
        <d v="2025-09-23T05:55:08Z"/>
        <d v="2025-09-23T06:45:51Z"/>
        <d v="2025-09-23T11:21:55Z"/>
        <d v="2025-09-23T13:35:04Z"/>
        <d v="2025-09-23T23:45:52Z"/>
        <d v="2025-09-24T13:05:06Z"/>
        <d v="2025-09-24T14:32:59Z"/>
        <d v="2025-09-24T20:48:17Z"/>
        <d v="2025-09-24T21:43:42Z"/>
        <d v="2025-09-25T08:15:13Z"/>
        <d v="2025-09-25T10:27:49Z"/>
        <d v="2025-09-25T11:19:52Z"/>
        <d v="2025-09-25T11:50:20Z"/>
        <d v="2025-09-25T15:00:10Z"/>
        <d v="2025-09-25T15:36:58Z"/>
        <d v="2025-09-25T16:10:56Z"/>
        <d v="2025-09-25T17:12:12Z"/>
        <d v="2025-09-25T18:13:08Z"/>
        <d v="2025-09-26T08:39:55Z"/>
        <d v="2025-09-26T12:10:38Z"/>
        <d v="2025-09-26T13:24:43Z"/>
        <d v="2025-09-26T17:58:47Z"/>
        <d v="2025-09-26T23:33:28Z"/>
        <d v="2025-09-27T11:44:53Z"/>
        <d v="2025-09-28T09:28:45Z"/>
        <d v="2025-09-28T09:41:35Z"/>
        <d v="2025-09-28T10:04:29Z"/>
        <d v="2025-09-28T11:28:55Z"/>
        <d v="2025-09-28T12:23:55Z"/>
        <d v="2025-09-28T12:50:27Z"/>
        <d v="2025-09-28T13:33:14Z"/>
        <d v="2025-09-28T14:32:35Z"/>
        <d v="2025-09-28T18:40:26Z"/>
        <d v="2025-09-29T02:19:09Z"/>
        <d v="2025-09-29T04:52:23Z"/>
        <d v="2025-09-29T10:42:02Z"/>
        <d v="2025-09-29T13:45:13Z"/>
        <d v="2025-09-30T16:41:58Z"/>
        <d v="2025-09-30T19:00:06Z"/>
        <d v="2025-09-30T19:25:06Z"/>
        <d v="2025-09-30T19:40:34Z"/>
        <d v="2025-10-01T00:18:14Z"/>
        <d v="2025-10-01T12:05:03Z"/>
        <d v="2025-10-02T13:37:11Z"/>
        <d v="2025-10-02T13:51:51Z"/>
        <d v="2025-10-02T14:15:10Z"/>
        <d v="2025-10-02T15:01:59Z"/>
        <d v="2025-10-02T15:59:04Z"/>
        <d v="2025-10-03T08:15:37Z"/>
        <d v="2025-10-03T09:27:53Z"/>
        <d v="2025-10-03T10:59:22Z"/>
        <d v="2025-10-03T11:01:43Z"/>
        <d v="2025-10-03T12:32:51Z"/>
        <d v="2025-10-03T14:05:23Z"/>
        <d v="2025-10-03T14:09:33Z"/>
        <d v="2025-10-03T15:16:39Z"/>
        <d v="2025-10-03T16:53:46Z"/>
        <d v="2025-10-03T17:32:08Z"/>
        <d v="2025-10-03T23:14:15Z"/>
        <d v="2025-10-04T01:22:23Z"/>
        <d v="2025-10-04T04:45:51Z"/>
        <d v="2025-10-04T10:05:24Z"/>
        <d v="2025-10-04T12:43:46Z"/>
        <d v="2025-10-04T15:02:39Z"/>
        <d v="2025-10-04T15:10:08Z"/>
        <d v="2025-10-04T20:01:48Z"/>
        <d v="2025-10-05T10:33:49Z"/>
        <d v="2025-10-05T12:40:03Z"/>
        <d v="2025-10-06T14:07:09Z"/>
        <d v="2025-10-06T15:47:06Z"/>
        <d v="2025-10-07T05:48:43Z"/>
        <d v="2025-10-07T07:12:35Z"/>
        <d v="2025-10-07T11:01:11Z"/>
        <d v="2025-10-07T16:08:46Z"/>
        <d v="2025-10-07T19:10:02Z"/>
        <d v="2025-10-08T06:00:29Z"/>
        <d v="2025-10-08T10:41:48Z"/>
        <d v="2025-10-08T13:10:21Z"/>
        <d v="2025-10-08T14:37:46Z"/>
        <d v="2025-10-08T15:43:09Z"/>
        <d v="2025-10-08T18:08:48Z"/>
        <d v="2025-10-08T18:59:54Z"/>
        <d v="2025-10-08T19:51:56Z"/>
        <d v="2025-10-09T05:10:19Z"/>
        <d v="2025-10-09T05:36:46Z"/>
        <d v="2025-10-09T11:28:05Z"/>
        <d v="2025-10-09T12:56:54Z"/>
        <d v="2025-10-09T13:09:06Z"/>
        <d v="2025-10-09T15:03:01Z"/>
        <d v="2025-10-10T02:35:02Z"/>
        <d v="2025-10-10T04:43:36Z"/>
        <d v="2025-10-10T05:15:02Z"/>
        <d v="2025-10-10T06:41:14Z"/>
        <d v="2025-10-10T07:17:50Z"/>
        <d v="2025-10-10T08:26:07Z"/>
        <d v="2025-10-10T11:20:09Z"/>
        <d v="2025-10-10T11:41:41Z"/>
        <d v="2025-10-10T12:16:10Z"/>
        <d v="2025-10-10T15:41:36Z"/>
        <d v="2025-10-10T16:34:08Z"/>
        <d v="2025-10-11T07:30:57Z"/>
        <d v="2025-10-11T07:40:57Z"/>
        <d v="2025-10-11T08:47:30Z"/>
        <d v="2025-10-11T10:12:21Z"/>
        <d v="2025-10-11T12:08:17Z"/>
        <d v="2025-10-11T12:39:31Z"/>
        <d v="2025-10-11T13:31:13Z"/>
        <d v="2025-10-11T18:14:46Z"/>
        <d v="2025-10-12T05:49:38Z"/>
        <d v="2025-10-12T12:11:11Z"/>
        <d v="2025-10-12T12:37:45Z"/>
        <d v="2025-10-12T12:51:09Z"/>
        <d v="2025-10-12T13:36:06Z"/>
        <d v="2025-10-12T18:08:48Z"/>
        <d v="2025-10-12T19:57:59Z"/>
        <d v="2025-10-12T21:14:00Z"/>
        <d v="2025-10-13T12:18:03Z"/>
        <d v="2025-10-13T14:14:02Z"/>
        <d v="2025-10-13T17:01:11Z"/>
        <d v="2025-10-13T17:49:33Z"/>
        <d v="2025-10-13T19:11:44Z"/>
        <d v="2025-10-13T19:20:21Z"/>
        <d v="2025-10-14T08:57:26Z"/>
        <d v="2025-10-14T09:06:03Z"/>
        <d v="2025-10-14T10:59:04Z"/>
        <d v="2025-10-14T11:54:35Z"/>
        <d v="2025-10-14T12:06:32Z"/>
        <d v="2025-10-14T15:46:33Z"/>
        <d v="2025-10-14T16:29:40Z"/>
        <d v="2025-10-14T16:31:41Z"/>
        <d v="2025-10-14T17:56:48Z"/>
        <d v="2025-10-15T03:14:59Z"/>
        <d v="2025-10-15T06:03:18Z"/>
        <d v="2025-10-15T07:26:04Z"/>
        <d v="2025-10-15T09:12:39Z"/>
        <d v="2025-10-15T09:35:04Z"/>
        <d v="2025-10-15T10:01:09Z"/>
        <d v="2025-10-15T10:51:11Z"/>
        <d v="2025-10-15T15:23:55Z"/>
        <d v="2025-10-15T16:28:47Z"/>
        <d v="2025-10-15T16:33:41Z"/>
        <d v="2025-10-15T17:23:07Z"/>
        <d v="2025-10-15T18:40:15Z"/>
        <d v="2025-10-15T18:55:35Z"/>
        <d v="2025-10-15T19:37:12Z"/>
        <d v="2025-10-15T19:54:35Z"/>
        <d v="2025-10-15T21:56:02Z"/>
        <d v="2025-10-15T22:10:15Z"/>
        <d v="2025-10-16T00:58:50Z"/>
        <d v="2025-10-16T06:56:40Z"/>
        <d v="2025-10-16T07:34:09Z"/>
        <d v="2025-10-16T07:40:42Z"/>
        <d v="2025-10-16T11:20:14Z"/>
        <d v="2025-10-16T12:49:55Z"/>
        <d v="2025-10-16T13:33:39Z"/>
        <d v="2025-10-16T13:41:53Z"/>
        <d v="2025-10-16T16:29:29Z"/>
        <d v="2025-10-16T17:02:11Z"/>
        <d v="2025-10-17T01:17:58Z"/>
        <d v="2025-10-17T08:13:27Z"/>
        <d v="2025-10-17T11:08:15Z"/>
        <d v="2025-10-17T11:19:03Z"/>
        <d v="2025-10-17T12:06:54Z"/>
        <d v="2025-10-17T12:18:23Z"/>
        <d v="2025-10-17T12:31:08Z"/>
        <d v="2025-10-17T12:54:24Z"/>
        <d v="2025-10-17T13:23:35Z"/>
        <d v="2025-10-17T13:34:37Z"/>
        <d v="2025-10-17T13:48:13Z"/>
        <d v="2025-10-17T14:11:07Z"/>
        <d v="2025-10-17T14:39:09Z"/>
        <d v="2025-10-17T16:11:29Z"/>
        <d v="2025-10-17T16:45:38Z"/>
        <d v="2025-10-17T16:51:49Z"/>
        <d v="2025-10-18T03:27:01Z"/>
        <d v="2025-10-18T08:58:37Z"/>
        <d v="2025-10-18T10:19:27Z"/>
        <d v="2025-10-18T10:24:58Z"/>
        <d v="2025-10-18T11:27:53Z"/>
        <d v="2025-10-18T13:10:12Z"/>
        <d v="2025-10-18T13:53:53Z"/>
        <d v="2025-10-18T14:02:08Z"/>
        <d v="2025-10-18T14:05:27Z"/>
        <d v="2025-10-18T14:58:10Z"/>
        <d v="2025-10-18T15:47:34Z"/>
        <d v="2025-10-18T16:38:51Z"/>
        <d v="2025-10-18T19:25:52Z"/>
        <d v="2025-10-18T20:21:54Z"/>
        <d v="2025-10-19T08:22:13Z"/>
        <d v="2025-10-19T09:43:29Z"/>
        <d v="2025-10-19T10:19:38Z"/>
        <d v="2025-10-19T10:36:17Z"/>
        <d v="2025-10-19T10:49:41Z"/>
        <d v="2025-10-19T12:31:51Z"/>
        <d v="2025-10-19T13:04:18Z"/>
        <d v="2025-10-19T15:50:05Z"/>
        <d v="2025-10-19T15:56:22Z"/>
        <d v="2025-10-19T17:11:39Z"/>
        <d v="2025-10-19T20:34:51Z"/>
        <d v="2025-10-20T06:30:12Z"/>
        <d v="2025-10-20T10:24:05Z"/>
        <d v="2025-10-20T13:07:53Z"/>
        <d v="2025-10-20T15:32:16Z"/>
        <d v="2025-10-20T15:49:41Z"/>
        <d v="2025-10-20T15:51:11Z"/>
        <d v="2025-10-20T17:25:34Z"/>
        <d v="2025-10-20T17:37:52Z"/>
        <d v="2025-10-20T18:03:41Z"/>
        <d v="2025-10-20T18:13:32Z"/>
        <d v="2025-10-20T21:27:12Z"/>
        <d v="2025-10-21T03:38:08Z"/>
        <d v="2025-10-21T06:44:14Z"/>
        <d v="2025-10-21T07:30:28Z"/>
        <d v="2025-10-21T09:25:18Z"/>
        <d v="2025-10-21T10:04:55Z"/>
        <d v="2025-10-21T10:25:16Z"/>
        <d v="2025-10-21T12:12:06Z"/>
        <d v="2025-10-21T14:32:09Z"/>
        <d v="2025-10-21T18:58:31Z"/>
        <d v="2025-10-21T19:19:11Z"/>
        <d v="2025-10-22T05:46:20Z"/>
        <d v="2025-10-22T05:57:27Z"/>
        <d v="2025-10-22T11:31:07Z"/>
        <d v="2025-10-22T11:44:34Z"/>
        <d v="2025-10-22T13:03:53Z"/>
        <d v="2025-10-22T13:09:43Z"/>
        <d v="2025-10-22T13:46:23Z"/>
        <d v="2025-10-22T14:47:15Z"/>
        <d v="2025-10-22T14:56:19Z"/>
        <d v="2025-10-22T16:38:36Z"/>
        <d v="2025-10-22T17:13:16Z"/>
        <d v="2025-10-22T18:55:24Z"/>
        <d v="2025-10-22T19:37:15Z"/>
        <d v="2025-10-22T20:33:15Z"/>
        <d v="2025-10-23T01:53:59Z"/>
        <d v="2025-10-23T07:32:40Z"/>
        <d v="2025-10-23T09:42:58Z"/>
        <d v="2025-10-23T09:45:44Z"/>
        <d v="2025-10-23T12:00:08Z"/>
        <d v="2025-10-23T12:39:31Z"/>
        <d v="2025-10-23T13:16:27Z"/>
        <d v="2025-10-23T13:26:12Z"/>
        <d v="2025-10-23T14:52:44Z"/>
        <d v="2025-10-23T15:43:16Z"/>
        <d v="2025-10-23T16:12:28Z"/>
        <d v="2025-10-23T17:20:48Z"/>
        <d v="2025-10-23T17:22:28Z"/>
        <d v="2025-10-23T21:21:36Z"/>
        <d v="2025-10-23T22:51:13Z"/>
        <d v="2025-10-23T23:52:57Z"/>
        <d v="2025-10-24T03:13:19Z"/>
        <d v="2025-10-24T06:13:02Z"/>
        <d v="2025-10-24T08:13:51Z"/>
        <d v="2025-10-24T10:08:07Z"/>
        <d v="2025-10-24T11:29:19Z"/>
        <d v="2025-10-24T11:38:03Z"/>
        <d v="2025-10-24T14:12:38Z"/>
        <d v="2025-10-25T05:00:05Z"/>
        <d v="2025-10-25T07:24:28Z"/>
        <d v="2025-10-25T08:53:36Z"/>
        <d v="2025-10-25T10:36:49Z"/>
        <d v="2025-10-25T12:16:35Z"/>
        <d v="2025-10-25T18:10:04Z"/>
        <m/>
      </sharedItems>
    </cacheField>
    <cacheField name="Order Date (Month)" numFmtId="0">
      <sharedItems containsBlank="1">
        <s v="February"/>
        <s v="March"/>
        <s v="April"/>
        <s v="May"/>
        <s v="June"/>
        <s v="July"/>
        <s v="August"/>
        <s v="September"/>
        <s v="October"/>
        <m/>
      </sharedItems>
    </cacheField>
    <cacheField name="User ID" numFmtId="1">
      <sharedItems containsString="0" containsBlank="1" containsNumber="1" containsInteger="1">
        <n v="693457.0"/>
        <n v="696821.0"/>
        <n v="214119.0"/>
        <n v="681762.0"/>
        <n v="130038.0"/>
        <n v="548035.0"/>
        <n v="700188.0"/>
        <n v="615206.0"/>
        <n v="556975.0"/>
        <n v="700367.0"/>
        <n v="700473.0"/>
        <n v="310646.0"/>
        <n v="701076.0"/>
        <n v="654762.0"/>
        <n v="76131.0"/>
        <n v="701624.0"/>
        <n v="127520.0"/>
        <n v="202360.0"/>
        <n v="386531.0"/>
        <n v="2083.0"/>
        <n v="603500.0"/>
        <n v="702037.0"/>
        <n v="290515.0"/>
        <n v="540810.0"/>
        <n v="193036.0"/>
        <n v="365982.0"/>
        <n v="4975.0"/>
        <n v="51353.0"/>
        <n v="702756.0"/>
        <n v="178521.0"/>
        <n v="702825.0"/>
        <n v="140746.0"/>
        <n v="702957.0"/>
        <n v="702971.0"/>
        <n v="229175.0"/>
        <n v="703120.0"/>
        <n v="34200.0"/>
        <n v="702215.0"/>
        <n v="146728.0"/>
        <n v="11742.0"/>
        <n v="703676.0"/>
        <n v="211561.0"/>
        <n v="5848.0"/>
        <n v="703787.0"/>
        <n v="360454.0"/>
        <n v="500892.0"/>
        <n v="5701.0"/>
        <n v="4869.0"/>
        <n v="703890.0"/>
        <n v="75045.0"/>
        <n v="704077.0"/>
        <n v="704093.0"/>
        <n v="412168.0"/>
        <n v="609285.0"/>
        <n v="14143.0"/>
        <n v="562068.0"/>
        <n v="310333.0"/>
        <n v="122271.0"/>
        <n v="22523.0"/>
        <n v="53759.0"/>
        <n v="220991.0"/>
        <n v="705095.0"/>
        <n v="703528.0"/>
        <n v="696371.0"/>
        <n v="705440.0"/>
        <n v="101639.0"/>
        <n v="8713.0"/>
        <n v="705691.0"/>
        <n v="530180.0"/>
        <n v="51878.0"/>
        <n v="308172.0"/>
        <n v="705843.0"/>
        <n v="705854.0"/>
        <n v="258171.0"/>
        <n v="66158.0"/>
        <n v="11719.0"/>
        <n v="27710.0"/>
        <n v="706191.0"/>
        <n v="38779.0"/>
        <n v="7316.0"/>
        <n v="706392.0"/>
        <n v="661599.0"/>
        <n v="675159.0"/>
        <n v="293810.0"/>
        <n v="3528.0"/>
        <n v="706651.0"/>
        <n v="294917.0"/>
        <n v="310070.0"/>
        <n v="514226.0"/>
        <n v="707043.0"/>
        <n v="71366.0"/>
        <n v="706513.0"/>
        <n v="707096.0"/>
        <n v="1674.0"/>
        <n v="406088.0"/>
        <n v="706571.0"/>
        <n v="707546.0"/>
        <n v="707487.0"/>
        <n v="707570.0"/>
        <n v="707602.0"/>
        <n v="707722.0"/>
        <n v="603412.0"/>
        <n v="8848.0"/>
        <n v="707626.0"/>
        <n v="707971.0"/>
        <n v="701082.0"/>
        <n v="708112.0"/>
        <n v="510619.0"/>
        <n v="480964.0"/>
        <n v="594891.0"/>
        <n v="355054.0"/>
        <n v="708304.0"/>
        <n v="66018.0"/>
        <n v="387865.0"/>
        <n v="653320.0"/>
        <n v="707832.0"/>
        <n v="313628.0"/>
        <n v="135507.0"/>
        <n v="508415.0"/>
        <n v="708553.0"/>
        <n v="36508.0"/>
        <n v="141661.0"/>
        <n v="708132.0"/>
        <n v="111253.0"/>
        <n v="150252.0"/>
        <n v="435634.0"/>
        <n v="708866.0"/>
        <n v="505613.0"/>
        <n v="708963.0"/>
        <n v="570592.0"/>
        <n v="709205.0"/>
        <n v="127220.0"/>
        <n v="407717.0"/>
        <n v="476082.0"/>
        <n v="437967.0"/>
        <n v="115753.0"/>
        <n v="101168.0"/>
        <n v="261657.0"/>
        <n v="686822.0"/>
        <n v="709541.0"/>
        <n v="409239.0"/>
        <n v="49118.0"/>
        <n v="582906.0"/>
        <n v="709699.0"/>
        <n v="709722.0"/>
        <n v="679754.0"/>
        <n v="689406.0"/>
        <n v="672715.0"/>
        <n v="709934.0"/>
        <n v="558472.0"/>
        <n v="24295.0"/>
        <n v="609198.0"/>
        <n v="710298.0"/>
        <n v="344160.0"/>
        <n v="677736.0"/>
        <n v="261255.0"/>
        <n v="704712.0"/>
        <n v="710515.0"/>
        <n v="24421.0"/>
        <n v="603946.0"/>
        <n v="548780.0"/>
        <n v="710566.0"/>
        <n v="710590.0"/>
        <n v="710497.0"/>
        <n v="236048.0"/>
        <n v="64692.0"/>
        <n v="99899.0"/>
        <n v="451385.0"/>
        <n v="710929.0"/>
        <n v="710919.0"/>
        <n v="192261.0"/>
        <n v="411007.0"/>
        <n v="451458.0"/>
        <n v="263092.0"/>
        <n v="596529.0"/>
        <n v="711175.0"/>
        <n v="711259.0"/>
        <n v="710188.0"/>
        <n v="386502.0"/>
        <n v="245519.0"/>
        <n v="711447.0"/>
        <n v="706096.0"/>
        <n v="711546.0"/>
        <n v="672595.0"/>
        <n v="711670.0"/>
        <n v="682529.0"/>
        <n v="8645.0"/>
        <n v="421662.0"/>
        <n v="711676.0"/>
        <n v="615399.0"/>
        <n v="16384.0"/>
        <n v="712269.0"/>
        <n v="712277.0"/>
        <n v="107201.0"/>
        <n v="712150.0"/>
        <n v="66644.0"/>
        <n v="474109.0"/>
        <n v="514232.0"/>
        <n v="712819.0"/>
        <n v="346251.0"/>
        <n v="243918.0"/>
        <n v="657002.0"/>
        <n v="713503.0"/>
        <n v="702803.0"/>
        <n v="47116.0"/>
        <n v="714367.0"/>
        <n v="714433.0"/>
        <n v="135103.0"/>
        <n v="388370.0"/>
        <n v="714943.0"/>
        <n v="714985.0"/>
        <n v="554362.0"/>
        <n v="305854.0"/>
        <n v="715025.0"/>
        <n v="685040.0"/>
        <n v="205793.0"/>
        <n v="418067.0"/>
        <n v="715158.0"/>
        <n v="715300.0"/>
        <n v="715551.0"/>
        <n v="715578.0"/>
        <n v="715624.0"/>
        <n v="715708.0"/>
        <n v="715711.0"/>
        <n v="715799.0"/>
        <n v="715887.0"/>
        <n v="22162.0"/>
        <n v="244595.0"/>
        <n v="715997.0"/>
        <n v="43485.0"/>
        <n v="716044.0"/>
        <n v="564377.0"/>
        <n v="34389.0"/>
        <n v="702251.0"/>
        <n v="716479.0"/>
        <n v="318102.0"/>
        <n v="148017.0"/>
        <n v="716970.0"/>
        <n v="231640.0"/>
        <n v="368768.0"/>
        <n v="182703.0"/>
        <n v="697164.0"/>
        <n v="691678.0"/>
        <n v="717577.0"/>
        <n v="690350.0"/>
        <n v="13435.0"/>
        <n v="717793.0"/>
        <n v="397706.0"/>
        <n v="674071.0"/>
        <n v="51896.0"/>
        <n v="242669.0"/>
        <n v="259474.0"/>
        <n v="718065.0"/>
        <n v="224003.0"/>
        <n v="289358.0"/>
        <n v="652122.0"/>
        <n v="718279.0"/>
        <n v="718284.0"/>
        <n v="718336.0"/>
        <n v="718403.0"/>
        <n v="718324.0"/>
        <n v="534121.0"/>
        <n v="516729.0"/>
        <n v="718196.0"/>
        <n v="718643.0"/>
        <n v="339011.0"/>
        <n v="520575.0"/>
        <n v="367340.0"/>
        <n v="48318.0"/>
        <n v="718781.0"/>
        <n v="449309.0"/>
        <n v="678922.0"/>
        <n v="49527.0"/>
        <n v="294715.0"/>
        <n v="377844.0"/>
        <n v="448917.0"/>
        <n v="719839.0"/>
        <n v="719845.0"/>
        <n v="527904.0"/>
        <n v="31275.0"/>
        <n v="182009.0"/>
        <n v="715647.0"/>
        <n v="400799.0"/>
        <n v="605292.0"/>
        <n v="600561.0"/>
        <n v="643409.0"/>
        <n v="720874.0"/>
        <n v="603081.0"/>
        <n v="69672.0"/>
        <n v="721068.0"/>
        <n v="273660.0"/>
        <n v="721200.0"/>
        <n v="22942.0"/>
        <n v="722235.0"/>
        <n v="722461.0"/>
        <n v="650220.0"/>
        <n v="104845.0"/>
        <n v="540396.0"/>
        <n v="429707.0"/>
        <n v="722478.0"/>
        <n v="718371.0"/>
        <n v="720606.0"/>
        <n v="650612.0"/>
        <n v="17821.0"/>
        <n v="723413.0"/>
        <n v="428680.0"/>
        <n v="553359.0"/>
        <n v="355455.0"/>
        <n v="326196.0"/>
        <n v="723769.0"/>
        <n v="723857.0"/>
        <n v="641790.0"/>
        <n v="170262.0"/>
        <n v="724063.0"/>
        <n v="635518.0"/>
        <n v="21287.0"/>
        <n v="78960.0"/>
        <n v="266216.0"/>
        <n v="230569.0"/>
        <n v="535487.0"/>
        <n v="379309.0"/>
        <n v="724333.0"/>
        <n v="385851.0"/>
        <n v="9816.0"/>
        <n v="400798.0"/>
        <n v="201032.0"/>
        <n v="490482.0"/>
        <n v="724827.0"/>
        <n v="572899.0"/>
        <n v="579606.0"/>
        <n v="121783.0"/>
        <n v="725454.0"/>
        <n v="305831.0"/>
        <n v="725594.0"/>
        <n v="212588.0"/>
        <n v="712521.0"/>
        <n v="299754.0"/>
        <n v="726463.0"/>
        <n v="726505.0"/>
        <n v="16584.0"/>
        <n v="726848.0"/>
        <n v="726266.0"/>
        <n v="622230.0"/>
        <n v="727006.0"/>
        <n v="29856.0"/>
        <n v="727151.0"/>
        <n v="727171.0"/>
        <n v="455616.0"/>
        <n v="69241.0"/>
        <n v="727605.0"/>
        <n v="586483.0"/>
        <n v="728554.0"/>
        <n v="362349.0"/>
        <n v="728612.0"/>
        <n v="728517.0"/>
        <n v="384798.0"/>
        <n v="677727.0"/>
        <n v="7195.0"/>
        <n v="130315.0"/>
        <n v="729919.0"/>
        <n v="730058.0"/>
        <n v="244300.0"/>
        <n v="213960.0"/>
        <n v="199053.0"/>
        <n v="154413.0"/>
        <n v="731740.0"/>
        <n v="293797.0"/>
        <n v="383684.0"/>
        <n v="732778.0"/>
        <n v="732020.0"/>
        <n v="162041.0"/>
        <n v="664978.0"/>
        <n v="207266.0"/>
        <n v="733101.0"/>
        <n v="733160.0"/>
        <n v="582172.0"/>
        <n v="449596.0"/>
        <n v="733434.0"/>
        <n v="353069.0"/>
        <n v="733986.0"/>
        <n v="426644.0"/>
        <n v="734402.0"/>
        <n v="734446.0"/>
        <n v="734627.0"/>
        <n v="734747.0"/>
        <n v="734765.0"/>
        <n v="151726.0"/>
        <n v="602316.0"/>
        <n v="169904.0"/>
        <n v="576635.0"/>
        <n v="592690.0"/>
        <n v="735521.0"/>
        <n v="171770.0"/>
        <n v="611372.0"/>
        <n v="435237.0"/>
        <n v="636801.0"/>
        <n v="38837.0"/>
        <n v="64523.0"/>
        <n v="607535.0"/>
        <n v="131595.0"/>
        <n v="275937.0"/>
        <n v="40666.0"/>
        <n v="736890.0"/>
        <n v="736965.0"/>
        <n v="353085.0"/>
        <n v="104730.0"/>
        <n v="296436.0"/>
        <n v="152222.0"/>
        <n v="26323.0"/>
        <n v="462486.0"/>
        <n v="129255.0"/>
        <n v="414892.0"/>
        <n v="738950.0"/>
        <n v="25227.0"/>
        <n v="285714.0"/>
        <n v="526701.0"/>
        <n v="236384.0"/>
        <n v="739119.0"/>
        <n v="416477.0"/>
        <n v="739571.0"/>
        <n v="81712.0"/>
        <n v="97833.0"/>
        <n v="311193.0"/>
        <n v="498487.0"/>
        <n v="739998.0"/>
        <n v="730072.0"/>
        <n v="497963.0"/>
        <n v="586708.0"/>
        <n v="360451.0"/>
        <n v="163907.0"/>
        <n v="739877.0"/>
        <n v="740115.0"/>
        <n v="740729.0"/>
        <n v="740995.0"/>
        <n v="697216.0"/>
        <n v="427331.0"/>
        <n v="390139.0"/>
        <n v="622360.0"/>
        <n v="161481.0"/>
        <n v="572438.0"/>
        <n v="280279.0"/>
        <n v="172920.0"/>
        <n v="742856.0"/>
        <n v="94636.0"/>
        <n v="262884.0"/>
        <n v="580749.0"/>
        <n v="47727.0"/>
        <n v="205087.0"/>
        <n v="280268.0"/>
        <n v="41528.0"/>
        <n v="465226.0"/>
        <n v="349597.0"/>
        <n v="741978.0"/>
        <n v="467207.0"/>
        <n v="536946.0"/>
        <n v="67531.0"/>
        <n v="551195.0"/>
        <n v="744932.0"/>
        <n v="27411.0"/>
        <n v="622331.0"/>
        <n v="3259.0"/>
        <n v="84230.0"/>
        <n v="746212.0"/>
        <n v="746298.0"/>
        <n v="559030.0"/>
        <n v="360360.0"/>
        <n v="485476.0"/>
        <n v="46832.0"/>
        <n v="745730.0"/>
        <n v="582755.0"/>
        <n v="14293.0"/>
        <n v="696864.0"/>
        <n v="581977.0"/>
        <n v="62568.0"/>
        <n v="453851.0"/>
        <n v="747201.0"/>
        <n v="644534.0"/>
        <n v="411036.0"/>
        <n v="591014.0"/>
        <n v="747421.0"/>
        <n v="639941.0"/>
        <n v="454066.0"/>
        <n v="338292.0"/>
        <n v="748008.0"/>
        <n v="579658.0"/>
        <n v="703601.0"/>
        <n v="25706.0"/>
        <n v="96194.0"/>
        <n v="170970.0"/>
        <n v="724942.0"/>
        <n v="33161.0"/>
        <n v="748527.0"/>
        <n v="183102.0"/>
        <n v="361096.0"/>
        <n v="495163.0"/>
        <n v="564583.0"/>
        <n v="748786.0"/>
        <n v="115392.0"/>
        <n v="749020.0"/>
        <n v="745537.0"/>
        <n v="105421.0"/>
        <n v="556549.0"/>
        <n v="17665.0"/>
        <n v="749146.0"/>
        <n v="301998.0"/>
        <n v="64961.0"/>
        <n v="183614.0"/>
        <n v="436872.0"/>
        <n v="218301.0"/>
        <n v="180447.0"/>
        <n v="694517.0"/>
        <n v="749173.0"/>
        <n v="293933.0"/>
        <n v="749252.0"/>
        <n v="749961.0"/>
        <n v="653718.0"/>
        <n v="160729.0"/>
        <n v="72112.0"/>
        <n v="232623.0"/>
        <n v="20351.0"/>
        <n v="750290.0"/>
        <n v="750293.0"/>
        <n v="554268.0"/>
        <n v="54367.0"/>
        <n v="745145.0"/>
        <n v="453729.0"/>
        <n v="7798.0"/>
        <n v="41992.0"/>
        <n v="710427.0"/>
        <n v="415303.0"/>
        <n v="14425.0"/>
        <n v="381689.0"/>
        <n v="135271.0"/>
        <n v="584783.0"/>
        <n v="97741.0"/>
        <n v="581038.0"/>
        <n v="751675.0"/>
        <n v="265897.0"/>
        <n v="751794.0"/>
        <n v="751875.0"/>
        <n v="584510.0"/>
        <n v="397249.0"/>
        <n v="461501.0"/>
        <n v="752561.0"/>
        <n v="752888.0"/>
        <n v="227818.0"/>
        <n v="752884.0"/>
        <n v="358879.0"/>
        <n v="43680.0"/>
        <n v="11915.0"/>
        <n v="13980.0"/>
        <n v="23659.0"/>
        <n v="754282.0"/>
        <n v="154728.0"/>
        <n v="754414.0"/>
        <n v="53213.0"/>
        <n v="600.0"/>
        <n v="633300.0"/>
        <n v="589632.0"/>
        <n v="153720.0"/>
        <n v="755080.0"/>
        <n v="386321.0"/>
        <n v="754494.0"/>
        <n v="109176.0"/>
        <n v="597756.0"/>
        <n v="305250.0"/>
        <n v="296377.0"/>
        <n v="755844.0"/>
        <n v="66697.0"/>
        <n v="755987.0"/>
        <n v="756144.0"/>
        <n v="124534.0"/>
        <n v="331500.0"/>
        <n v="361283.0"/>
        <n v="756371.0"/>
        <n v="475718.0"/>
        <n v="756177.0"/>
        <n v="756471.0"/>
        <n v="756616.0"/>
        <n v="756417.0"/>
        <n v="265232.0"/>
        <n v="373839.0"/>
        <n v="85451.0"/>
        <n v="752591.0"/>
        <n v="149766.0"/>
        <n v="231127.0"/>
        <n v="108715.0"/>
        <n v="576608.0"/>
        <n v="22815.0"/>
        <n v="613092.0"/>
        <n v="757829.0"/>
        <n v="170375.0"/>
        <n v="19546.0"/>
        <n v="124509.0"/>
        <n v="53513.0"/>
        <n v="705286.0"/>
        <n v="442986.0"/>
        <n v="23860.0"/>
        <n v="379062.0"/>
        <n v="347110.0"/>
        <n v="682696.0"/>
        <n v="14697.0"/>
        <n v="3471.0"/>
        <n v="501514.0"/>
        <n v="38532.0"/>
        <n v="9202.0"/>
        <n v="758364.0"/>
        <n v="423106.0"/>
        <n v="155199.0"/>
        <n v="331488.0"/>
        <n v="362927.0"/>
        <n v="113776.0"/>
        <n v="760239.0"/>
        <n v="50610.0"/>
        <n v="123699.0"/>
        <n v="760504.0"/>
        <n v="573829.0"/>
        <n v="388910.0"/>
        <n v="760929.0"/>
        <n v="686410.0"/>
        <n v="412873.0"/>
        <n v="739789.0"/>
        <n v="232926.0"/>
        <n v="756185.0"/>
        <n v="18432.0"/>
        <n v="761823.0"/>
        <n v="352808.0"/>
        <n v="115652.0"/>
        <n v="762099.0"/>
        <n v="762167.0"/>
        <n v="391244.0"/>
        <n v="382491.0"/>
        <n v="762492.0"/>
        <n v="687690.0"/>
        <n v="432684.0"/>
        <n v="754593.0"/>
        <n v="377427.0"/>
        <n v="586489.0"/>
        <n v="725681.0"/>
        <n v="762879.0"/>
        <n v="762945.0"/>
        <n v="511824.0"/>
        <n v="3284.0"/>
        <n v="435036.0"/>
        <n v="763086.0"/>
        <n v="48047.0"/>
        <n v="763198.0"/>
        <n v="46309.0"/>
        <n v="301972.0"/>
        <n v="125689.0"/>
        <n v="332436.0"/>
        <n v="249998.0"/>
        <n v="138714.0"/>
        <n v="680220.0"/>
        <n v="685620.0"/>
        <n v="729888.0"/>
        <n v="57550.0"/>
        <n v="40529.0"/>
        <n v="36245.0"/>
        <n v="708497.0"/>
        <n v="394240.0"/>
        <n v="764724.0"/>
        <n v="207902.0"/>
        <n v="615707.0"/>
        <n v="14830.0"/>
        <n v="228258.0"/>
        <n v="765465.0"/>
        <n v="99891.0"/>
        <n v="765663.0"/>
        <n v="158867.0"/>
        <n v="488222.0"/>
        <n v="395992.0"/>
        <n v="537497.0"/>
        <n v="362483.0"/>
        <n v="587331.0"/>
        <n v="208598.0"/>
        <n v="766784.0"/>
        <n v="13147.0"/>
        <n v="767034.0"/>
        <n v="767087.0"/>
        <n v="767386.0"/>
        <n v="691788.0"/>
        <n v="126438.0"/>
        <n v="378702.0"/>
        <n v="467481.0"/>
        <n v="569712.0"/>
        <n v="744612.0"/>
        <n v="22734.0"/>
        <n v="24870.0"/>
        <n v="30154.0"/>
        <n v="768058.0"/>
        <n v="187614.0"/>
        <n v="768342.0"/>
        <n v="24593.0"/>
        <n v="261248.0"/>
        <n v="179086.0"/>
        <n v="513583.0"/>
        <n v="436444.0"/>
        <n v="638394.0"/>
        <n v="389556.0"/>
        <n v="492567.0"/>
        <n v="437376.0"/>
        <n v="635577.0"/>
        <n v="27737.0"/>
        <n v="545696.0"/>
        <n v="54279.0"/>
        <n v="696921.0"/>
        <n v="676281.0"/>
        <n v="121361.0"/>
        <n v="177207.0"/>
        <n v="24857.0"/>
        <n v="711200.0"/>
        <n v="70964.0"/>
        <n v="770568.0"/>
        <n v="770752.0"/>
        <n v="150781.0"/>
        <n v="771032.0"/>
        <n v="501009.0"/>
        <n v="206186.0"/>
        <n v="203274.0"/>
        <n v="82733.0"/>
        <n v="771716.0"/>
        <n v="401284.0"/>
        <n v="37586.0"/>
        <n v="296128.0"/>
        <n v="765199.0"/>
        <n v="577707.0"/>
        <n v="16903.0"/>
        <n v="36617.0"/>
        <n v="542441.0"/>
        <n v="772556.0"/>
        <n v="772611.0"/>
        <n v="272900.0"/>
        <n v="772676.0"/>
        <n v="122204.0"/>
        <n v="173212.0"/>
        <n v="762439.0"/>
        <n v="232263.0"/>
        <n v="772888.0"/>
        <n v="411660.0"/>
        <n v="293919.0"/>
        <n v="146085.0"/>
        <n v="773662.0"/>
        <n v="93717.0"/>
        <n v="309607.0"/>
        <n v="450060.0"/>
        <n v="566470.0"/>
        <n v="250604.0"/>
        <n v="774304.0"/>
        <n v="770803.0"/>
        <n v="774377.0"/>
        <n v="169225.0"/>
        <n v="246030.0"/>
        <n v="71155.0"/>
        <n v="774532.0"/>
        <n v="320450.0"/>
        <n v="774568.0"/>
        <n v="34560.0"/>
        <n v="657577.0"/>
        <n v="761967.0"/>
        <n v="437549.0"/>
        <n v="85627.0"/>
        <n v="774899.0"/>
        <n v="764353.0"/>
        <n v="775162.0"/>
        <n v="138484.0"/>
        <n v="537514.0"/>
        <n v="637860.0"/>
        <n v="288096.0"/>
        <n v="433866.0"/>
        <n v="772990.0"/>
        <n v="476950.0"/>
        <n v="386439.0"/>
        <n v="47666.0"/>
        <n v="776386.0"/>
        <n v="114578.0"/>
        <n v="177258.0"/>
        <n v="776595.0"/>
        <n v="425778.0"/>
        <n v="770230.0"/>
        <n v="776813.0"/>
        <n v="454293.0"/>
        <n v="776894.0"/>
        <n v="777180.0"/>
        <n v="96574.0"/>
        <n v="281021.0"/>
        <n v="190696.0"/>
        <n v="115009.0"/>
        <n v="777958.0"/>
        <n v="35318.0"/>
        <n v="252971.0"/>
        <n v="778846.0"/>
        <n v="778451.0"/>
        <n v="779113.0"/>
        <n v="407875.0"/>
        <n v="252268.0"/>
        <n v="779397.0"/>
        <n v="11919.0"/>
        <n v="779486.0"/>
        <n v="222730.0"/>
        <n v="39580.0"/>
        <n v="26569.0"/>
        <n v="21175.0"/>
        <n v="620245.0"/>
        <n v="670836.0"/>
        <n v="349268.0"/>
        <n v="256494.0"/>
        <n v="430663.0"/>
        <n v="778256.0"/>
        <n v="40999.0"/>
        <n v="780635.0"/>
        <n v="107211.0"/>
        <n v="754489.0"/>
        <n v="780724.0"/>
        <n v="680419.0"/>
        <n v="354481.0"/>
        <n v="47156.0"/>
        <n v="508746.0"/>
        <n v="243597.0"/>
        <n v="254767.0"/>
        <n v="773577.0"/>
        <n v="614330.0"/>
        <n v="230526.0"/>
        <n v="410572.0"/>
        <n v="767756.0"/>
        <n v="591302.0"/>
        <n v="36001.0"/>
        <n v="777178.0"/>
        <n v="782149.0"/>
        <n v="591541.0"/>
        <n v="483075.0"/>
        <n v="129215.0"/>
        <n v="527573.0"/>
        <n v="412359.0"/>
        <n v="219466.0"/>
        <n v="423287.0"/>
        <n v="481708.0"/>
        <n v="782912.0"/>
        <n v="48311.0"/>
        <n v="34549.0"/>
        <n v="776747.0"/>
        <n v="778668.0"/>
        <n v="571123.0"/>
        <n v="229155.0"/>
        <n v="769244.0"/>
        <n v="783516.0"/>
        <n v="1243.0"/>
        <n v="783609.0"/>
        <n v="325049.0"/>
        <n v="783887.0"/>
        <n v="784128.0"/>
        <n v="783386.0"/>
        <n v="402542.0"/>
        <n v="27829.0"/>
        <n v="25653.0"/>
        <n v="386002.0"/>
        <n v="42892.0"/>
        <n v="285678.0"/>
        <n v="586192.0"/>
        <n v="288394.0"/>
        <n v="338175.0"/>
        <n v="2282.0"/>
        <n v="6064.0"/>
        <n v="785107.0"/>
        <n v="550206.0"/>
        <n v="637012.0"/>
        <n v="774725.0"/>
        <n v="615667.0"/>
        <n v="109026.0"/>
        <n v="785382.0"/>
        <n v="305294.0"/>
        <n v="776984.0"/>
        <n v="66777.0"/>
        <n v="295809.0"/>
        <n v="227916.0"/>
        <n v="450389.0"/>
        <n v="434479.0"/>
        <n v="517810.0"/>
        <n v="699219.0"/>
        <n v="418411.0"/>
        <n v="37506.0"/>
        <n v="535239.0"/>
        <n v="33136.0"/>
        <n v="177231.0"/>
        <n v="517331.0"/>
        <n v="787282.0"/>
        <n v="343972.0"/>
        <n v="380105.0"/>
        <n v="787608.0"/>
        <n v="787687.0"/>
        <n v="439000.0"/>
        <n v="727960.0"/>
        <n v="455166.0"/>
        <n v="511266.0"/>
        <n v="787885.0"/>
        <n v="60853.0"/>
        <n v="16533.0"/>
        <n v="384456.0"/>
        <n v="291700.0"/>
        <n v="396859.0"/>
        <n v="85556.0"/>
        <n v="158607.0"/>
        <n v="788237.0"/>
        <n v="29312.0"/>
        <n v="109700.0"/>
        <n v="573974.0"/>
        <n v="703815.0"/>
        <n v="274558.0"/>
        <n v="789070.0"/>
        <n v="34761.0"/>
        <n v="295756.0"/>
        <n v="762341.0"/>
        <n v="101688.0"/>
        <n v="790195.0"/>
        <n v="699892.0"/>
        <n v="660783.0"/>
        <n v="246410.0"/>
        <n v="768361.0"/>
        <n v="142913.0"/>
        <n v="700121.0"/>
        <n v="431759.0"/>
        <n v="248397.0"/>
        <n v="791722.0"/>
        <n v="90500.0"/>
        <n v="410394.0"/>
        <n v="430923.0"/>
        <n v="792529.0"/>
        <n v="134943.0"/>
        <n v="286275.0"/>
        <n v="94314.0"/>
        <n v="203221.0"/>
        <n v="217366.0"/>
        <n v="43172.0"/>
        <n v="793089.0"/>
        <n v="38279.0"/>
        <n v="793418.0"/>
        <n v="247934.0"/>
        <n v="216760.0"/>
        <n v="793807.0"/>
        <n v="32048.0"/>
        <n v="793828.0"/>
        <n v="126947.0"/>
        <n v="433490.0"/>
        <n v="248324.0"/>
        <n v="773280.0"/>
        <n v="324621.0"/>
        <n v="794376.0"/>
        <n v="375432.0"/>
        <n v="625620.0"/>
        <n v="691947.0"/>
        <n v="96339.0"/>
        <n v="725763.0"/>
        <n v="100219.0"/>
        <n v="794291.0"/>
        <n v="794635.0"/>
        <n v="129266.0"/>
        <n v="5377.0"/>
        <n v="723093.0"/>
        <n v="160339.0"/>
        <n v="389469.0"/>
        <n v="592870.0"/>
        <n v="406927.0"/>
        <n v="770974.0"/>
        <n v="395162.0"/>
        <n v="792467.0"/>
        <n v="12400.0"/>
        <n v="795784.0"/>
        <n v="156009.0"/>
        <n v="795884.0"/>
        <n v="221542.0"/>
        <n v="735009.0"/>
        <n v="796024.0"/>
        <n v="796075.0"/>
        <n v="233384.0"/>
        <n v="796520.0"/>
        <n v="796564.0"/>
        <n v="560947.0"/>
        <n v="796714.0"/>
        <n v="163177.0"/>
        <n v="249322.0"/>
        <n v="159023.0"/>
        <n v="692797.0"/>
        <n v="797082.0"/>
        <n v="540033.0"/>
        <n v="797261.0"/>
        <n v="160015.0"/>
        <n v="797796.0"/>
        <n v="798015.0"/>
        <n v="299601.0"/>
        <n v="610662.0"/>
        <n v="157885.0"/>
        <n v="229727.0"/>
        <n v="71292.0"/>
        <n v="121041.0"/>
        <n v="695878.0"/>
        <n v="703034.0"/>
        <n v="92714.0"/>
        <n v="390891.0"/>
        <n v="222208.0"/>
        <n v="77336.0"/>
        <n v="682679.0"/>
        <n v="524635.0"/>
        <n v="598087.0"/>
        <n v="222433.0"/>
        <n v="236317.0"/>
        <n v="71276.0"/>
        <n v="37298.0"/>
        <n v="789760.0"/>
        <n v="799508.0"/>
        <n v="450065.0"/>
        <n v="188847.0"/>
        <n v="73770.0"/>
        <n v="27418.0"/>
        <n v="73316.0"/>
        <n v="800350.0"/>
        <n v="638980.0"/>
        <n v="787468.0"/>
        <n v="800412.0"/>
        <n v="554812.0"/>
        <n v="323247.0"/>
        <n v="800547.0"/>
        <n v="138917.0"/>
        <n v="1959.0"/>
        <n v="429381.0"/>
        <n v="801221.0"/>
        <n v="596566.0"/>
        <n v="801396.0"/>
        <n v="45136.0"/>
        <n v="82260.0"/>
        <n v="497606.0"/>
        <n v="50033.0"/>
        <n v="181415.0"/>
        <n v="701207.0"/>
        <n v="675139.0"/>
        <n v="802284.0"/>
        <n v="172409.0"/>
        <n v="297216.0"/>
        <n v="23733.0"/>
        <n v="118408.0"/>
        <n v="291526.0"/>
        <n v="88238.0"/>
        <n v="124512.0"/>
        <n v="245629.0"/>
        <n v="577831.0"/>
        <n v="575178.0"/>
        <n v="785408.0"/>
        <n v="218929.0"/>
        <n v="189339.0"/>
        <n v="97627.0"/>
        <n v="803196.0"/>
        <n v="803445.0"/>
        <n v="783152.0"/>
        <n v="801592.0"/>
        <n v="47760.0"/>
        <n v="769636.0"/>
        <n v="135681.0"/>
        <n v="732413.0"/>
        <n v="640895.0"/>
        <n v="805072.0"/>
        <n v="347892.0"/>
        <n v="222508.0"/>
        <n v="470509.0"/>
        <n v="23298.0"/>
        <n v="805518.0"/>
        <n v="133871.0"/>
        <n v="298233.0"/>
        <n v="387318.0"/>
        <n v="805590.0"/>
        <n v="194108.0"/>
        <n v="89580.0"/>
        <n v="806386.0"/>
        <n v="193225.0"/>
        <n v="806747.0"/>
        <n v="806961.0"/>
        <n v="96976.0"/>
        <n v="223588.0"/>
        <n v="801199.0"/>
        <n v="442008.0"/>
        <n v="162049.0"/>
        <n v="807458.0"/>
        <n v="504601.0"/>
        <n v="807642.0"/>
        <n v="528921.0"/>
        <n v="486986.0"/>
        <n v="569066.0"/>
        <n v="807955.0"/>
        <n v="808618.0"/>
        <n v="808675.0"/>
        <n v="808214.0"/>
        <n v="105174.0"/>
        <n v="720948.0"/>
        <n v="27934.0"/>
        <n v="399147.0"/>
        <n v="809330.0"/>
        <n v="573701.0"/>
        <n v="810295.0"/>
        <n v="794585.0"/>
        <n v="810378.0"/>
        <n v="677846.0"/>
        <n v="810583.0"/>
        <n v="759636.0"/>
        <n v="36848.0"/>
        <n v="499192.0"/>
        <n v="28503.0"/>
        <n v="426194.0"/>
        <n v="78077.0"/>
        <n v="142581.0"/>
        <n v="430062.0"/>
        <n v="782579.0"/>
        <n v="232082.0"/>
        <n v="430502.0"/>
        <n v="713115.0"/>
        <n v="751045.0"/>
        <n v="86793.0"/>
        <n v="8707.0"/>
        <n v="812183.0"/>
        <n v="30351.0"/>
        <n v="76770.0"/>
        <n v="662740.0"/>
        <n v="377205.0"/>
        <n v="161760.0"/>
        <n v="245733.0"/>
        <n v="480857.0"/>
        <n v="346445.0"/>
        <n v="181781.0"/>
        <n v="678056.0"/>
        <n v="813289.0"/>
        <n v="813317.0"/>
        <n v="786710.0"/>
        <n v="267848.0"/>
        <n v="39410.0"/>
        <n v="813691.0"/>
        <n v="813777.0"/>
        <n v="814150.0"/>
        <n v="814167.0"/>
        <n v="195024.0"/>
        <n v="32147.0"/>
        <n v="137079.0"/>
        <n v="131074.0"/>
        <n v="57737.0"/>
        <n v="10060.0"/>
        <n v="136394.0"/>
        <n v="745365.0"/>
        <n v="409368.0"/>
        <n v="814944.0"/>
        <n v="22870.0"/>
        <n v="135417.0"/>
        <n v="153418.0"/>
        <n v="419789.0"/>
        <n v="429586.0"/>
        <n v="47703.0"/>
        <n v="690666.0"/>
        <n v="815537.0"/>
        <n v="114622.0"/>
        <n v="590366.0"/>
        <n v="689618.0"/>
        <n v="274286.0"/>
        <n v="408893.0"/>
        <n v="563118.0"/>
        <n v="816132.0"/>
        <n v="60133.0"/>
        <n v="816191.0"/>
        <n v="334113.0"/>
        <n v="68251.0"/>
        <n v="690.0"/>
        <n v="816406.0"/>
        <n v="481462.0"/>
        <n v="41184.0"/>
        <n v="816545.0"/>
        <n v="315027.0"/>
        <n v="720.0"/>
        <n v="182495.0"/>
        <n v="816744.0"/>
        <n v="304111.0"/>
        <n v="262268.0"/>
        <n v="148762.0"/>
        <n v="12133.0"/>
        <n v="816724.0"/>
        <n v="817118.0"/>
        <n v="817166.0"/>
        <n v="246367.0"/>
        <n v="362465.0"/>
        <n v="210658.0"/>
        <n v="92748.0"/>
        <n v="405930.0"/>
        <n v="362365.0"/>
        <n v="143730.0"/>
        <n v="81579.0"/>
        <n v="817365.0"/>
        <n v="653514.0"/>
        <n v="402433.0"/>
        <n v="449207.0"/>
        <n v="817674.0"/>
        <n v="40279.0"/>
        <n v="154118.0"/>
        <n v="818011.0"/>
        <n v="249463.0"/>
        <n v="131403.0"/>
        <n v="818221.0"/>
        <n v="408346.0"/>
        <n v="82017.0"/>
        <n v="818294.0"/>
        <n v="69645.0"/>
        <n v="27136.0"/>
        <n v="735099.0"/>
        <n v="182863.0"/>
        <n v="122481.0"/>
        <n v="119627.0"/>
        <n v="818138.0"/>
        <n v="692273.0"/>
        <n v="181778.0"/>
        <n v="57825.0"/>
        <n v="328480.0"/>
        <n v="20174.0"/>
        <n v="82801.0"/>
        <n v="66260.0"/>
        <n v="727871.0"/>
        <n v="6497.0"/>
        <n v="818838.0"/>
        <n v="100378.0"/>
        <n v="174418.0"/>
        <n v="818970.0"/>
        <n v="330676.0"/>
        <n v="819106.0"/>
        <n v="819133.0"/>
        <n v="113904.0"/>
        <n v="694321.0"/>
        <n v="231596.0"/>
        <n v="354261.0"/>
        <n v="819287.0"/>
        <n v="286880.0"/>
        <n v="172368.0"/>
        <n v="384034.0"/>
        <n v="197052.0"/>
        <n v="819465.0"/>
        <n v="305347.0"/>
        <n v="173961.0"/>
        <n v="18401.0"/>
        <n v="818446.0"/>
        <n v="819781.0"/>
        <n v="364783.0"/>
        <n v="187632.0"/>
        <n v="819846.0"/>
        <n v="819864.0"/>
        <n v="228782.0"/>
        <n v="819888.0"/>
        <n v="171195.0"/>
        <n v="252629.0"/>
        <n v="505202.0"/>
        <n v="138171.0"/>
        <n v="18759.0"/>
        <n v="100190.0"/>
        <n v="425014.0"/>
        <n v="118395.0"/>
        <n v="133564.0"/>
        <n v="160623.0"/>
        <n v="223040.0"/>
        <n v="254815.0"/>
        <n v="460480.0"/>
        <n v="509140.0"/>
        <n v="143305.0"/>
        <n v="645006.0"/>
        <n v="496097.0"/>
        <n v="820838.0"/>
        <n v="820892.0"/>
        <n v="156296.0"/>
        <n v="537212.0"/>
        <n v="413465.0"/>
        <n v="756565.0"/>
        <n v="502135.0"/>
        <n v="538028.0"/>
        <n v="4685.0"/>
        <n v="566634.0"/>
        <n v="40436.0"/>
        <n v="88131.0"/>
        <n v="821457.0"/>
        <n v="650513.0"/>
        <n v="819751.0"/>
        <n v="198145.0"/>
        <n v="215008.0"/>
        <n v="255782.0"/>
        <n v="47063.0"/>
        <n v="821315.0"/>
        <n v="3776.0"/>
        <n v="306167.0"/>
        <n v="678931.0"/>
        <n v="119844.0"/>
        <n v="822691.0"/>
        <m/>
      </sharedItems>
    </cacheField>
    <cacheField name="Coupon" numFmtId="0">
      <sharedItems containsBlank="1">
        <s v="DG9"/>
        <s v="DG1"/>
        <s v="MNN16"/>
        <s v="DB1"/>
        <s v="MIMI44"/>
        <s v="MNN15"/>
        <s v="CC22"/>
        <s v="NAA10"/>
        <s v="DB3"/>
        <s v="MNN17"/>
        <s v="BITS"/>
        <s v="WFR"/>
        <s v="L50"/>
        <s v="DB33"/>
        <s v="DB7"/>
        <s v="RR22"/>
        <s v="ZM22"/>
        <s v="DB12"/>
        <s v="URPAY"/>
        <s v="HABIBI"/>
        <s v="JM"/>
        <s v="DG3"/>
        <s v="SA5"/>
        <s v="MNN27"/>
        <s v="FROZ"/>
        <s v="DG10"/>
        <s v="MNN26"/>
        <s v="DB6"/>
        <s v="DG11"/>
        <s v="MNN37"/>
        <s v="MNN19"/>
        <s v="DG5"/>
        <s v="BCARE"/>
        <s v="DB18"/>
        <s v="DG8"/>
        <s v="82WP58"/>
        <s v="DG2"/>
        <s v="DB22"/>
        <m/>
      </sharedItems>
    </cacheField>
    <cacheField name="Coupon Description" numFmtId="0">
      <sharedItems containsBlank="1">
        <s v="Imported from file Digizag.xlsx"/>
        <s v="Imported from file DigiZag Codes 25Feb25.xlsx"/>
        <s v="Imported from file DigiZag Bidding Codes.xlsx"/>
        <s v="Digizag"/>
        <m/>
      </sharedItems>
    </cacheField>
    <cacheField name="Order id" numFmtId="0">
      <sharedItems containsBlank="1">
        <s v="ZJA217820"/>
        <s v="TNN559980"/>
        <s v="TPX521248"/>
        <s v="KEH679949"/>
        <s v="LJV967207"/>
        <s v="KZJ582374"/>
        <s v="RMS176099"/>
        <s v="LAD351051"/>
        <s v="ZLS770910"/>
        <s v="ZBA188646"/>
        <s v="ULC774542"/>
        <s v="CNL205728"/>
        <s v="AJJ624982"/>
        <s v="XDJ188206"/>
        <s v="CCX542026"/>
        <s v="PRD803881"/>
        <s v="LGN783137"/>
        <s v="KNN146695"/>
        <s v="VRV400970"/>
        <s v="TDT217134"/>
        <s v="QNS704263"/>
        <s v="HGH234760"/>
        <s v="YXT165053"/>
        <s v="XAW584900"/>
        <s v="KZA731936"/>
        <s v="TZJ705926"/>
        <s v="HQE225764"/>
        <s v="KTY735073"/>
        <s v="VKL493890"/>
        <s v="CJZ237935"/>
        <s v="ATD862333"/>
        <s v="MMH802061"/>
        <s v="WVN101167"/>
        <s v="VCX545027"/>
        <s v="HYM104917"/>
        <s v="WXR190217"/>
        <s v="ZLV359982"/>
        <s v="HNG656860"/>
        <s v="TUM709755"/>
        <s v="UTJ542814"/>
        <s v="VWK605468"/>
        <s v="RPY369663"/>
        <s v="JJU379037"/>
        <s v="QHD343678"/>
        <s v="MCA605189"/>
        <s v="MPZ687874"/>
        <s v="VYT127092"/>
        <s v="SKP982811"/>
        <s v="TEW862234"/>
        <s v="VAN431236"/>
        <s v="TZH721284"/>
        <s v="DWB154441"/>
        <s v="UHR946451"/>
        <s v="QSG911318"/>
        <s v="EJZ168977"/>
        <s v="UUP794478"/>
        <s v="ZZV647495"/>
        <s v="QWT785038"/>
        <s v="PGV435864"/>
        <s v="UUL755954"/>
        <s v="GEY165339"/>
        <s v="WDD215401"/>
        <s v="CDN698888"/>
        <s v="AXL504862"/>
        <s v="TYU790526"/>
        <s v="GTM614406"/>
        <s v="CGA563110"/>
        <s v="MWR545856"/>
        <s v="GUD941620"/>
        <s v="JBM716524"/>
        <s v="HUG614812"/>
        <s v="AQY794277"/>
        <s v="MNK237366"/>
        <s v="LRT459109"/>
        <s v="KQN185433"/>
        <s v="GQC370024"/>
        <s v="UWP971776"/>
        <s v="QEL198759"/>
        <s v="BRR197045"/>
        <s v="NBK743364"/>
        <s v="HTA543592"/>
        <s v="KGP473413"/>
        <s v="NEZ585279"/>
        <s v="VQC914703"/>
        <s v="YRU365468"/>
        <s v="ZBW509867"/>
        <s v="ZWW998679"/>
        <s v="TAJ395207"/>
        <s v="NTL225529"/>
        <s v="SZB529599"/>
        <s v="CXZ746938"/>
        <s v="GQY457561"/>
        <s v="GMP774611"/>
        <s v="KAR365198"/>
        <s v="TLH170453"/>
        <s v="XJH597284"/>
        <s v="YVD932669"/>
        <s v="LKY795668"/>
        <s v="TGQ785872"/>
        <s v="XTX408503"/>
        <s v="GCP147969"/>
        <s v="ALZ862140"/>
        <s v="DLM104433"/>
        <s v="ZBK544752"/>
        <s v="TAT559529"/>
        <s v="RJN541491"/>
        <s v="PSJ583634"/>
        <s v="CKL648665"/>
        <s v="PBW601025"/>
        <s v="UWA973458"/>
        <s v="TCQ752325"/>
        <s v="TCW645291"/>
        <s v="YTR274028"/>
        <s v="XYJ977426"/>
        <s v="XKL527485"/>
        <s v="VKH109835"/>
        <s v="YMP360642"/>
        <s v="DGZ394792"/>
        <s v="ZPT223207"/>
        <s v="YAY705418"/>
        <s v="SMJ562549"/>
        <s v="EVL417771"/>
        <s v="VHX244905"/>
        <s v="DKW869190"/>
        <s v="CAN208583"/>
        <s v="GLZ183726"/>
        <s v="LJR133711"/>
        <s v="YYS266621"/>
        <s v="WZP578584"/>
        <s v="TRS656412"/>
        <s v="SHJ931891"/>
        <s v="QEW219137"/>
        <s v="JED805096"/>
        <s v="MMX697438"/>
        <s v="LBY566195"/>
        <s v="EHT946860"/>
        <s v="PLX897886"/>
        <s v="HEA438443"/>
        <s v="YRK135966"/>
        <s v="HJK630109"/>
        <s v="QVC381443"/>
        <s v="EBJ274321"/>
        <s v="HKJ930626"/>
        <s v="LRM261562"/>
        <s v="NGQ911776"/>
        <s v="HGV260678"/>
        <s v="DQU923914"/>
        <s v="BLN475480"/>
        <s v="GGS150353"/>
        <s v="WLR825664"/>
        <s v="GEZ257147"/>
        <s v="BBY567340"/>
        <s v="CLQ157722"/>
        <s v="VNS494369"/>
        <s v="PZE925474"/>
        <s v="AMJ927841"/>
        <s v="KPP555836"/>
        <s v="SMK585698"/>
        <s v="VMZ751035"/>
        <s v="SAK503866"/>
        <s v="CUB252272"/>
        <s v="BCQ612519"/>
        <s v="CKM120290"/>
        <s v="HRR453017"/>
        <s v="LPP118937"/>
        <s v="HQM490628"/>
        <s v="YMG335446"/>
        <s v="YLY696742"/>
        <s v="TEB331909"/>
        <s v="XSM506814"/>
        <s v="YNY123960"/>
        <s v="SYU174227"/>
        <s v="LEW896079"/>
        <s v="AYC812451"/>
        <s v="RSM968603"/>
        <s v="QQN761050"/>
        <s v="XCQ904815"/>
        <s v="TLU636047"/>
        <s v="KGB402935"/>
        <s v="ZYT416785"/>
        <s v="UQN816393"/>
        <s v="QBH403930"/>
        <s v="UQN774645"/>
        <s v="EZX103262"/>
        <s v="ZZD504491"/>
        <s v="AEH585071"/>
        <s v="AJA856414"/>
        <s v="UPZ288130"/>
        <s v="KDM830040"/>
        <s v="UPL784451"/>
        <s v="DZV894139"/>
        <s v="WAY481508"/>
        <s v="JNA109738"/>
        <s v="UXV274222"/>
        <s v="TLR768528"/>
        <s v="CUP723373"/>
        <s v="QGS979182"/>
        <s v="RBB544284"/>
        <s v="UVZ830092"/>
        <s v="LZY106601"/>
        <s v="HTN428840"/>
        <s v="YMR742525"/>
        <s v="HDM579080"/>
        <s v="MWJ418242"/>
        <s v="PLT160964"/>
        <s v="LJV358070"/>
        <s v="UXL377221"/>
        <s v="SHG535778"/>
        <s v="GEM139727"/>
        <s v="MWA466330"/>
        <s v="SGT177578"/>
        <s v="XTB708948"/>
        <s v="BWK450986"/>
        <s v="TBK581903"/>
        <s v="XZL438770"/>
        <s v="RXW941526"/>
        <s v="GZW983620"/>
        <s v="NCR770387"/>
        <s v="ETJ851473"/>
        <s v="NDJ604702"/>
        <s v="VJD471781"/>
        <s v="HQB472263"/>
        <s v="YUP149073"/>
        <s v="TDU579027"/>
        <s v="KUD994723"/>
        <s v="SLZ393977"/>
        <s v="GBU430572"/>
        <s v="ERD291540"/>
        <s v="SCN182849"/>
        <s v="HZW773544"/>
        <s v="GRS688837"/>
        <s v="VUY126412"/>
        <s v="VSG423292"/>
        <s v="WWE560027"/>
        <s v="LJX730446"/>
        <s v="MPD778445"/>
        <s v="SUW222412"/>
        <s v="QGS866520"/>
        <s v="WCB322372"/>
        <s v="YQL386908"/>
        <s v="SQU921085"/>
        <s v="VQA219798"/>
        <s v="TUG406332"/>
        <s v="ELB612300"/>
        <s v="YSW451983"/>
        <s v="KJD377750"/>
        <s v="GYQ639377"/>
        <s v="VSR739655"/>
        <s v="WYU597152"/>
        <s v="NWU808049"/>
        <s v="CPR398908"/>
        <s v="JQX117440"/>
        <s v="GNN581128"/>
        <s v="EQC705128"/>
        <s v="XLD775134"/>
        <s v="BJR636908"/>
        <s v="GQV615011"/>
        <s v="WKT994334"/>
        <s v="TQP817260"/>
        <s v="GWA649845"/>
        <s v="DXY781870"/>
        <s v="MUA397791"/>
        <s v="MXU177938"/>
        <s v="ZPA937875"/>
        <s v="DXM616012"/>
        <s v="JAT233910"/>
        <s v="MNC261933"/>
        <s v="XJE436666"/>
        <s v="PTT632576"/>
        <s v="GEU300208"/>
        <s v="NQM825431"/>
        <s v="YHJ501438"/>
        <s v="XPU598293"/>
        <s v="DJH633296"/>
        <s v="YEH627652"/>
        <s v="LUR216762"/>
        <s v="KQJ273483"/>
        <s v="UXR801248"/>
        <s v="UPW178781"/>
        <s v="PGT257061"/>
        <s v="TYH139445"/>
        <s v="AXW795241"/>
        <s v="MVB390746"/>
        <s v="PPA771845"/>
        <s v="GRD196146"/>
        <s v="BZR625417"/>
        <s v="XJD855454"/>
        <s v="TPG524240"/>
        <s v="DNB954519"/>
        <s v="QQJ441536"/>
        <s v="LER336477"/>
        <s v="NMX999536"/>
        <s v="JUX776662"/>
        <s v="BED398129"/>
        <s v="YDD268182"/>
        <s v="AAJ341681"/>
        <s v="SWM829040"/>
        <s v="DPV229711"/>
        <s v="GZN298123"/>
        <s v="HAX122179"/>
        <s v="VWA926417"/>
        <s v="WEU786360"/>
        <s v="WSN593450"/>
        <s v="MWZ844999"/>
        <s v="LEA759697"/>
        <s v="BYE111476"/>
        <s v="RKD529918"/>
        <s v="SJP317701"/>
        <s v="LPU612993"/>
        <s v="LHK992074"/>
        <s v="DVP891810"/>
        <s v="GUL363090"/>
        <s v="CMC480122"/>
        <s v="DBC597264"/>
        <s v="GQG339717"/>
        <s v="APK762618"/>
        <s v="AXS457470"/>
        <s v="GMX342519"/>
        <s v="AUW778927"/>
        <s v="NVP653761"/>
        <s v="LBE244276"/>
        <s v="AKE695812"/>
        <s v="JQU148474"/>
        <s v="LAZ873838"/>
        <s v="AVA857458"/>
        <s v="BWX532270"/>
        <s v="WRM260618"/>
        <s v="GXB579161"/>
        <s v="LUN751816"/>
        <s v="VHS332258"/>
        <s v="ULA487559"/>
        <s v="RRM196477"/>
        <s v="HAR850554"/>
        <s v="PDN149378"/>
        <s v="EEK736042"/>
        <s v="SEU222684"/>
        <s v="DSW725401"/>
        <s v="NNL426871"/>
        <s v="MEP102019"/>
        <s v="NGB887980"/>
        <s v="QQB771092"/>
        <s v="SXV349295"/>
        <s v="PGX768084"/>
        <s v="RUZ314317"/>
        <s v="JVV403293"/>
        <s v="XNR973976"/>
        <s v="VPT424915"/>
        <s v="HQC827852"/>
        <s v="GVA610138"/>
        <s v="MGY381044"/>
        <s v="EXN166921"/>
        <s v="QSC686994"/>
        <s v="BTK820803"/>
        <s v="MAV192790"/>
        <s v="DWB808119"/>
        <s v="SCT312333"/>
        <s v="ZEC262950"/>
        <s v="TJL570491"/>
        <s v="LPN309024"/>
        <s v="YCQ173700"/>
        <s v="LQU455012"/>
        <s v="DNQ366817"/>
        <s v="MXS940599"/>
        <s v="ESH225431"/>
        <s v="DSH292758"/>
        <s v="RXZ976891"/>
        <s v="KRL591013"/>
        <s v="KVW206198"/>
        <s v="HGP560176"/>
        <s v="SCN383454"/>
        <s v="DAJ921275"/>
        <s v="SGU996934"/>
        <s v="JKG437340"/>
        <s v="YTV429369"/>
        <s v="UCQ313590"/>
        <s v="VZC935864"/>
        <s v="SUB381173"/>
        <s v="AXZ971290"/>
        <s v="SER330456"/>
        <s v="RUB625682"/>
        <s v="GJD884657"/>
        <s v="UGH726700"/>
        <s v="RPX615638"/>
        <s v="CYZ890372"/>
        <s v="HHR521311"/>
        <s v="UVX839032"/>
        <s v="JQZ864706"/>
        <s v="RWQ462070"/>
        <s v="JLP596271"/>
        <s v="GGX283928"/>
        <s v="YEC708131"/>
        <s v="THU120206"/>
        <s v="QUZ557810"/>
        <s v="QKY748510"/>
        <s v="LAV619820"/>
        <s v="RMV794844"/>
        <s v="MAA364551"/>
        <s v="DUH420250"/>
        <s v="XZE615537"/>
        <s v="HJD865255"/>
        <s v="URA589371"/>
        <s v="LGA516249"/>
        <s v="GEZ750161"/>
        <s v="GPW117501"/>
        <s v="NKN563577"/>
        <s v="UWN703136"/>
        <s v="EYZ179013"/>
        <s v="STX634894"/>
        <s v="BGE952617"/>
        <s v="XAR222979"/>
        <s v="NJB461845"/>
        <s v="BJQ910554"/>
        <s v="QZU956687"/>
        <s v="JJL141966"/>
        <s v="AGC938491"/>
        <s v="RQZ563481"/>
        <s v="WPJ316307"/>
        <s v="LNT511581"/>
        <s v="QGU430280"/>
        <s v="CZN410777"/>
        <s v="TXM932862"/>
        <s v="NKB981340"/>
        <s v="YUP743927"/>
        <s v="KHX536226"/>
        <s v="PTX587337"/>
        <s v="GVR956812"/>
        <s v="PDD235852"/>
        <s v="EER721877"/>
        <s v="CCN482231"/>
        <s v="TCS181177"/>
        <s v="HZH445915"/>
        <s v="KSE564228"/>
        <s v="SEZ810331"/>
        <s v="STD166575"/>
        <s v="JTY313113"/>
        <s v="MYM663713"/>
        <s v="DWU463093"/>
        <s v="PNX897478"/>
        <s v="HUW911906"/>
        <s v="QBX327746"/>
        <s v="CVC323103"/>
        <s v="VAB583038"/>
        <s v="AYG191862"/>
        <s v="TSM729257"/>
        <s v="ASA378701"/>
        <s v="QXQ960512"/>
        <s v="MLX618074"/>
        <s v="XWN444607"/>
        <s v="YNK402039"/>
        <s v="RSN455046"/>
        <s v="ATG709260"/>
        <s v="BYL836651"/>
        <s v="WDQ380136"/>
        <s v="KWQ675019"/>
        <s v="UJW182440"/>
        <s v="TYD289527"/>
        <s v="PVE353996"/>
        <s v="VGH533156"/>
        <s v="RCL978567"/>
        <s v="GRM505096"/>
        <s v="WYY918003"/>
        <s v="YLL154806"/>
        <s v="UJB668457"/>
        <s v="ZLD927165"/>
        <s v="XTP861878"/>
        <s v="MGR319100"/>
        <s v="DRW788236"/>
        <s v="VQN164428"/>
        <s v="ABL119189"/>
        <s v="HSJ473102"/>
        <s v="ZJG162895"/>
        <s v="PKU231700"/>
        <s v="HSM497448"/>
        <s v="KCW771811"/>
        <s v="GGD553379"/>
        <s v="ZJN228061"/>
        <s v="BHX138569"/>
        <s v="KBG637597"/>
        <s v="LPM454365"/>
        <s v="MNE485101"/>
        <s v="TPL996651"/>
        <s v="QDR646121"/>
        <s v="TCQ109969"/>
        <s v="XVT397061"/>
        <s v="YLQ878798"/>
        <s v="MBG909459"/>
        <s v="VZN715461"/>
        <s v="JDC531083"/>
        <s v="JJD848828"/>
        <s v="GTM114590"/>
        <s v="EXY888604"/>
        <s v="ULH141266"/>
        <s v="KQH606235"/>
        <s v="RBQ719287"/>
        <s v="QZB189780"/>
        <s v="HPG503246"/>
        <s v="RVR121264"/>
        <s v="XWV380112"/>
        <s v="HDA545318"/>
        <s v="BYY641469"/>
        <s v="NAW604516"/>
        <s v="ZCH552186"/>
        <s v="WUB905619"/>
        <s v="NEC929868"/>
        <s v="NGL389458"/>
        <s v="NWG877620"/>
        <s v="UQA242441"/>
        <s v="XNX970441"/>
        <s v="LCY217422"/>
        <s v="NRS533789"/>
        <s v="ZAH852030"/>
        <s v="GVA653183"/>
        <s v="LLA276345"/>
        <s v="SLA432186"/>
        <s v="XHE632872"/>
        <s v="QWV222450"/>
        <s v="SZH514109"/>
        <s v="HQB540613"/>
        <s v="NTZ241173"/>
        <s v="GAP911770"/>
        <s v="STZ875244"/>
        <s v="RKS689160"/>
        <s v="BMY671861"/>
        <s v="LKU781040"/>
        <s v="PRL909359"/>
        <s v="TEB412609"/>
        <s v="VMX293118"/>
        <s v="WMB718382"/>
        <s v="GDZ821799"/>
        <s v="PCX554659"/>
        <s v="LPB951884"/>
        <s v="RQZ841785"/>
        <s v="HWW655670"/>
        <s v="NJH166758"/>
        <s v="YSC832674"/>
        <s v="ADU745772"/>
        <s v="YDM482126"/>
        <s v="EMZ732558"/>
        <s v="RPZ326133"/>
        <s v="CZL986776"/>
        <s v="EMC380894"/>
        <s v="BZN449518"/>
        <s v="GQX842851"/>
        <s v="LCS300524"/>
        <s v="HQN126945"/>
        <s v="GUE675723"/>
        <s v="DRZ308827"/>
        <s v="RRN712759"/>
        <s v="PWP297716"/>
        <s v="PQR929874"/>
        <s v="JGD631111"/>
        <s v="HXE104736"/>
        <s v="GAZ976077"/>
        <s v="MUB496176"/>
        <s v="CCB166132"/>
        <s v="YWH364269"/>
        <s v="HND672966"/>
        <s v="GRW223911"/>
        <s v="AQZ790286"/>
        <s v="RXT866052"/>
        <s v="LAP665861"/>
        <s v="VEM642692"/>
        <s v="WJP897564"/>
        <s v="MHX995565"/>
        <s v="SSR707197"/>
        <s v="LXP433293"/>
        <s v="VQS854493"/>
        <s v="XMB375069"/>
        <s v="BTQ333246"/>
        <s v="QTX318514"/>
        <s v="PHX589360"/>
        <s v="GRR238154"/>
        <s v="RLM788654"/>
        <s v="GPD878681"/>
        <s v="TKW159644"/>
        <s v="SYY909466"/>
        <s v="MTR703417"/>
        <s v="RSX261157"/>
        <s v="MHY824391"/>
        <s v="ELJ458060"/>
        <s v="ZKH826793"/>
        <s v="BBE753305"/>
        <s v="NRG741792"/>
        <s v="QGB359609"/>
        <s v="NHQ476844"/>
        <s v="ZMT997214"/>
        <s v="QUS846096"/>
        <s v="TPS755125"/>
        <s v="VCH485607"/>
        <s v="BCY945469"/>
        <s v="KBU876514"/>
        <s v="PPK942209"/>
        <s v="NST469847"/>
        <s v="YVX204871"/>
        <s v="DDT622929"/>
        <s v="JXK424004"/>
        <s v="KXT843877"/>
        <s v="LPE707598"/>
        <s v="PRM102377"/>
        <s v="QVN371498"/>
        <s v="UGZ907346"/>
        <s v="SBV512677"/>
        <s v="XYT267871"/>
        <s v="KTZ360637"/>
        <s v="GVD230156"/>
        <s v="AYJ528845"/>
        <s v="HNR653215"/>
        <s v="APX248411"/>
        <s v="NSD104208"/>
        <s v="RBN226256"/>
        <s v="UCZ307406"/>
        <s v="DXQ478251"/>
        <s v="XDX318257"/>
        <s v="MQJ346170"/>
        <s v="BLW989483"/>
        <s v="ZNY214030"/>
        <s v="QCC815849"/>
        <s v="ZKU375556"/>
        <s v="WSN319044"/>
        <s v="ZKW411478"/>
        <s v="LEL834185"/>
        <s v="JTP217140"/>
        <s v="GRK693538"/>
        <s v="HJG683593"/>
        <s v="KSK346385"/>
        <s v="HBJ499507"/>
        <s v="YAS453783"/>
        <s v="VNV749133"/>
        <s v="WAY736075"/>
        <s v="WKE195802"/>
        <s v="TRP782041"/>
        <s v="QMD992390"/>
        <s v="LAU150883"/>
        <s v="LPM353123"/>
        <s v="TAT292893"/>
        <s v="XGA996498"/>
        <s v="YXZ924126"/>
        <s v="PZV160710"/>
        <s v="MCM107038"/>
        <s v="YVQ768407"/>
        <s v="AWH215251"/>
        <s v="TYE950953"/>
        <s v="GJA140835"/>
        <s v="ZWM511146"/>
        <s v="TNB342853"/>
        <s v="HSC391787"/>
        <s v="ENZ648000"/>
        <s v="HEE271640"/>
        <s v="NHX509821"/>
        <s v="CXC149518"/>
        <s v="NJM586423"/>
        <s v="SKT963111"/>
        <s v="LTH451709"/>
        <s v="GJH238184"/>
        <s v="SQT148249"/>
        <s v="HLM472175"/>
        <s v="MNA174267"/>
        <s v="BAT279647"/>
        <s v="LVC348661"/>
        <s v="JPB749340"/>
        <s v="UMP396646"/>
        <s v="DNU580758"/>
        <s v="JQB611493"/>
        <s v="TRN784549"/>
        <s v="JGT587653"/>
        <s v="DSL904714"/>
        <s v="NLR525055"/>
        <s v="TLD837142"/>
        <s v="QHB123634"/>
        <s v="BNL867592"/>
        <s v="AKB460934"/>
        <s v="ADV177446"/>
        <s v="LQU538526"/>
        <s v="YNS210197"/>
        <s v="BCW852800"/>
        <s v="JPW439672"/>
        <s v="SSH249125"/>
        <s v="STK857682"/>
        <s v="GUV868964"/>
        <s v="NKW393048"/>
        <s v="LSK666961"/>
        <s v="VDZ845069"/>
        <s v="UCA713509"/>
        <s v="VAH113908"/>
        <s v="WRG890680"/>
        <s v="YSR796639"/>
        <s v="TCM934492"/>
        <s v="HBH917640"/>
        <s v="DCQ373834"/>
        <s v="SSS748358"/>
        <s v="JSU283894"/>
        <s v="USV415896"/>
        <s v="WYC641986"/>
        <s v="HTS163517"/>
        <s v="WJJ425816"/>
        <s v="PLU382159"/>
        <s v="SXC909253"/>
        <s v="KPP195372"/>
        <s v="WQB560931"/>
        <s v="WYU202562"/>
        <s v="TJL934540"/>
        <s v="VVJ201907"/>
        <s v="VPK189419"/>
        <s v="CWT894362"/>
        <s v="AET696217"/>
        <s v="LKP257334"/>
        <s v="MMQ586838"/>
        <s v="MTC717936"/>
        <s v="QPG845400"/>
        <s v="DSJ796229"/>
        <s v="VTW906629"/>
        <s v="MKD179533"/>
        <s v="YUN696247"/>
        <s v="GYC782464"/>
        <s v="ZAM204131"/>
        <s v="UUY937916"/>
        <s v="LYA922650"/>
        <s v="PMX973004"/>
        <s v="ZDD742368"/>
        <s v="RPT980078"/>
        <s v="SSU173923"/>
        <s v="WUX937826"/>
        <s v="VWL881767"/>
        <s v="BWN433815"/>
        <s v="HCC316745"/>
        <s v="JWL220467"/>
        <s v="TWH184495"/>
        <s v="LNY386892"/>
        <s v="DJS274500"/>
        <s v="LAC239312"/>
        <s v="DCE460510"/>
        <s v="RXP230760"/>
        <s v="BNN542602"/>
        <s v="CUS334723"/>
        <s v="EPZ237689"/>
        <s v="WNG314164"/>
        <s v="MYM587227"/>
        <s v="VXP694738"/>
        <s v="JXV690912"/>
        <s v="BLU663510"/>
        <s v="SRW644972"/>
        <s v="ZYL960032"/>
        <s v="RLE403526"/>
        <s v="BXG668319"/>
        <s v="XJV572376"/>
        <s v="TQJ953369"/>
        <s v="DYY697655"/>
        <s v="JUD200077"/>
        <s v="HTE499946"/>
        <s v="XVX913583"/>
        <s v="SHW951494"/>
        <s v="DWE327138"/>
        <s v="UCC145360"/>
        <s v="ZML445357"/>
        <s v="AKS717209"/>
        <s v="EML699831"/>
        <s v="AVA889593"/>
        <s v="JTB265455"/>
        <s v="AXK611784"/>
        <s v="QWB410655"/>
        <s v="EWA632076"/>
        <s v="PZS570344"/>
        <s v="PPL261598"/>
        <s v="KZG688768"/>
        <s v="WNV864792"/>
        <s v="WZL401416"/>
        <s v="GTY358689"/>
        <s v="DHR924937"/>
        <s v="VVJ646724"/>
        <s v="WTY884635"/>
        <s v="STV350591"/>
        <s v="QJZ887311"/>
        <s v="HXP943324"/>
        <s v="DPW793994"/>
        <s v="KRN544165"/>
        <s v="BNX273597"/>
        <s v="AKW384260"/>
        <s v="VLG765052"/>
        <s v="JWJ113667"/>
        <s v="XNP607106"/>
        <s v="KAP676094"/>
        <s v="ZQZ142080"/>
        <s v="MHT998219"/>
        <s v="RWZ160076"/>
        <s v="VUU146110"/>
        <s v="XRC178349"/>
        <s v="HYU535421"/>
        <s v="DQT704290"/>
        <s v="ZCX669193"/>
        <s v="TAZ661775"/>
        <s v="DWJ878439"/>
        <s v="TZT150998"/>
        <s v="WVA414112"/>
        <s v="KKC290597"/>
        <s v="XXP201433"/>
        <s v="VTD253251"/>
        <s v="MGN742630"/>
        <s v="YVS291053"/>
        <s v="JBJ213105"/>
        <s v="TJT363994"/>
        <s v="KDM172477"/>
        <s v="RBL668514"/>
        <s v="MHS519808"/>
        <s v="GVV943225"/>
        <s v="RGV383355"/>
        <s v="JJH905476"/>
        <s v="KGN353072"/>
        <s v="SHU563148"/>
        <s v="DXG277811"/>
        <s v="UGH620975"/>
        <s v="SVN691229"/>
        <s v="KVV841279"/>
        <s v="XDW113902"/>
        <s v="LMW995223"/>
        <s v="BSB210109"/>
        <s v="WPZ631631"/>
        <s v="GET459156"/>
        <s v="BPN227547"/>
        <s v="YWY759154"/>
        <s v="NLE848056"/>
        <s v="EEU568519"/>
        <s v="XPM844322"/>
        <s v="VYG537756"/>
        <s v="HKX125255"/>
        <s v="TZZ876677"/>
        <s v="BZP423089"/>
        <s v="TSM776081"/>
        <s v="JDB257687"/>
        <s v="AQA118589"/>
        <s v="AKB901931"/>
        <s v="TZY426709"/>
        <s v="SVB126222"/>
        <s v="JKV432919"/>
        <s v="LZC330019"/>
        <s v="YHR985392"/>
        <s v="LBW144523"/>
        <s v="KRD319520"/>
        <s v="WZM675964"/>
        <s v="DQC432569"/>
        <s v="MKD335821"/>
        <s v="GMN349353"/>
        <s v="BAJ727027"/>
        <s v="QCA546442"/>
        <s v="VUN266894"/>
        <s v="TPZ899368"/>
        <s v="KBK186736"/>
        <s v="LYW358275"/>
        <s v="DAE795780"/>
        <s v="PMC764847"/>
        <s v="HDM484205"/>
        <s v="XUG250413"/>
        <s v="TKJ821184"/>
        <s v="MSD841740"/>
        <s v="CEC718991"/>
        <s v="PJX260865"/>
        <s v="JWG225316"/>
        <s v="KRW816322"/>
        <s v="GCT129310"/>
        <s v="LMB889437"/>
        <s v="GZL687488"/>
        <s v="BKQ390012"/>
        <s v="NTR159614"/>
        <s v="LDZ193560"/>
        <s v="LTS949779"/>
        <s v="XKN500820"/>
        <s v="RKQ101186"/>
        <s v="SAA789393"/>
        <s v="BKD513948"/>
        <s v="NYY137715"/>
        <s v="USG296809"/>
        <s v="LUV391473"/>
        <s v="ZHZ383235"/>
        <s v="HEG211610"/>
        <s v="EVK629571"/>
        <s v="EPR771616"/>
        <s v="NRU101812"/>
        <s v="BBQ303546"/>
        <s v="LRX913975"/>
        <s v="QXM184439"/>
        <s v="QRM381019"/>
        <s v="NZE373387"/>
        <s v="DBT326216"/>
        <s v="AUR553811"/>
        <s v="MCB319344"/>
        <s v="SPZ208136"/>
        <s v="GWV649500"/>
        <s v="VUQ441163"/>
        <s v="BDZ483196"/>
        <s v="EAB384070"/>
        <s v="KJV168866"/>
        <s v="KGX913847"/>
        <s v="KTK363933"/>
        <s v="PST114899"/>
        <s v="RCC892328"/>
        <s v="QVU518641"/>
        <s v="WXM280791"/>
        <s v="JJH112836"/>
        <s v="XJQ194158"/>
        <s v="HSC425573"/>
        <s v="DJT888800"/>
        <s v="ALW580468"/>
        <s v="XHP101639"/>
        <s v="JHG704062"/>
        <s v="LUR926425"/>
        <s v="AKC498431"/>
        <s v="JCH723439"/>
        <s v="NSZ109498"/>
        <s v="KGS829783"/>
        <s v="RAW285959"/>
        <s v="RRN261743"/>
        <s v="XJA950027"/>
        <s v="ZJG412804"/>
        <s v="WGZ660620"/>
        <s v="PMC960301"/>
        <s v="BYY838630"/>
        <s v="YVJ194848"/>
        <s v="BWV334471"/>
        <s v="WRT809282"/>
        <s v="MGP584178"/>
        <s v="ZQK413699"/>
        <s v="VDV862459"/>
        <s v="LDN301375"/>
        <s v="RUU811751"/>
        <s v="EGH194295"/>
        <s v="CBH623983"/>
        <s v="MMP730167"/>
        <s v="RBU963715"/>
        <s v="LML403098"/>
        <s v="ETK676419"/>
        <s v="XYE245113"/>
        <s v="PPV804055"/>
        <s v="SLP432178"/>
        <s v="QLW434210"/>
        <s v="ABK686263"/>
        <s v="KJL138785"/>
        <s v="LNR303386"/>
        <s v="AUB734945"/>
        <s v="BTD722613"/>
        <s v="MVX980123"/>
        <s v="MLW226941"/>
        <s v="TKL445638"/>
        <s v="UTJ604620"/>
        <s v="VCQ557263"/>
        <s v="MAM190010"/>
        <s v="XEN942040"/>
        <s v="GJH511350"/>
        <s v="AHR384163"/>
        <s v="UKZ998697"/>
        <s v="BTB651001"/>
        <s v="QSP958478"/>
        <s v="SVS306869"/>
        <s v="TZL908008"/>
        <s v="ZGU175049"/>
        <s v="QQM729213"/>
        <s v="XUC163936"/>
        <s v="QED615556"/>
        <s v="ASV399391"/>
        <s v="YQG385428"/>
        <s v="YKR735157"/>
        <s v="ZHH952118"/>
        <s v="QAR614758"/>
        <s v="BYA835742"/>
        <s v="PBS801837"/>
        <s v="TML763895"/>
        <s v="JHZ241278"/>
        <s v="AAQ175020"/>
        <s v="DQC571763"/>
        <s v="MAJ845587"/>
        <s v="MWZ195415"/>
        <s v="EXK604027"/>
        <s v="DWH306832"/>
        <s v="BRB876399"/>
        <s v="HTV745631"/>
        <s v="TEZ231482"/>
        <s v="XLB541576"/>
        <s v="VVZ803793"/>
        <s v="ESH637829"/>
        <s v="GRL382947"/>
        <s v="AXZ407934"/>
        <s v="QPJ403209"/>
        <s v="QZT754601"/>
        <s v="QQB796576"/>
        <s v="XMS865608"/>
        <s v="GMU936005"/>
        <s v="NZT728684"/>
        <s v="ZVY785805"/>
        <s v="UYB604732"/>
        <s v="XZZ730829"/>
        <s v="EPD828599"/>
        <s v="PTE713010"/>
        <s v="XTA993032"/>
        <s v="YAA576617"/>
        <s v="QKX257171"/>
        <s v="XDM506282"/>
        <s v="VNH708930"/>
        <s v="BLP776634"/>
        <s v="SKW325879"/>
        <s v="KWP296659"/>
        <s v="VGU584881"/>
        <s v="VZW362599"/>
        <s v="LYX597821"/>
        <s v="ZDL864839"/>
        <s v="JLT985096"/>
        <s v="NHL631621"/>
        <s v="EVP485532"/>
        <s v="KDH605158"/>
        <s v="JXW583505"/>
        <s v="MVP207751"/>
        <s v="KPB584723"/>
        <s v="QTT395384"/>
        <s v="CAT265011"/>
        <s v="CPB438797"/>
        <s v="HQU882414"/>
        <s v="MNC996904"/>
        <s v="VRT751724"/>
        <s v="NRZ443602"/>
        <s v="GBJ593858"/>
        <s v="RSM474135"/>
        <s v="VEQ636106"/>
        <s v="EXP997810"/>
        <s v="DVJ749228"/>
        <s v="PUR127613"/>
        <s v="ADV197294"/>
        <s v="MAW358093"/>
        <s v="WUV854145"/>
        <s v="TKN628952"/>
        <s v="YWK451241"/>
        <s v="ZDU616792"/>
        <s v="WCY189872"/>
        <s v="CVU510355"/>
        <s v="KML329371"/>
        <s v="XXW868561"/>
        <s v="SXZ226629"/>
        <s v="YLW225623"/>
        <s v="NZJ760585"/>
        <s v="XCP721408"/>
        <s v="DHK266653"/>
        <s v="WGV799105"/>
        <s v="NJU911151"/>
        <s v="LBA172621"/>
        <s v="EUW640562"/>
        <s v="TSL430412"/>
        <s v="NEH785264"/>
        <s v="CXE494425"/>
        <s v="YSK343523"/>
        <s v="HAM259321"/>
        <s v="ACA329439"/>
        <s v="DAA248194"/>
        <s v="BQW844392"/>
        <s v="LDH775751"/>
        <s v="NAU524957"/>
        <s v="HBQ480336"/>
        <s v="XVH297356"/>
        <s v="ZQN442343"/>
        <s v="PDG961473"/>
        <s v="GLP460255"/>
        <s v="RYQ939449"/>
        <s v="VWM275857"/>
        <s v="HMM196930"/>
        <s v="PKQ532656"/>
        <s v="CUS946396"/>
        <s v="HQV390198"/>
        <s v="EAA887469"/>
        <s v="SHA287482"/>
        <s v="SKM787805"/>
        <s v="KGP736490"/>
        <s v="WRD944317"/>
        <s v="CZC522720"/>
        <s v="BXV210862"/>
        <s v="TEG436050"/>
        <s v="YLA573834"/>
        <s v="PEC128520"/>
        <s v="TWT891153"/>
        <s v="NJH488451"/>
        <s v="ZQC713796"/>
        <s v="VTY700419"/>
        <s v="YJA412850"/>
        <s v="STC470571"/>
        <s v="VUQ163161"/>
        <s v="QQY455191"/>
        <s v="TQL465232"/>
        <s v="TJW928646"/>
        <s v="UBT807414"/>
        <s v="DYK783465"/>
        <s v="EMA711531"/>
        <s v="JRK670393"/>
        <s v="VWQ109510"/>
        <s v="JAW762045"/>
        <s v="TAW841308"/>
        <s v="TJM696632"/>
        <s v="NTQ572236"/>
        <s v="AHK734160"/>
        <s v="UZA341716"/>
        <s v="ZCH389102"/>
        <s v="QRL714745"/>
        <s v="GVV141228"/>
        <s v="LSX900132"/>
        <s v="PUJ789767"/>
        <s v="QRT596134"/>
        <s v="CKM209878"/>
        <s v="JPU324617"/>
        <s v="KLZ785611"/>
        <s v="RWG269371"/>
        <s v="EYC442135"/>
        <s v="XRP571077"/>
        <s v="PRC219240"/>
        <s v="MKB385080"/>
        <s v="MTX514039"/>
        <s v="LSX440603"/>
        <s v="KNJ851055"/>
        <s v="DAR945741"/>
        <s v="VPD495900"/>
        <s v="UET988292"/>
        <s v="JBR640821"/>
        <s v="VRL443468"/>
        <s v="CTZ828084"/>
        <s v="VEA274530"/>
        <s v="SSZ823045"/>
        <s v="GKH504432"/>
        <s v="PBT561459"/>
        <s v="PXC772702"/>
        <s v="ECE214725"/>
        <s v="KVH122688"/>
        <s v="NVT649159"/>
        <s v="ZPW406891"/>
        <s v="BBD447403"/>
        <s v="NBA394011"/>
        <s v="WYS719573"/>
        <s v="XAV157327"/>
        <s v="NUT715145"/>
        <s v="CQY675774"/>
        <s v="WRP456562"/>
        <s v="VGD281672"/>
        <s v="QRQ221229"/>
        <s v="QTE639045"/>
        <s v="BHB404484"/>
        <s v="CUU118686"/>
        <s v="CLV213419"/>
        <s v="PZL445906"/>
        <s v="ARN466368"/>
        <s v="WRV471152"/>
        <s v="ZEU216771"/>
        <s v="UAR258225"/>
        <s v="MMN811727"/>
        <s v="SRR632425"/>
        <s v="VXX314227"/>
        <s v="CYU375418"/>
        <s v="GJD680583"/>
        <s v="NKR741010"/>
        <s v="VXW730370"/>
        <s v="VHY892576"/>
        <s v="MHZ634495"/>
        <s v="BCB171602"/>
        <s v="HDB563327"/>
        <s v="HQX440576"/>
        <s v="BBS323897"/>
        <s v="LYB834497"/>
        <s v="TWA493232"/>
        <s v="MYT689653"/>
        <s v="BMZ184036"/>
        <s v="MMK277074"/>
        <s v="WVS154113"/>
        <s v="ZRE887523"/>
        <s v="ZUV949092"/>
        <s v="CLQ170171"/>
        <s v="LKR343838"/>
        <s v="LHT228394"/>
        <s v="LET495874"/>
        <s v="VLS199657"/>
        <s v="CCS955579"/>
        <s v="MQJ452060"/>
        <s v="EXL612498"/>
        <s v="XLZ905771"/>
        <s v="SNJ733495"/>
        <s v="USH298393"/>
        <s v="NGD655587"/>
        <s v="MJR357329"/>
        <s v="RLT346395"/>
        <s v="PUK438134"/>
        <s v="WSB608824"/>
        <s v="EJE815379"/>
        <s v="MUW432824"/>
        <s v="JMD721873"/>
        <s v="EWJ151028"/>
        <s v="TEP336210"/>
        <s v="LGN471557"/>
        <s v="ATW869288"/>
        <s v="NWC636802"/>
        <s v="UYC889009"/>
        <s v="WDR678645"/>
        <s v="TCV764553"/>
        <s v="LEK677039"/>
        <s v="LBQ374681"/>
        <s v="LGZ403501"/>
        <s v="ZJZ207695"/>
        <s v="ZBX724643"/>
        <s v="JQE527195"/>
        <s v="DQH683268"/>
        <s v="EVN498923"/>
        <s v="SRY938007"/>
        <s v="GES234650"/>
        <s v="NXU957202"/>
        <s v="QRX979998"/>
        <s v="SQJ532766"/>
        <s v="UUE194497"/>
        <s v="GAH561955"/>
        <s v="DLB907341"/>
        <s v="WYL314954"/>
        <s v="VZS313725"/>
        <s v="KZR987339"/>
        <s v="CDW456574"/>
        <s v="ZXK830688"/>
        <s v="TQB261716"/>
        <s v="PYZ419388"/>
        <s v="AGE861026"/>
        <s v="JSQ866515"/>
        <s v="HVG540295"/>
        <s v="NEC741634"/>
        <s v="EQZ176615"/>
        <s v="QHR157256"/>
        <s v="MRM968307"/>
        <s v="WGV548259"/>
        <s v="HXE475732"/>
        <s v="NQB896143"/>
        <s v="XVK668054"/>
        <s v="DJX759450"/>
        <s v="YVD730073"/>
        <s v="NGZ463486"/>
        <s v="HDU586806"/>
        <s v="ZEE358384"/>
        <s v="AUJ414922"/>
        <s v="RHX734665"/>
        <s v="DEJ900813"/>
        <s v="ZLN758313"/>
        <s v="AMK342612"/>
        <s v="PNL154553"/>
        <s v="PYL509199"/>
        <s v="SVN230432"/>
        <s v="VMJ134650"/>
        <s v="UVN290573"/>
        <s v="TAG423756"/>
        <s v="LSM190796"/>
        <s v="NKX555191"/>
        <s v="DPB813963"/>
        <s v="ENR310854"/>
        <s v="QTH233312"/>
        <s v="EHR936868"/>
        <s v="LBS574039"/>
        <s v="PXR248776"/>
        <s v="TWN194785"/>
        <s v="QUJ336303"/>
        <s v="JJS371640"/>
        <s v="UXR815240"/>
        <s v="ALP856864"/>
        <s v="KRH909362"/>
        <s v="URL353040"/>
        <s v="NYN211030"/>
        <s v="DDM828852"/>
        <s v="KDC824661"/>
        <s v="LQN567318"/>
        <s v="BBN371166"/>
        <s v="QCP341030"/>
        <s v="KNM632589"/>
        <s v="RTD503390"/>
        <s v="KVY175164"/>
        <s v="XDD401883"/>
        <s v="XXZ646892"/>
        <s v="XPS665742"/>
        <s v="RAM484278"/>
        <s v="KMC141682"/>
        <s v="WNR517743"/>
        <s v="HLV964049"/>
        <s v="XCL808962"/>
        <s v="JKG669072"/>
        <s v="CQJ710619"/>
        <s v="NBY811636"/>
        <s v="ZLA965131"/>
        <s v="SLN629886"/>
        <s v="EGQ746271"/>
        <s v="HGN849934"/>
        <s v="HCC123723"/>
        <s v="DNK251265"/>
        <s v="EAB219850"/>
        <s v="KBM388100"/>
        <s v="WNX970608"/>
        <s v="VZB823398"/>
        <s v="CLP792628"/>
        <s v="BSC699018"/>
        <s v="STH714051"/>
        <s v="BQS609382"/>
        <s v="JHK236670"/>
        <s v="SHB960901"/>
        <s v="RLG508208"/>
        <s v="MGB109517"/>
        <s v="CNC817992"/>
        <s v="QGQ375446"/>
        <s v="YTW143578"/>
        <s v="LNW842927"/>
        <s v="RJY127976"/>
        <s v="LCG543426"/>
        <s v="GMB865740"/>
        <s v="ALJ562203"/>
        <s v="RHP539397"/>
        <s v="JVJ638546"/>
        <s v="LXV945965"/>
        <s v="QGL601181"/>
        <s v="TZH281953"/>
        <s v="EHJ795826"/>
        <s v="PVT117320"/>
        <s v="HNX348616"/>
        <s v="ULM265273"/>
        <s v="ZYN302418"/>
        <s v="VXK718407"/>
        <s v="ENT891937"/>
        <s v="EUC830388"/>
        <s v="PYS873889"/>
        <s v="UZP215544"/>
        <s v="JHZ679394"/>
        <s v="UWU759681"/>
        <s v="CPM289159"/>
        <s v="BEX767084"/>
        <s v="EKA918230"/>
        <s v="GBV556588"/>
        <s v="QZG901037"/>
        <s v="WPS180058"/>
        <s v="BQV858659"/>
        <s v="EAZ410207"/>
        <s v="YXU685677"/>
        <s v="KRV631580"/>
        <s v="SGS420426"/>
        <s v="QGA257165"/>
        <s v="CNH278166"/>
        <s v="AMC735799"/>
        <s v="TBG958024"/>
        <s v="CNT423216"/>
        <s v="WNZ231440"/>
        <s v="ZPK394239"/>
        <s v="UKG813643"/>
        <s v="MJA811452"/>
        <s v="PYY168095"/>
        <s v="PWU479542"/>
        <s v="ERK881647"/>
        <s v="ZNP136871"/>
        <s v="AHZ130279"/>
        <s v="EEP431807"/>
        <s v="XCZ728673"/>
        <s v="BNN568126"/>
        <s v="YAG804244"/>
        <s v="AJD214662"/>
        <s v="KXN369956"/>
        <s v="LRJ380139"/>
        <s v="KVW880180"/>
        <s v="QBK486368"/>
        <s v="NJU481175"/>
        <s v="QAP123357"/>
        <s v="SBC832256"/>
        <s v="HPH472587"/>
        <s v="AZE267969"/>
        <s v="DCD476113"/>
        <s v="EGH663012"/>
        <s v="JYM108935"/>
        <s v="UVN116620"/>
        <s v="JHQ357020"/>
        <s v="KPT181738"/>
        <s v="MRE911779"/>
        <s v="DVA430904"/>
        <s v="AXQ436576"/>
        <s v="MZY993239"/>
        <s v="CBR113161"/>
        <s v="JEJ264880"/>
        <s v="WHV727108"/>
        <s v="YEW718667"/>
        <s v="TTH422725"/>
        <s v="UHC593357"/>
        <s v="UJH696075"/>
        <s v="QSN594145"/>
        <s v="BAC903252"/>
        <s v="UUV810769"/>
        <s v="GWW941283"/>
        <s v="GGH214042"/>
        <s v="DMJ897016"/>
        <s v="PVY576318"/>
        <s v="NHE233253"/>
        <s v="XXQ977310"/>
        <s v="XHA286279"/>
        <s v="UNW491150"/>
        <s v="NVU486831"/>
        <s v="SDZ909096"/>
        <s v="HSN298990"/>
        <s v="KYZ733774"/>
        <s v="TUT207137"/>
        <s v="PCR135024"/>
        <s v="DSU352824"/>
        <s v="LDQ625040"/>
        <s v="ZAQ386291"/>
        <s v="ZVC181833"/>
        <s v="UPM213382"/>
        <s v="QJZ784103"/>
        <s v="PWA726734"/>
        <s v="DKY178357"/>
        <s v="XXS554626"/>
        <s v="NVB951942"/>
        <s v="MQP462093"/>
        <s v="XAL218337"/>
        <s v="TLH489615"/>
        <s v="MQE940434"/>
        <s v="GEX738875"/>
        <m/>
      </sharedItems>
    </cacheField>
    <cacheField name="Country" numFmtId="0">
      <sharedItems containsBlank="1">
        <s v="Kuwait"/>
        <s v="Bahrain"/>
        <s v="Kingdom of Saudi Arabia"/>
        <s v="UAE"/>
        <m/>
      </sharedItems>
    </cacheField>
    <cacheField name="Subtotal" numFmtId="165">
      <sharedItems containsString="0" containsBlank="1" containsNumber="1">
        <n v="5.85"/>
        <n v="0.6"/>
        <n v="15.8"/>
        <n v="172.65"/>
        <n v="86.0"/>
        <n v="233.0"/>
        <n v="8.95"/>
        <n v="11.45"/>
        <n v="26.9"/>
        <n v="195.0"/>
        <n v="98.0"/>
        <n v="174.24"/>
        <n v="31.67"/>
        <n v="8.955"/>
        <n v="20.15"/>
        <n v="9.95"/>
        <n v="31.48"/>
        <n v="7.9"/>
        <n v="121.0"/>
        <n v="8.85"/>
        <n v="45.0"/>
        <n v="19.475"/>
        <n v="5.63"/>
        <n v="78.0"/>
        <n v="216.52"/>
        <n v="288.05"/>
        <n v="208.83"/>
        <n v="13.9"/>
        <n v="22.0"/>
        <n v="20.85"/>
        <n v="420.0"/>
        <n v="13.7"/>
        <n v="238.22"/>
        <n v="231.28"/>
        <n v="15.25"/>
        <n v="22.93"/>
        <n v="20.65"/>
        <n v="8.17"/>
        <n v="484.71"/>
        <n v="23.6"/>
        <n v="206.0"/>
        <n v="284.33"/>
        <n v="37.8"/>
        <n v="211.0"/>
        <n v="44.75"/>
        <n v="14.45"/>
        <n v="20.5"/>
        <n v="198.09"/>
        <n v="193.0"/>
        <n v="8.91"/>
        <n v="161.74"/>
        <n v="303.0"/>
        <n v="4.5"/>
        <n v="146.0"/>
        <n v="10.0"/>
        <n v="103.48"/>
        <n v="15.2"/>
        <n v="129.0"/>
        <n v="130.0"/>
        <n v="99.45"/>
        <n v="712.71"/>
        <n v="7.95"/>
        <n v="257.0"/>
        <n v="12.4"/>
        <n v="9.9"/>
        <n v="15.95"/>
        <n v="5.25"/>
        <n v="139.0"/>
        <n v="159.0"/>
        <n v="12.5"/>
        <n v="10.55"/>
        <n v="32.94"/>
        <n v="8.2"/>
        <n v="31.0"/>
        <n v="527.7"/>
        <n v="39.56"/>
        <n v="5.604"/>
        <n v="55.0"/>
        <n v="264.42"/>
        <n v="49.0"/>
        <n v="208.08"/>
        <n v="10.667"/>
        <n v="649.57"/>
        <n v="227.0"/>
        <n v="412.0"/>
        <n v="85.14"/>
        <n v="227.69"/>
        <n v="76.52"/>
        <n v="114.06"/>
        <n v="249.39"/>
        <n v="3.95"/>
        <n v="8.5"/>
        <n v="178.26"/>
        <n v="7.0"/>
        <n v="155.65"/>
        <n v="172.71"/>
        <n v="117.61"/>
        <n v="172.0"/>
        <n v="105.84"/>
        <n v="34.7"/>
        <n v="142.81"/>
        <n v="37.65"/>
        <n v="219.83"/>
        <n v="421.1"/>
        <n v="44.88"/>
        <n v="99.0"/>
        <n v="18.55"/>
        <n v="285.0"/>
        <n v="160.12"/>
        <n v="9.22"/>
        <n v="133.65"/>
        <n v="30.71"/>
        <n v="94.0"/>
        <n v="439.0"/>
        <n v="122.0"/>
        <n v="169.89"/>
        <n v="155.14"/>
        <n v="22.95"/>
        <n v="10.45"/>
        <n v="257.21"/>
        <n v="691.3"/>
        <n v="117.71"/>
        <n v="61.4"/>
        <n v="168.0"/>
        <n v="660.0"/>
        <n v="6.88"/>
        <n v="5.9"/>
        <n v="219.0"/>
        <n v="199.0"/>
        <n v="245.09"/>
        <n v="193.35"/>
        <n v="520.87"/>
        <n v="591.48"/>
        <n v="26.8"/>
        <n v="366.15"/>
        <n v="202.0"/>
        <n v="43.85"/>
        <n v="1115.9"/>
        <n v="216.0"/>
        <n v="232.0"/>
        <n v="481.81"/>
        <n v="226.74"/>
        <n v="264.0"/>
        <n v="132.87"/>
        <n v="224.22"/>
        <n v="253.71"/>
        <n v="214.71"/>
        <n v="7.85"/>
        <n v="357.0"/>
        <n v="39.0"/>
        <n v="51.3"/>
        <n v="149.09"/>
        <n v="146.7"/>
        <n v="479.79"/>
        <n v="674.91"/>
        <n v="95.0"/>
        <n v="128.61"/>
        <n v="599.16"/>
        <n v="224.35"/>
        <n v="71.96"/>
        <n v="542.57"/>
        <n v="446.31"/>
        <n v="8.3"/>
        <n v="234.87"/>
        <n v="141.0"/>
        <n v="6.5"/>
        <n v="149.0"/>
        <n v="788.43"/>
        <n v="1295.14"/>
        <n v="89.0"/>
        <n v="453.0"/>
        <n v="106.48"/>
        <n v="43.48"/>
        <n v="125.22"/>
        <n v="510.37"/>
        <n v="136.67"/>
        <n v="429.76"/>
        <n v="185.0"/>
        <n v="300.43"/>
        <n v="478.6"/>
        <n v="384.6"/>
        <n v="160.42"/>
        <n v="296.35"/>
        <n v="12.22"/>
        <n v="175.0"/>
        <n v="351.0"/>
        <n v="263.0"/>
        <n v="153.11"/>
        <n v="154.4"/>
        <n v="373.65"/>
        <n v="304.34"/>
        <n v="260.0"/>
        <n v="196.0"/>
        <n v="670.42"/>
        <n v="186.68"/>
        <n v="410.03"/>
        <n v="8.18"/>
        <n v="12.9"/>
        <n v="304.95"/>
        <n v="51.0"/>
        <n v="48.96"/>
        <n v="282.14"/>
        <n v="170.0"/>
        <n v="321.85"/>
        <n v="59.0"/>
        <n v="415.09"/>
        <n v="97.78"/>
        <n v="158.0"/>
        <n v="25.39"/>
        <n v="5.0"/>
        <n v="118.67"/>
        <n v="284.0"/>
        <n v="390.01"/>
        <n v="138.0"/>
        <n v="278.0"/>
        <n v="39.13"/>
        <n v="111.3"/>
        <n v="184.0"/>
        <n v="162.0"/>
        <n v="30.43"/>
        <n v="301.0"/>
        <n v="16.5"/>
        <n v="120.87"/>
        <n v="470.19"/>
        <n v="12.95"/>
        <n v="225.48"/>
        <n v="202.14"/>
        <n v="7.6"/>
        <n v="150.0"/>
        <n v="128.1"/>
        <n v="50.45"/>
        <n v="232.9"/>
        <n v="1913.04"/>
        <n v="66.85"/>
        <n v="181.0"/>
        <n v="14.95"/>
        <n v="9.85"/>
        <n v="135.86"/>
        <n v="1020.42"/>
        <n v="166.22"/>
        <n v="189.0"/>
        <n v="262.76"/>
        <n v="224.0"/>
        <n v="218.0"/>
        <n v="107.76"/>
        <n v="346.0"/>
        <n v="60.0"/>
        <n v="173.04"/>
        <n v="104.0"/>
        <n v="19.8"/>
        <n v="18.0"/>
        <n v="126.37"/>
        <n v="182.84"/>
        <n v="24.6"/>
        <n v="31.65"/>
        <n v="358.85"/>
        <n v="582.81"/>
        <n v="138.26"/>
        <n v="687.35"/>
        <n v="468.86"/>
        <n v="113.0"/>
        <n v="79.0"/>
        <n v="115.0"/>
        <n v="520.0"/>
        <n v="6.9"/>
        <n v="159.9"/>
        <n v="240.0"/>
        <n v="411.0"/>
        <n v="77.0"/>
        <n v="331.38"/>
        <n v="206.2"/>
        <n v="24.9"/>
        <n v="20.104"/>
        <n v="540.0"/>
        <n v="102.0"/>
        <n v="173.0"/>
        <n v="28.49"/>
        <n v="178.0"/>
        <n v="11.7"/>
        <n v="5.694"/>
        <n v="108.0"/>
        <n v="3922.69"/>
        <n v="219.8"/>
        <n v="218.67"/>
        <n v="412.79"/>
        <n v="16.2"/>
        <n v="218.04"/>
        <n v="159.09"/>
        <n v="8.06"/>
        <n v="69.0"/>
        <n v="108.3"/>
        <n v="10.9"/>
        <n v="11.95"/>
        <n v="137.0"/>
        <n v="5.75"/>
        <n v="465.22"/>
        <n v="208.0"/>
        <n v="169.0"/>
        <n v="112.0"/>
        <n v="611.3"/>
        <n v="146.34"/>
        <n v="18.76"/>
        <n v="21.3"/>
        <n v="30.7"/>
        <n v="17.85"/>
        <n v="23.8"/>
        <n v="173.03"/>
        <n v="142.21"/>
        <n v="273.3"/>
        <n v="143.48"/>
        <n v="183.46"/>
        <n v="322.6"/>
        <n v="376.35"/>
        <n v="39.78"/>
        <n v="36.55"/>
        <n v="10.95"/>
        <n v="263.46"/>
        <n v="23.9"/>
        <n v="590.46"/>
        <n v="179.44"/>
        <n v="223.8"/>
        <n v="145.0"/>
        <n v="129.26"/>
        <n v="270.0"/>
        <n v="154.78"/>
        <n v="359.0"/>
        <n v="10.15"/>
        <n v="250.0"/>
        <n v="10.92"/>
        <n v="220.0"/>
        <n v="164.82"/>
        <n v="18.3"/>
        <n v="24.85"/>
        <n v="9.5"/>
        <n v="7.5"/>
        <n v="314.0"/>
        <n v="229.0"/>
        <n v="385.57"/>
        <n v="142.0"/>
        <n v="17.9"/>
        <n v="258.0"/>
        <n v="124.88"/>
        <n v="181.12"/>
        <n v="5.95"/>
        <n v="270.57"/>
        <n v="148.9"/>
        <n v="13.354"/>
        <n v="122.86"/>
        <n v="9.995"/>
        <n v="18.45"/>
        <n v="322.16"/>
        <n v="36.2"/>
        <n v="327.95"/>
        <n v="214.3"/>
        <n v="293.2"/>
        <n v="23.945"/>
        <n v="62.0"/>
        <n v="14.9"/>
        <n v="457.8"/>
        <n v="398.0"/>
        <n v="696.74"/>
        <n v="152.0"/>
        <n v="67.6"/>
        <n v="14.5"/>
        <n v="349.0"/>
        <n v="7.1"/>
        <n v="147.7"/>
        <n v="144.13"/>
        <n v="23.3"/>
        <n v="173.43"/>
        <n v="6.25"/>
        <n v="475.5"/>
        <n v="116.08"/>
        <n v="55.35"/>
        <n v="8.97"/>
        <n v="170.48"/>
        <n v="204.52"/>
        <n v="16.9"/>
        <n v="380.0"/>
        <n v="150.48"/>
        <n v="68.7"/>
        <n v="378.05"/>
        <n v="377.14"/>
        <n v="15.9"/>
        <n v="190.8"/>
        <n v="117.0"/>
        <n v="200.0"/>
        <n v="825.0"/>
        <n v="284.76"/>
        <n v="237.0"/>
        <n v="225.0"/>
        <n v="93.0"/>
        <n v="963.98"/>
        <n v="13.05"/>
        <n v="125.91"/>
        <n v="149.95"/>
        <n v="206.48"/>
        <n v="199.14"/>
        <n v="33.9"/>
        <n v="147.0"/>
        <n v="94.29"/>
        <n v="165.0"/>
        <n v="110.0"/>
        <n v="176.0"/>
        <n v="12.55"/>
        <n v="450.0"/>
        <n v="372.0"/>
        <n v="226.48"/>
        <n v="120.0"/>
        <n v="10.65"/>
        <n v="77.14"/>
        <n v="159.61"/>
        <n v="102.61"/>
        <n v="29.0"/>
        <n v="56.19"/>
        <n v="267.75"/>
        <n v="826.55"/>
        <n v="162.76"/>
        <n v="56.2"/>
        <n v="217.0"/>
        <n v="75.0"/>
        <n v="206.8"/>
        <n v="26.31"/>
        <n v="205.0"/>
        <n v="6.7"/>
        <n v="42.86"/>
        <n v="18.5"/>
        <n v="10.2"/>
        <n v="316.0"/>
        <n v="155.0"/>
        <n v="1352.8"/>
        <n v="345.0"/>
        <n v="159.88"/>
        <n v="13.6"/>
        <n v="187.0"/>
        <n v="46.8"/>
        <n v="189.57"/>
        <n v="18.85"/>
        <n v="135.35"/>
        <n v="52.85"/>
        <n v="288.0"/>
        <n v="468.0"/>
        <n v="10.8"/>
        <n v="519.48"/>
        <n v="22.92"/>
        <n v="54.0"/>
        <n v="106.6"/>
        <n v="24.4"/>
        <n v="290.0"/>
        <n v="15.46"/>
        <n v="19.9"/>
        <n v="248.0"/>
        <n v="153.72"/>
        <n v="177.9"/>
        <n v="243.29"/>
        <n v="131.0"/>
        <n v="11.9"/>
        <n v="559.0"/>
        <n v="87.6"/>
        <n v="365.0"/>
        <n v="207.78"/>
        <n v="179.1"/>
        <n v="261.61"/>
        <n v="16.05"/>
        <n v="11.65"/>
        <n v="163.0"/>
        <n v="107.2"/>
        <n v="10.75"/>
        <n v="114.0"/>
        <n v="109.0"/>
        <n v="10.85"/>
        <n v="173.65"/>
        <n v="40.26"/>
        <n v="11.73"/>
        <n v="214.0"/>
        <n v="503.03"/>
        <n v="302.0"/>
        <n v="12.15"/>
        <n v="165.42"/>
        <n v="472.2"/>
        <n v="308.9"/>
        <n v="156.0"/>
        <n v="196.2"/>
        <n v="210.48"/>
        <n v="134.0"/>
        <n v="13.53"/>
        <n v="143.91"/>
        <n v="4.9"/>
        <n v="130.85"/>
        <n v="386.0"/>
        <n v="22.45"/>
        <n v="275.64"/>
        <n v="306.0"/>
        <n v="21.7"/>
        <n v="6.0"/>
        <n v="35.65"/>
        <n v="613.0"/>
        <n v="218.1"/>
        <n v="10.83"/>
        <n v="174.0"/>
        <n v="22.58"/>
        <n v="606.45"/>
        <n v="43.7"/>
        <n v="585.0"/>
        <n v="123.8"/>
        <n v="139.76"/>
        <n v="8.0"/>
        <n v="76.02"/>
        <n v="322.85"/>
        <n v="209.0"/>
        <n v="160.67"/>
        <n v="7.15"/>
        <n v="146.05"/>
        <n v="231.0"/>
        <n v="745.62"/>
        <n v="143.8"/>
        <n v="194.9"/>
        <n v="30.47"/>
        <n v="283.8"/>
        <n v="498.9"/>
        <n v="202.56"/>
        <n v="25.05"/>
        <n v="15.1"/>
        <n v="31.62"/>
        <n v="6.74"/>
        <n v="300.0"/>
        <n v="18.105"/>
        <n v="885.3"/>
        <n v="8.56"/>
        <n v="14.15"/>
        <n v="6.95"/>
        <n v="161.0"/>
        <n v="217.8"/>
        <n v="731.0"/>
        <n v="119.0"/>
        <n v="26.15"/>
        <n v="211.3"/>
        <n v="202.25"/>
        <n v="215.05"/>
        <n v="182.0"/>
        <n v="301.25"/>
        <n v="45.4"/>
        <n v="17.1"/>
        <n v="349.1"/>
        <n v="85.0"/>
        <n v="16.85"/>
        <n v="37.4"/>
        <n v="163.48"/>
        <n v="112.17"/>
        <n v="416.38"/>
        <n v="18.67"/>
        <n v="19.0"/>
        <n v="17.4"/>
        <n v="36.49"/>
        <n v="88.0"/>
        <n v="28.6"/>
        <n v="342.67"/>
        <n v="149.5"/>
        <n v="6.45"/>
        <n v="2571.0"/>
        <n v="469.29"/>
        <n v="5.7"/>
        <n v="330.0"/>
        <n v="871.9"/>
        <n v="504.35"/>
        <n v="129.29"/>
        <n v="33.74"/>
        <n v="14.2"/>
        <n v="259.0"/>
        <n v="26.0"/>
        <n v="49.55"/>
        <n v="262.5"/>
        <n v="43.4"/>
        <n v="154.0"/>
        <n v="104.02"/>
        <n v="107.6"/>
        <n v="313.19"/>
        <n v="424.47"/>
        <n v="20.88"/>
        <n v="335.0"/>
        <n v="5.5"/>
        <n v="8.7"/>
        <n v="26.95"/>
        <n v="516.0"/>
        <n v="263.59"/>
        <n v="353.3"/>
        <n v="306.24"/>
        <n v="150.82"/>
        <n v="71.43"/>
        <n v="180.0"/>
        <n v="24.35"/>
        <n v="203.68"/>
        <n v="312.6"/>
        <n v="11.0"/>
        <n v="12.2"/>
        <n v="289.0"/>
        <n v="7.99"/>
        <n v="27.03"/>
        <n v="342.0"/>
        <n v="18.09"/>
        <n v="84.76"/>
        <n v="13.95"/>
        <n v="9.91"/>
        <n v="184.09"/>
        <n v="98.9"/>
        <n v="252.0"/>
        <n v="204.95"/>
        <n v="241.0"/>
        <n v="446.0"/>
        <n v="343.39"/>
        <n v="22.85"/>
        <n v="184.03"/>
        <n v="199.6"/>
        <n v="121.19"/>
        <n v="28.2"/>
        <n v="151.0"/>
        <n v="277.0"/>
        <n v="86.09"/>
        <n v="8.65"/>
        <n v="140.87"/>
        <n v="6.75"/>
        <n v="141.6"/>
        <n v="818.18"/>
        <n v="1.95"/>
        <n v="198.0"/>
        <n v="140.0"/>
        <n v="340.0"/>
        <n v="94.78"/>
        <n v="152.09"/>
        <n v="229.6"/>
        <n v="336.82"/>
        <n v="4.95"/>
        <n v="36.75"/>
        <n v="194.7"/>
        <n v="56.0"/>
        <n v="9.99"/>
        <n v="187.1"/>
        <n v="405.0"/>
        <n v="14.87"/>
        <n v="16.0"/>
        <n v="4.65"/>
        <n v="386.14"/>
        <n v="276.0"/>
        <n v="265.64"/>
        <n v="52.73"/>
        <n v="19.5"/>
        <n v="15.73"/>
        <n v="254.52"/>
        <n v="28.9"/>
        <n v="14.25"/>
        <n v="25.24"/>
        <n v="18.95"/>
        <n v="143.64"/>
        <n v="212.73"/>
        <n v="16.07"/>
        <n v="423.29"/>
        <n v="173.81"/>
        <n v="114.55"/>
        <n v="775.9"/>
        <n v="13.35"/>
        <n v="341.6"/>
        <n v="59.08"/>
        <n v="312.0"/>
        <n v="15.0"/>
        <n v="246.0"/>
        <n v="125.0"/>
        <n v="467.78"/>
        <n v="87.36"/>
        <n v="180.87"/>
        <n v="17.5"/>
        <n v="77.38"/>
        <n v="21.0"/>
        <n v="239.28"/>
        <n v="21.85"/>
        <n v="459.0"/>
        <n v="287.49"/>
        <n v="112.38"/>
        <n v="85.74"/>
        <n v="82.61"/>
        <n v="35.8"/>
        <n v="87.0"/>
        <n v="13.0"/>
        <n v="137.42"/>
        <n v="634.93"/>
        <n v="239.9"/>
        <n v="20.45"/>
        <n v="191.87"/>
        <n v="196.79"/>
        <n v="91.0"/>
        <n v="324.56"/>
        <n v="134.9"/>
        <n v="27.5"/>
        <n v="177.0"/>
        <n v="16.59"/>
        <n v="390.38"/>
        <n v="286.0"/>
        <n v="70.74"/>
        <n v="245.0"/>
        <n v="59.28"/>
        <n v="452.0"/>
        <n v="13.5"/>
        <n v="89.56"/>
        <n v="21.65"/>
        <n v="275.57"/>
        <n v="300.4"/>
        <n v="16.45"/>
        <n v="112.14"/>
        <n v="143.51"/>
        <n v="338.3"/>
        <n v="102.5"/>
        <n v="466.0"/>
        <n v="81.94"/>
        <n v="19.6"/>
        <n v="287.5"/>
        <n v="167.0"/>
        <n v="35.61"/>
        <n v="28.56"/>
        <n v="109.9"/>
        <n v="100.3"/>
        <n v="555.0"/>
        <n v="129.56"/>
        <n v="36.85"/>
        <n v="132.67"/>
        <n v="209.12"/>
        <n v="179.76"/>
        <n v="259.59"/>
        <n v="191.68"/>
        <n v="25.08"/>
        <n v="238.5"/>
        <n v="25.2"/>
        <n v="317.0"/>
        <n v="198.75"/>
        <n v="257.16"/>
        <n v="14.91"/>
        <n v="135.71"/>
        <n v="77.39"/>
        <n v="15.4"/>
        <n v="299.0"/>
        <n v="9.0"/>
        <n v="361.64"/>
        <n v="188.9"/>
        <n v="20.12"/>
        <n v="146.11"/>
        <n v="86.1"/>
        <n v="13.4"/>
        <n v="363.88"/>
        <n v="211.61"/>
        <n v="228.0"/>
        <n v="150.68"/>
        <n v="530.43"/>
        <n v="65.22"/>
        <n v="118.8"/>
        <n v="602.0"/>
        <n v="515.0"/>
        <n v="82.77"/>
        <n v="136.8"/>
        <n v="185.52"/>
        <n v="131.03"/>
        <n v="81.3"/>
        <n v="719.0"/>
        <n v="42.0"/>
        <n v="156.6"/>
        <n v="151.58"/>
        <n v="9.15"/>
        <n v="324.0"/>
        <n v="444.96"/>
        <n v="275.0"/>
        <n v="373.76"/>
        <n v="360.0"/>
        <n v="146.95"/>
        <n v="95.7"/>
        <n v="284.75"/>
        <n v="405.9"/>
        <n v="518.57"/>
        <n v="165.6"/>
        <n v="132.31"/>
        <n v="280.56"/>
        <n v="308.87"/>
        <n v="106.1"/>
        <n v="2.75"/>
        <n v="240.83"/>
        <n v="253.0"/>
        <n v="306.3"/>
        <n v="185.67"/>
        <n v="58.21"/>
        <n v="9.45"/>
        <n v="166.98"/>
        <n v="335.98"/>
        <n v="142.56"/>
        <n v="430.0"/>
        <n v="161.82"/>
        <n v="133.0"/>
        <n v="136.0"/>
        <n v="511.59"/>
        <n v="99.05"/>
        <n v="111.86"/>
        <n v="8.15"/>
        <n v="249.0"/>
        <n v="265.0"/>
        <n v="380.29"/>
        <n v="84.0"/>
        <n v="276.78"/>
        <n v="309.0"/>
        <n v="148.5"/>
        <n v="6.8"/>
        <n v="9.2"/>
        <n v="51.6"/>
        <n v="317.37"/>
        <n v="5.2"/>
        <n v="358.52"/>
        <n v="17.955"/>
        <n v="7.2"/>
        <n v="19.75"/>
        <n v="224.34"/>
        <n v="29.95"/>
        <n v="228.28"/>
        <n v="74.71"/>
        <n v="408.0"/>
        <n v="203.78"/>
        <n v="12.17"/>
        <n v="14.0"/>
        <n v="305.21"/>
        <n v="13.2"/>
        <n v="70.0"/>
        <n v="283.0"/>
        <n v="98.6"/>
        <n v="185.7"/>
        <n v="8.45"/>
        <n v="22.25"/>
        <n v="16.82"/>
        <n v="460.0"/>
        <n v="226.0"/>
        <n v="154.79"/>
        <n v="14.35"/>
        <n v="557.74"/>
        <n v="226.57"/>
        <n v="393.51"/>
        <n v="245.49"/>
        <n v="255.8"/>
        <n v="17.91"/>
        <n v="3.5"/>
        <n v="23.46"/>
        <n v="89.09"/>
        <n v="479.77"/>
        <n v="242.61"/>
        <n v="479.8"/>
        <n v="27.1"/>
        <n v="1132.3"/>
        <n v="126.0"/>
        <n v="133.1"/>
        <n v="438.42"/>
        <n v="58.0"/>
        <n v="179.0"/>
        <n v="25.74"/>
        <n v="153.0"/>
        <n v="22.9"/>
        <n v="21.9"/>
        <n v="328.05"/>
        <n v="358.0"/>
        <n v="643.27"/>
        <n v="92.7"/>
        <n v="722.0"/>
        <n v="132.0"/>
        <n v="22.2"/>
        <n v="297.0"/>
        <n v="16.35"/>
        <n v="67.82"/>
        <n v="230.0"/>
        <n v="129.57"/>
        <n v="303.48"/>
        <n v="356.99"/>
        <n v="11.5"/>
        <n v="1039.0"/>
        <n v="127.4"/>
        <n v="89.24"/>
        <n v="258.9"/>
        <n v="278.57"/>
        <n v="28.1"/>
        <n v="17.95"/>
        <n v="94.39"/>
        <n v="298.0"/>
        <n v="11.655"/>
        <n v="178.85"/>
        <n v="9.475"/>
        <n v="84.67"/>
        <n v="98.63"/>
        <n v="355.54"/>
        <n v="105.0"/>
        <n v="14.85"/>
        <n v="40.71"/>
        <n v="107.27"/>
        <n v="185.1"/>
        <n v="118.4"/>
        <n v="11.6"/>
        <n v="51.33"/>
        <n v="27.75"/>
        <n v="11.4"/>
        <n v="240.3"/>
        <n v="148.0"/>
        <n v="390.0"/>
        <n v="90.0"/>
        <n v="220.4"/>
        <n v="793.3"/>
        <n v="60.88"/>
        <n v="19.95"/>
        <n v="729.0"/>
        <n v="337.22"/>
        <n v="1199.0"/>
        <n v="244.0"/>
        <n v="355.0"/>
        <n v="113.4"/>
        <n v="59.81"/>
        <n v="40.85"/>
        <n v="129.2"/>
        <n v="8.53"/>
        <n v="253.66"/>
        <n v="143.0"/>
        <n v="118.0"/>
        <n v="250.3"/>
        <n v="94.79"/>
        <n v="211.6"/>
        <n v="156.51"/>
        <n v="41.5"/>
        <n v="957.0"/>
        <n v="158.69"/>
        <n v="134.78"/>
        <n v="89.98"/>
        <n v="95.58"/>
        <n v="432.0"/>
        <n v="338.26"/>
        <n v="366.19"/>
        <n v="12.75"/>
        <n v="99.6"/>
        <n v="444.13"/>
        <n v="672.27"/>
        <n v="195.55"/>
        <n v="254.0"/>
        <n v="306.5"/>
        <n v="378.51"/>
        <n v="202.09"/>
        <n v="37.0"/>
        <n v="154.32"/>
        <n v="290.07"/>
        <n v="303.22"/>
        <n v="60.18"/>
        <n v="44.9"/>
        <n v="67.96"/>
        <n v="96.17"/>
        <n v="189.13"/>
        <n v="100.0"/>
        <n v="241.74"/>
        <n v="286.9"/>
        <n v="160.91"/>
        <n v="56.57"/>
        <n v="48.61"/>
        <n v="94.3"/>
        <n v="117.26"/>
        <n v="30.15"/>
        <n v="146.82"/>
        <n v="231.6"/>
        <n v="80.0"/>
        <n v="11.85"/>
        <n v="345.4"/>
        <n v="15.36"/>
        <n v="103.0"/>
        <n v="11.21"/>
        <n v="1295.99"/>
        <n v="285.3"/>
        <n v="94.87"/>
        <n v="120.9"/>
        <n v="219.06"/>
        <n v="95.86"/>
        <n v="11.82"/>
        <n v="400.0"/>
        <n v="11.2"/>
        <n v="286.45"/>
        <n v="331.65"/>
        <n v="206.96"/>
        <n v="56.43"/>
        <n v="249.3"/>
        <n v="380.55"/>
        <n v="191.0"/>
        <n v="91.69"/>
        <n v="304.14"/>
        <n v="77.95"/>
        <n v="460.94"/>
        <n v="245.54"/>
        <n v="189.3"/>
        <n v="7.08"/>
        <n v="137.22"/>
        <n v="141.66"/>
        <n v="64.22"/>
        <n v="61.63"/>
        <n v="305.0"/>
        <n v="214.5"/>
        <n v="228.5"/>
        <n v="633.5"/>
        <n v="190.43"/>
        <n v="113.9"/>
        <n v="93.38"/>
        <n v="229.82"/>
        <n v="199.86"/>
        <n v="38.35"/>
        <n v="128.09"/>
        <n v="115.57"/>
        <n v="8.75"/>
        <n v="757.55"/>
        <n v="107.83"/>
        <n v="235.96"/>
        <n v="289.91"/>
        <n v="110.36"/>
        <n v="39.8"/>
        <n v="193.74"/>
        <n v="138.65"/>
        <n v="667.49"/>
        <n v="275.68"/>
        <n v="208.7"/>
        <n v="29.88"/>
        <n v="468.77"/>
        <n v="97.17"/>
        <m/>
      </sharedItems>
    </cacheField>
    <cacheField name="Order Return" numFmtId="1">
      <sharedItems containsString="0" containsBlank="1" containsNumber="1" containsInteger="1">
        <n v="1.0"/>
        <n v="0.0"/>
        <m/>
      </sharedItems>
    </cacheField>
    <cacheField name="Order Discount" numFmtId="165">
      <sharedItems containsString="0" containsBlank="1" containsNumber="1">
        <n v="0.585"/>
        <n v="0.06"/>
        <n v="1.58"/>
        <n v="17.26"/>
        <n v="8.6"/>
        <n v="23.3"/>
        <n v="0.895"/>
        <n v="1.145"/>
        <n v="2.69"/>
        <n v="19.5"/>
        <n v="9.8"/>
        <n v="17.42"/>
        <n v="3.16"/>
        <n v="2.015"/>
        <n v="0.995"/>
        <n v="3.14"/>
        <n v="0.79"/>
        <n v="12.1"/>
        <n v="0.885"/>
        <n v="4.5"/>
        <n v="1.947"/>
        <n v="0.56"/>
        <n v="7.8"/>
        <n v="21.65"/>
        <n v="28.8"/>
        <n v="20.88"/>
        <n v="1.39"/>
        <n v="2.2"/>
        <n v="2.085"/>
        <n v="42.0"/>
        <n v="1.37"/>
        <n v="23.82"/>
        <n v="23.12"/>
        <n v="1.525"/>
        <n v="2.29"/>
        <n v="2.065"/>
        <n v="0.817"/>
        <n v="48.46"/>
        <n v="2.36"/>
        <n v="20.6"/>
        <n v="28.43"/>
        <n v="3.78"/>
        <n v="21.1"/>
        <n v="4.475"/>
        <n v="1.445"/>
        <n v="2.05"/>
        <n v="19.8"/>
        <n v="19.3"/>
        <n v="0.891"/>
        <n v="16.16"/>
        <n v="30.3"/>
        <n v="0.45"/>
        <n v="14.6"/>
        <n v="1.0"/>
        <n v="10.34"/>
        <n v="1.52"/>
        <n v="12.9"/>
        <n v="13.0"/>
        <n v="9.93"/>
        <n v="71.25"/>
        <n v="0.795"/>
        <n v="25.7"/>
        <n v="1.24"/>
        <n v="0.99"/>
        <n v="1.595"/>
        <n v="0.525"/>
        <n v="13.9"/>
        <n v="15.9"/>
        <n v="1.25"/>
        <n v="1.055"/>
        <n v="3.294"/>
        <n v="0.82"/>
        <n v="3.1"/>
        <n v="52.76"/>
        <n v="3.956"/>
        <n v="5.5"/>
        <n v="26.43"/>
        <n v="4.9"/>
        <n v="20.8"/>
        <n v="1.066"/>
        <n v="64.95"/>
        <n v="22.7"/>
        <n v="41.2"/>
        <n v="8.51"/>
        <n v="22.76"/>
        <n v="7.65"/>
        <n v="11.4"/>
        <n v="24.93"/>
        <n v="0.395"/>
        <n v="0.85"/>
        <n v="17.82"/>
        <n v="0.7"/>
        <n v="15.56"/>
        <n v="17.24"/>
        <n v="11.76"/>
        <n v="17.2"/>
        <n v="10.58"/>
        <n v="3.47"/>
        <n v="14.28"/>
        <n v="3.765"/>
        <n v="21.97"/>
        <n v="42.11"/>
        <n v="4.48"/>
        <n v="9.9"/>
        <n v="1.855"/>
        <n v="28.5"/>
        <n v="16.0"/>
        <n v="0.922"/>
        <n v="13.36"/>
        <n v="3.071"/>
        <n v="9.4"/>
        <n v="43.9"/>
        <n v="12.2"/>
        <n v="16.98"/>
        <n v="15.5"/>
        <n v="2.295"/>
        <n v="1.045"/>
        <n v="25.72"/>
        <n v="69.1"/>
        <n v="11.77"/>
        <n v="6.14"/>
        <n v="16.8"/>
        <n v="66.0"/>
        <n v="0.688"/>
        <n v="0.59"/>
        <n v="21.9"/>
        <n v="19.9"/>
        <n v="24.5"/>
        <n v="19.33"/>
        <n v="52.08"/>
        <n v="59.14"/>
        <n v="2.68"/>
        <n v="36.61"/>
        <n v="20.2"/>
        <n v="4.385"/>
        <n v="111.58"/>
        <n v="21.6"/>
        <n v="23.2"/>
        <n v="48.17"/>
        <n v="22.66"/>
        <n v="26.4"/>
        <n v="13.28"/>
        <n v="22.41"/>
        <n v="25.37"/>
        <n v="21.47"/>
        <n v="0.785"/>
        <n v="35.7"/>
        <n v="3.9"/>
        <n v="5.13"/>
        <n v="14.9"/>
        <n v="14.66"/>
        <n v="47.95"/>
        <n v="67.49"/>
        <n v="9.5"/>
        <n v="12.86"/>
        <n v="59.91"/>
        <n v="22.42"/>
        <n v="7.19"/>
        <n v="54.25"/>
        <n v="44.61"/>
        <n v="0.83"/>
        <n v="23.48"/>
        <n v="14.1"/>
        <n v="0.65"/>
        <n v="78.84"/>
        <n v="129.51"/>
        <n v="8.9"/>
        <n v="45.3"/>
        <n v="10.64"/>
        <n v="4.34"/>
        <n v="12.52"/>
        <n v="51.03"/>
        <n v="13.66"/>
        <n v="42.96"/>
        <n v="18.5"/>
        <n v="30.04"/>
        <n v="47.84"/>
        <n v="38.46"/>
        <n v="16.02"/>
        <n v="29.63"/>
        <n v="1.22"/>
        <n v="17.5"/>
        <n v="35.1"/>
        <n v="26.3"/>
        <n v="15.3"/>
        <n v="15.44"/>
        <n v="37.35"/>
        <n v="30.43"/>
        <n v="26.0"/>
        <n v="19.6"/>
        <n v="67.03"/>
        <n v="18.64"/>
        <n v="40.96"/>
        <n v="0.81"/>
        <n v="1.29"/>
        <n v="30.49"/>
        <n v="5.1"/>
        <n v="4.89"/>
        <n v="28.21"/>
        <n v="17.0"/>
        <n v="32.18"/>
        <n v="5.9"/>
        <n v="41.5"/>
        <n v="9.77"/>
        <n v="15.8"/>
        <n v="2.539"/>
        <n v="0.5"/>
        <n v="11.85"/>
        <n v="28.4"/>
        <n v="38.99"/>
        <n v="13.8"/>
        <n v="27.8"/>
        <n v="3.91"/>
        <n v="11.13"/>
        <n v="18.4"/>
        <n v="16.2"/>
        <n v="3.04"/>
        <n v="30.1"/>
        <n v="1.64"/>
        <n v="12.08"/>
        <n v="47.01"/>
        <n v="1.295"/>
        <n v="22.54"/>
        <n v="20.21"/>
        <n v="0.76"/>
        <n v="15.0"/>
        <n v="12.81"/>
        <n v="5.045"/>
        <n v="0.52"/>
        <n v="23.29"/>
        <n v="191.3"/>
        <n v="6.68"/>
        <n v="18.1"/>
        <n v="1.495"/>
        <n v="0.985"/>
        <n v="13.58"/>
        <n v="102.04"/>
        <n v="16.62"/>
        <n v="18.9"/>
        <n v="26.27"/>
        <n v="22.4"/>
        <n v="21.8"/>
        <n v="10.77"/>
        <n v="34.6"/>
        <n v="6.0"/>
        <n v="17.3"/>
        <n v="10.4"/>
        <n v="1.98"/>
        <n v="1.8"/>
        <n v="12.63"/>
        <n v="18.27"/>
        <n v="2.46"/>
        <n v="35.88"/>
        <n v="58.27"/>
        <n v="13.82"/>
        <n v="68.72"/>
        <n v="46.88"/>
        <n v="11.3"/>
        <n v="7.9"/>
        <n v="11.5"/>
        <n v="52.0"/>
        <n v="0.69"/>
        <n v="15.99"/>
        <n v="24.0"/>
        <n v="41.1"/>
        <n v="7.7"/>
        <n v="33.13"/>
        <n v="20.62"/>
        <n v="2.49"/>
        <n v="2.01"/>
        <n v="54.0"/>
        <n v="10.2"/>
        <n v="2.848"/>
        <n v="17.8"/>
        <n v="1.17"/>
        <n v="0.569"/>
        <n v="10.8"/>
        <n v="392.26"/>
        <n v="21.98"/>
        <n v="21.86"/>
        <n v="41.27"/>
        <n v="1.62"/>
        <n v="0.806"/>
        <n v="6.9"/>
        <n v="10.83"/>
        <n v="1.09"/>
        <n v="1.195"/>
        <n v="13.7"/>
        <n v="0.575"/>
        <n v="46.52"/>
        <n v="16.9"/>
        <n v="11.2"/>
        <n v="61.12"/>
        <n v="14.63"/>
        <n v="1.87"/>
        <n v="2.13"/>
        <n v="3.07"/>
        <n v="1.785"/>
        <n v="2.38"/>
        <n v="14.21"/>
        <n v="27.33"/>
        <n v="14.34"/>
        <n v="18.34"/>
        <n v="32.26"/>
        <n v="37.63"/>
        <n v="3.97"/>
        <n v="3.65"/>
        <n v="1.095"/>
        <n v="26.34"/>
        <n v="2.39"/>
        <n v="59.04"/>
        <n v="17.94"/>
        <n v="22.38"/>
        <n v="14.5"/>
        <n v="12.92"/>
        <n v="27.0"/>
        <n v="15.47"/>
        <n v="35.9"/>
        <n v="1.015"/>
        <n v="25.0"/>
        <n v="1.092"/>
        <n v="22.0"/>
        <n v="16.46"/>
        <n v="1.83"/>
        <n v="2.485"/>
        <n v="0.95"/>
        <n v="0.75"/>
        <n v="31.4"/>
        <n v="22.9"/>
        <n v="38.55"/>
        <n v="14.2"/>
        <n v="1.79"/>
        <n v="25.8"/>
        <n v="12.48"/>
        <n v="18.11"/>
        <n v="0.595"/>
        <n v="27.05"/>
        <n v="14.89"/>
        <n v="1.335"/>
        <n v="12.28"/>
        <n v="0.999"/>
        <n v="1.845"/>
        <n v="32.21"/>
        <n v="3.62"/>
        <n v="32.78"/>
        <n v="30.0"/>
        <n v="2.394"/>
        <n v="6.2"/>
        <n v="1.49"/>
        <n v="45.78"/>
        <n v="39.8"/>
        <n v="69.66"/>
        <n v="15.2"/>
        <n v="6.76"/>
        <n v="1.45"/>
        <n v="34.9"/>
        <n v="0.71"/>
        <n v="2.33"/>
        <n v="17.33"/>
        <n v="0.625"/>
        <n v="25.65"/>
        <n v="47.55"/>
        <n v="5.535"/>
        <n v="0.897"/>
        <n v="17.04"/>
        <n v="20.45"/>
        <n v="1.69"/>
        <n v="38.0"/>
        <n v="15.04"/>
        <n v="37.71"/>
        <n v="1.59"/>
        <n v="19.08"/>
        <n v="20.0"/>
        <n v="82.5"/>
        <n v="28.47"/>
        <n v="23.7"/>
        <n v="22.5"/>
        <n v="1.305"/>
        <n v="19.91"/>
        <n v="3.39"/>
        <n v="9.42"/>
        <n v="17.6"/>
        <n v="1.255"/>
        <n v="45.0"/>
        <n v="37.2"/>
        <n v="22.63"/>
        <n v="1.065"/>
        <n v="2.9"/>
        <n v="5.61"/>
        <n v="26.77"/>
        <n v="82.65"/>
        <n v="16.27"/>
        <n v="5.62"/>
        <n v="21.7"/>
        <n v="7.5"/>
        <n v="2.631"/>
        <n v="20.5"/>
        <n v="0.67"/>
        <n v="21.43"/>
        <n v="1.85"/>
        <n v="1.02"/>
        <n v="31.6"/>
        <n v="135.28"/>
        <n v="15.98"/>
        <n v="1.36"/>
        <n v="18.7"/>
        <n v="4.68"/>
        <n v="1.885"/>
        <n v="5.285"/>
        <n v="46.8"/>
        <n v="1.07"/>
        <n v="51.94"/>
        <n v="11.46"/>
        <n v="5.4"/>
        <n v="2.44"/>
        <n v="29.0"/>
        <n v="1.54"/>
        <n v="1.99"/>
        <n v="24.8"/>
        <n v="17.79"/>
        <n v="24.32"/>
        <n v="13.1"/>
        <n v="1.19"/>
        <n v="55.9"/>
        <n v="36.5"/>
        <n v="17.91"/>
        <n v="1.605"/>
        <n v="1.04"/>
        <n v="1.16"/>
        <n v="1.075"/>
        <n v="1.085"/>
        <n v="4.01"/>
        <n v="21.4"/>
        <n v="30.2"/>
        <n v="1.215"/>
        <n v="16.54"/>
        <n v="30.89"/>
        <n v="15.6"/>
        <n v="19.62"/>
        <n v="1.35"/>
        <n v="0.49"/>
        <n v="13.08"/>
        <n v="38.6"/>
        <n v="2.245"/>
        <n v="27.56"/>
        <n v="30.6"/>
        <n v="2.17"/>
        <n v="0.6"/>
        <n v="3.565"/>
        <n v="61.3"/>
        <n v="21.81"/>
        <n v="1.08"/>
        <n v="17.4"/>
        <n v="2.25"/>
        <n v="60.64"/>
        <n v="4.37"/>
        <n v="58.5"/>
        <n v="12.38"/>
        <n v="13.97"/>
        <n v="0.8"/>
        <n v="7.57"/>
        <n v="32.27"/>
        <n v="16.06"/>
        <n v="0.715"/>
        <n v="23.1"/>
        <n v="74.55"/>
        <n v="14.38"/>
        <n v="19.49"/>
        <n v="3.047"/>
        <n v="28.38"/>
        <n v="49.89"/>
        <n v="2.505"/>
        <n v="1.51"/>
        <n v="1.81"/>
        <n v="88.53"/>
        <n v="1.415"/>
        <n v="0.695"/>
        <n v="16.1"/>
        <n v="21.78"/>
        <n v="73.1"/>
        <n v="2.615"/>
        <n v="21.13"/>
        <n v="20.22"/>
        <n v="21.5"/>
        <n v="18.2"/>
        <n v="4.54"/>
        <n v="1.71"/>
        <n v="34.91"/>
        <n v="8.5"/>
        <n v="1.68"/>
        <n v="3.74"/>
        <n v="24.75"/>
        <n v="28.04"/>
        <n v="41.63"/>
        <n v="1.867"/>
        <n v="28.0"/>
        <n v="1.9"/>
        <n v="1.74"/>
        <n v="3.649"/>
        <n v="8.8"/>
        <n v="2.86"/>
        <n v="34.26"/>
        <n v="14.95"/>
        <n v="0.645"/>
        <n v="257.1"/>
        <n v="46.92"/>
        <n v="0.57"/>
        <n v="33.0"/>
        <n v="87.19"/>
        <n v="3.37"/>
        <n v="1.42"/>
        <n v="25.9"/>
        <n v="2.6"/>
        <n v="4.95"/>
        <n v="26.25"/>
        <n v="25.5"/>
        <n v="15.4"/>
        <n v="26.9"/>
        <n v="31.31"/>
        <n v="42.43"/>
        <n v="2.07"/>
        <n v="33.5"/>
        <n v="0.55"/>
        <n v="0.87"/>
        <n v="2.695"/>
        <n v="51.6"/>
        <n v="30.62"/>
        <n v="15.08"/>
        <n v="17.85"/>
        <n v="18.0"/>
        <n v="2.435"/>
        <n v="31.26"/>
        <n v="1.1"/>
        <n v="28.9"/>
        <n v="0.799"/>
        <n v="2.7"/>
        <n v="34.2"/>
        <n v="19.25"/>
        <n v="21.19"/>
        <n v="1.395"/>
        <n v="9.89"/>
        <n v="25.2"/>
        <n v="11.9"/>
        <n v="20.49"/>
        <n v="24.1"/>
        <n v="44.6"/>
        <n v="2.285"/>
        <n v="12.11"/>
        <n v="2.82"/>
        <n v="15.1"/>
        <n v="27.7"/>
        <n v="21.52"/>
        <n v="0.865"/>
        <n v="0.675"/>
        <n v="81.81"/>
        <n v="0.195"/>
        <n v="34.0"/>
        <n v="23.69"/>
        <n v="22.96"/>
        <n v="0.495"/>
        <n v="3.675"/>
        <n v="19.47"/>
        <n v="5.6"/>
        <n v="18.71"/>
        <n v="40.5"/>
        <n v="1.487"/>
        <n v="1.6"/>
        <n v="0.465"/>
        <n v="38.61"/>
        <n v="27.6"/>
        <n v="13.18"/>
        <n v="1.95"/>
        <n v="1.57"/>
        <n v="25.44"/>
        <n v="2.89"/>
        <n v="1.425"/>
        <n v="2.524"/>
        <n v="1.895"/>
        <n v="42.32"/>
        <n v="17.37"/>
        <n v="28.63"/>
        <n v="77.59"/>
        <n v="1.33"/>
        <n v="34.16"/>
        <n v="14.77"/>
        <n v="31.2"/>
        <n v="1.5"/>
        <n v="12.0"/>
        <n v="12.5"/>
        <n v="21.84"/>
        <n v="1.75"/>
        <n v="19.34"/>
        <n v="5.25"/>
        <n v="2.185"/>
        <n v="45.9"/>
        <n v="11.22"/>
        <n v="20.65"/>
        <n v="3.58"/>
        <n v="8.7"/>
        <n v="1.3"/>
        <n v="2.045"/>
        <n v="19.18"/>
        <n v="29.75"/>
        <n v="23.5"/>
        <n v="22.74"/>
        <n v="13.49"/>
        <n v="2.75"/>
        <n v="1.659"/>
        <n v="28.6"/>
        <n v="17.68"/>
        <n v="14.82"/>
        <n v="2.165"/>
        <n v="1.645"/>
        <n v="11.21"/>
        <n v="25.62"/>
        <n v="20.48"/>
        <n v="1.96"/>
        <n v="28.75"/>
        <n v="16.7"/>
        <n v="3.55"/>
        <n v="2.856"/>
        <n v="27.47"/>
        <n v="25.07"/>
        <n v="55.5"/>
        <n v="3.685"/>
        <n v="10.87"/>
        <n v="10.71"/>
        <n v="17.97"/>
        <n v="23.25"/>
        <n v="2.5"/>
        <n v="2.52"/>
        <n v="19.87"/>
        <n v="29.9"/>
        <n v="0.9"/>
        <n v="2.0"/>
        <n v="1.34"/>
        <n v="22.8"/>
        <n v="53.04"/>
        <n v="16.3"/>
        <n v="11.88"/>
        <n v="60.2"/>
        <n v="51.5"/>
        <n v="20.69"/>
        <n v="20.32"/>
        <n v="71.9"/>
        <n v="10.5"/>
        <n v="15.66"/>
        <n v="0.915"/>
        <n v="32.4"/>
        <n v="37.37"/>
        <n v="36.0"/>
        <n v="23.92"/>
        <n v="40.58"/>
        <n v="26.52"/>
        <n v="12.82"/>
        <n v="0.275"/>
        <n v="25.3"/>
        <n v="13.4"/>
        <n v="14.55"/>
        <n v="0.945"/>
        <n v="33.59"/>
        <n v="13.6"/>
        <n v="27.96"/>
        <n v="0.815"/>
        <n v="24.9"/>
        <n v="38.02"/>
        <n v="14.0"/>
        <n v="16.5"/>
        <n v="8.4"/>
        <n v="27.66"/>
        <n v="30.9"/>
        <n v="0.68"/>
        <n v="0.92"/>
        <n v="31.73"/>
        <n v="35.85"/>
        <n v="1.795"/>
        <n v="0.72"/>
        <n v="1.975"/>
        <n v="2.995"/>
        <n v="7.6"/>
        <n v="18.67"/>
        <n v="40.8"/>
        <n v="1.217"/>
        <n v="1.4"/>
        <n v="17.99"/>
        <n v="1.32"/>
        <n v="28.3"/>
        <n v="24.64"/>
        <n v="0.845"/>
        <n v="2.225"/>
        <n v="4.2"/>
        <n v="46.0"/>
        <n v="22.6"/>
        <n v="1.435"/>
        <n v="39.35"/>
        <n v="24.54"/>
        <n v="25.58"/>
        <n v="0.35"/>
        <n v="2.34"/>
        <n v="22.27"/>
        <n v="47.97"/>
        <n v="47.98"/>
        <n v="2.71"/>
        <n v="10.9"/>
        <n v="113.23"/>
        <n v="11.0"/>
        <n v="0.0"/>
        <n v="5.8"/>
        <n v="17.9"/>
        <n v="2.55"/>
        <n v="2.19"/>
        <n v="32.8"/>
        <n v="35.8"/>
        <n v="64.28"/>
        <n v="21.28"/>
        <n v="23.17"/>
        <n v="72.2"/>
        <n v="2.22"/>
        <n v="29.7"/>
        <n v="1.635"/>
        <n v="16.94"/>
        <n v="2.1"/>
        <n v="23.0"/>
        <n v="50.0"/>
        <n v="35.69"/>
        <n v="1.15"/>
        <n v="103.9"/>
        <n v="22.31"/>
        <n v="25.89"/>
        <n v="2.81"/>
        <n v="23.59"/>
        <n v="29.8"/>
        <n v="1.165"/>
        <n v="0.947"/>
        <n v="21.16"/>
        <n v="24.65"/>
        <n v="1.485"/>
        <n v="10.17"/>
        <n v="26.81"/>
        <n v="18.51"/>
        <n v="29.59"/>
        <n v="12.83"/>
        <n v="2.775"/>
        <n v="1.14"/>
        <n v="14.8"/>
        <n v="9.0"/>
        <n v="22.04"/>
        <n v="79.33"/>
        <n v="15.22"/>
        <n v="1.995"/>
        <n v="72.9"/>
        <n v="119.9"/>
        <n v="35.5"/>
        <n v="28.35"/>
        <n v="4.085"/>
        <n v="0.84"/>
        <n v="17.25"/>
        <n v="14.3"/>
        <n v="11.8"/>
        <n v="10.37"/>
        <n v="12.75"/>
        <n v="22.48"/>
        <n v="23.88"/>
        <n v="7.0"/>
        <n v="1.275"/>
        <n v="30.65"/>
        <n v="26.62"/>
        <n v="37.84"/>
        <n v="3.7"/>
        <n v="15.03"/>
        <n v="4.49"/>
        <n v="16.99"/>
        <n v="24.04"/>
        <n v="14.14"/>
        <n v="12.15"/>
        <n v="23.57"/>
        <n v="29.3"/>
        <n v="3.015"/>
        <n v="1.185"/>
        <n v="1.53"/>
        <n v="25.75"/>
        <n v="1.121"/>
        <n v="23.71"/>
        <n v="23.96"/>
        <n v="1.18"/>
        <n v="1.12"/>
        <n v="28.64"/>
        <n v="19.1"/>
        <n v="22.91"/>
        <n v="30.41"/>
        <n v="19.48"/>
        <n v="25.87"/>
        <n v="0.708"/>
        <n v="19.75"/>
        <n v="16.05"/>
        <n v="30.5"/>
        <n v="21.45"/>
        <n v="22.85"/>
        <n v="23.34"/>
        <n v="3.835"/>
        <n v="28.89"/>
        <n v="0.875"/>
        <n v="26.95"/>
        <n v="27.57"/>
        <n v="3.98"/>
        <n v="7.47"/>
        <n v="24.29"/>
        <m/>
      </sharedItems>
    </cacheField>
    <cacheField name="Affiliate" numFmtId="0">
      <sharedItems containsString="0" containsBlank="1">
        <m/>
      </sharedItems>
    </cacheField>
    <cacheField name="Status Of Order" numFmtId="0">
      <sharedItems containsBlank="1">
        <s v="Cancelled"/>
        <s v="Delivered"/>
        <s v="Partially Cancelled"/>
        <s v="Processing"/>
        <m/>
      </sharedItems>
    </cacheField>
    <cacheField name="Currency" numFmtId="0">
      <sharedItems containsBlank="1">
        <s v="KD"/>
        <s v="BHD"/>
        <s v="SR"/>
        <s v="AED"/>
        <s v="SAR"/>
        <s v=""/>
        <s v=""/>
        <m/>
      </sharedItems>
    </cacheField>
    <cacheField name="Payment Method" numFmtId="0">
      <sharedItems containsBlank="1">
        <s v="Cash"/>
        <s v="Credit, Debit, Knet"/>
        <s v="Credit, Debit, Apple Pay"/>
        <s v="Credit, Debit , Apple Pay"/>
        <s v="Credit, Debit"/>
        <s v="Pay in 4. No interest, no fees"/>
        <s v="Tamara: split in 3, interest-free"/>
        <m/>
      </sharedItems>
    </cacheField>
    <cacheField name="Order Return Value" numFmtId="165">
      <sharedItems containsString="0" containsBlank="1" containsNumber="1">
        <n v="5.265"/>
        <n v="0.54"/>
        <n v="0.0"/>
        <n v="7.11"/>
        <n v="49.5"/>
        <n v="181.8"/>
        <n v="66.16"/>
        <n v="46.169999999999995"/>
        <n v="5.039999999999999"/>
        <n v="152.1"/>
        <n v="135.0"/>
        <n v="20.25"/>
        <n v="143.19"/>
        <n v="155.73"/>
        <n v="134.91"/>
        <n v="81.1"/>
        <n v="348.05"/>
        <n v="107.0"/>
        <n v="7.710000000000001"/>
        <n v="25.74"/>
        <n v="21.915"/>
        <n v="113.63999999999999"/>
        <n v="13.454999999999998"/>
        <n v="9.135"/>
        <n v="10.755"/>
        <n v="11.16"/>
        <n v="178.88"/>
        <n v="116.11"/>
        <n v="64.5"/>
        <n v="135.60000000000002"/>
        <n v="118.5"/>
        <n v="129.0"/>
        <n v="2.655"/>
        <n v="166.59"/>
        <n v="198.36"/>
        <n v="16.47"/>
        <n v="51.75"/>
        <n v="120.04"/>
        <n v="124.32"/>
        <n v="50.97"/>
        <n v="70.73"/>
        <n v="255.3"/>
        <n v="75.65"/>
        <m/>
      </sharedItems>
    </cacheField>
    <cacheField name="Day" numFmtId="0">
      <sharedItems containsString="0" containsBlank="1" containsNumber="1" containsInteger="1">
        <n v="20.0"/>
        <n v="26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1.0"/>
        <n v="22.0"/>
        <n v="23.0"/>
        <n v="24.0"/>
        <n v="25.0"/>
        <n v="27.0"/>
        <n v="28.0"/>
        <n v="29.0"/>
        <n v="30.0"/>
        <n v="31.0"/>
        <n v="1.0"/>
        <n v="2.0"/>
        <n v="3.0"/>
        <m/>
      </sharedItems>
    </cacheField>
    <cacheField name="Month" numFmtId="0">
      <sharedItems containsString="0" containsBlank="1" containsNumber="1" containsInteger="1">
        <n v="2.0"/>
        <n v="3.0"/>
        <n v="4.0"/>
        <n v="5.0"/>
        <n v="6.0"/>
        <n v="7.0"/>
        <n v="8.0"/>
        <n v="9.0"/>
        <n v="10.0"/>
        <m/>
      </sharedItems>
    </cacheField>
    <cacheField name="Year" numFmtId="0">
      <sharedItems containsString="0" containsBlank="1" containsNumber="1" containsInteger="1">
        <n v="2025.0"/>
        <m/>
      </sharedItems>
    </cacheField>
    <cacheField name="Lookup " numFmtId="0">
      <sharedItems containsBlank="1">
        <s v="Digizag"/>
        <m/>
      </sharedItems>
    </cacheField>
    <cacheField name="Lookup 2" numFmtId="0">
      <sharedItems containsBlank="1">
        <s v="Digizag"/>
        <m/>
      </sharedItems>
    </cacheField>
    <cacheField name="Subtotal $" numFmtId="166">
      <sharedItems containsString="0" containsBlank="1" containsNumber="1">
        <n v="19.074627"/>
        <n v="1.5917502"/>
        <n v="51.517796"/>
        <n v="46.036439841900005"/>
        <n v="22.931559956"/>
        <n v="62.128528718000005"/>
        <n v="29.182548999999998"/>
        <n v="37.334098999999995"/>
        <n v="87.71067799999999"/>
        <n v="53.09734521"/>
        <n v="26.131312508000004"/>
        <n v="47.44452015072"/>
        <n v="84.01788139"/>
        <n v="29.1988521"/>
        <n v="65.701493"/>
        <n v="32.443169"/>
        <n v="83.51382716"/>
        <n v="25.758898"/>
        <n v="32.264171566"/>
        <n v="28.856486999999998"/>
        <n v="11.99907207"/>
        <n v="63.5005745"/>
        <n v="14.93592271"/>
        <n v="20.798391588"/>
        <n v="57.73420187992001"/>
        <n v="78.4343091679"/>
        <n v="55.68369378618001"/>
        <n v="45.322618"/>
        <n v="71.73364"/>
        <n v="67.98392700000001"/>
        <n v="114.36351275999999"/>
        <n v="44.670494"/>
        <n v="63.52042107812001"/>
        <n v="61.669897518880006"/>
        <n v="49.724455"/>
        <n v="60.83138681"/>
        <n v="67.331803"/>
        <n v="26.6392654"/>
        <n v="129.24600495666002"/>
        <n v="76.950632"/>
        <n v="54.929085476000004"/>
        <n v="77.42137519773999"/>
        <n v="123.25143599999998"/>
        <n v="57.454050458"/>
        <n v="145.912745"/>
        <n v="47.115959"/>
        <n v="66.84271"/>
        <n v="52.81991525214001"/>
        <n v="52.552757054"/>
        <n v="29.052124199999998"/>
        <n v="43.127331480040006"/>
        <n v="80.79375193800001"/>
        <n v="14.672789999999999"/>
        <n v="38.930322716000006"/>
        <n v="26.52917"/>
        <n v="27.592532840080004"/>
        <n v="49.561423999999995"/>
        <n v="34.397339934"/>
        <n v="34.66398598000001"/>
        <n v="26.517949274700005"/>
        <n v="190.04130344466003"/>
        <n v="25.921929"/>
        <n v="69.979578046"/>
        <n v="40.431688"/>
        <n v="32.280138"/>
        <n v="52.006888999999994"/>
        <n v="17.118254999999998"/>
        <n v="37.063800394000005"/>
        <n v="42.396721314000004"/>
        <n v="40.75775"/>
        <n v="34.399541"/>
        <n v="107.40482279999999"/>
        <n v="26.737083999999996"/>
        <n v="101.07921999999999"/>
        <n v="140.70911847420004"/>
        <n v="128.9901272"/>
        <n v="18.272514479999998"/>
        <n v="14.665532530000002"/>
        <n v="72.00000010476"/>
        <n v="13.065656254000002"/>
        <n v="55.48370925168001"/>
        <n v="34.781033539999996"/>
        <n v="173.20527210022004"/>
        <n v="60.52865244200001"/>
        <n v="112.185160136"/>
        <n v="22.70224435644"/>
        <n v="60.71263821374001"/>
        <n v="20.40375543992"/>
        <n v="30.413648006760003"/>
        <n v="66.49885741194001"/>
        <n v="12.879449"/>
        <n v="22.5497945"/>
        <n v="47.532324159960005"/>
        <n v="22.82434"/>
        <n v="41.50345705990001"/>
        <n v="46.052438604660004"/>
        <n v="31.360241470060004"/>
        <n v="45.863119912"/>
        <n v="28.221817508640004"/>
        <n v="113.14351400000001"/>
        <n v="38.07972182926"/>
        <n v="122.76234299999999"/>
        <n v="58.61680029218001"/>
        <n v="114.6630362458"/>
        <n v="11.967074544480003"/>
        <n v="26.397958554000002"/>
        <n v="60.484501"/>
        <n v="77.60381223"/>
        <n v="42.69536488552001"/>
        <n v="30.062916400000002"/>
        <n v="35.637244047900005"/>
        <n v="100.1336402"/>
        <n v="25.064728324"/>
        <n v="119.537100242"/>
        <n v="33.219877516"/>
        <n v="46.26004091141999"/>
        <n v="41.36746757644"/>
        <n v="74.831229"/>
        <n v="34.073479"/>
        <n v="68.58402949166"/>
        <n v="184.3324115998"/>
        <n v="32.05173592138"/>
        <n v="200.202068"/>
        <n v="45.745405104"/>
        <n v="175.98639036000003"/>
        <n v="22.4330656"/>
        <n v="19.237658"/>
        <n v="58.395484074"/>
        <n v="53.062563154"/>
        <n v="65.35227941414001"/>
        <n v="51.5560129941"/>
        <n v="138.88792598002001"/>
        <n v="157.71580328808002"/>
        <n v="87.384616"/>
        <n v="99.70047665969999"/>
        <n v="53.862501292000005"/>
        <n v="142.978187"/>
        <n v="297.55032273140006"/>
        <n v="57.59554593600001"/>
        <n v="61.86188267200001"/>
        <n v="128.47273142326"/>
        <n v="60.45932447004001"/>
        <n v="71.885636592"/>
        <n v="70.394556144"/>
        <n v="35.429260132020005"/>
        <n v="59.787376434120006"/>
        <n v="69.08373052938"/>
        <n v="58.46426148738"/>
        <n v="25.595867"/>
        <n v="95.19263842200002"/>
        <n v="127.16417999999999"/>
        <n v="13.6789421598"/>
        <n v="39.75425899814"/>
        <n v="39.1169749482"/>
        <n v="127.93410641034002"/>
        <n v="179.96208290586"/>
        <n v="25.86793741"/>
        <n v="34.293347976060005"/>
        <n v="159.76364492136"/>
        <n v="59.8220404201"/>
        <n v="19.18784947016"/>
        <n v="144.67414517822002"/>
        <n v="121.52756995218"/>
        <n v="22.019211100000003"/>
        <n v="62.627156824020005"/>
        <n v="38.393464998"/>
        <n v="21.194029999999998"/>
        <n v="40.571817622"/>
        <n v="210.23174204778002"/>
        <n v="352.65895218092004"/>
        <n v="23.731498094000003"/>
        <n v="120.79065883800001"/>
        <n v="28.392470978080002"/>
        <n v="11.59377008008"/>
        <n v="33.38941788012"/>
        <n v="136.08814249702002"/>
        <n v="37.214431640259996"/>
        <n v="114.59380472896001"/>
        <n v="50.37440443"/>
        <n v="81.80530985354"/>
        <n v="127.61679761560002"/>
        <n v="102.55206929160002"/>
        <n v="42.77535869932"/>
        <n v="79.02055573210001"/>
        <n v="32.41864574"/>
        <n v="47.65146365"/>
        <n v="93.59276214600001"/>
        <n v="70.127910098"/>
        <n v="41.69094628258"/>
        <n v="41.17014950240001"/>
        <n v="99.6322950879"/>
        <n v="81.15105763964"/>
        <n v="69.32797196000001"/>
        <n v="52.26262501600001"/>
        <n v="182.55139577275997"/>
        <n v="50.83185848104"/>
        <n v="109.33287824138"/>
        <n v="21.700861059999998"/>
        <n v="34.2226293"/>
        <n v="83.03607908609999"/>
        <n v="13.598948346000002"/>
        <n v="13.054990412160002"/>
        <n v="75.23151541844"/>
        <n v="46.289993259999996"/>
        <n v="85.82002990510001"/>
        <n v="15.732116714000002"/>
        <n v="113.02654883701999"/>
        <n v="26.072650377880002"/>
        <n v="43.022464324"/>
        <n v="82.7871418"/>
        <n v="16.3031"/>
        <n v="31.642886278820004"/>
        <n v="77.331518152"/>
        <n v="106.19741336077999"/>
        <n v="36.79715434800001"/>
        <n v="75.697753684"/>
        <n v="10.433859779980002"/>
        <n v="29.677704919800004"/>
        <n v="50.102110352"/>
        <n v="44.111640636"/>
        <n v="8.11403917978"/>
        <n v="81.960517478"/>
        <n v="43.7731305"/>
        <n v="27.71527"/>
        <n v="32.229507580020005"/>
        <n v="125.37430436874001"/>
        <n v="42.225029"/>
        <n v="61.39686870744"/>
        <n v="55.04152492692"/>
        <n v="24.780711999999998"/>
        <n v="39.996906900000006"/>
        <n v="34.8808713918"/>
        <n v="164.498279"/>
        <n v="13.927814249999999"/>
        <n v="63.4172907662"/>
        <n v="510.10455183984004"/>
        <n v="177.34750144999998"/>
        <n v="48.26293432600001"/>
        <n v="48.746269"/>
        <n v="32.117107"/>
        <n v="36.22653180956001"/>
        <n v="272.09095825932"/>
        <n v="44.321905766120004"/>
        <n v="51.463580742"/>
        <n v="71.54799193528"/>
        <n v="59.72871430400001"/>
        <n v="59.360109004"/>
        <n v="13.264585"/>
        <n v="28.733777916960005"/>
        <n v="94.213750988"/>
        <n v="15.998762760000002"/>
        <n v="46.14043179984"/>
        <n v="35.39823014"/>
        <n v="28.318584112"/>
        <n v="18.570419"/>
        <n v="64.560276"/>
        <n v="60.993873472"/>
        <n v="58.691159999999996"/>
        <n v="33.696060833020006"/>
        <n v="49.78624922152"/>
        <n v="80.211252"/>
        <n v="83.96482304999999"/>
        <n v="95.68593360710001"/>
        <n v="158.69571159918"/>
        <n v="36.86648231996"/>
        <n v="183.27915971810003"/>
        <n v="127.66780141108"/>
        <n v="30.769230814"/>
        <n v="43.294758402"/>
        <n v="21.065037634000003"/>
        <n v="31.31381897"/>
        <n v="138.65594392000003"/>
        <n v="22.498278"/>
        <n v="43.5398230722"/>
        <n v="65.35057872"/>
        <n v="109.591524906"/>
        <n v="20.531745542000003"/>
        <n v="88.36116672348001"/>
        <n v="54.982414685200006"/>
        <n v="81.189438"/>
        <n v="65.55150447999999"/>
        <n v="147.03880211999999"/>
        <n v="27.197896692000004"/>
        <n v="46.12976595800001"/>
        <n v="92.89506379999999"/>
        <n v="48.468345884"/>
        <n v="38.149254"/>
        <n v="18.56597028"/>
        <n v="29.407760424"/>
        <n v="1068.12525682982"/>
        <n v="59.850238344400005"/>
        <n v="58.307490878820005"/>
        <n v="110.06882132834002"/>
        <n v="52.822044"/>
        <n v="58.139503869840006"/>
        <n v="42.420719458140006"/>
        <n v="26.2805972"/>
        <n v="18.398577174000003"/>
        <n v="29.4894486474"/>
        <n v="35.540758"/>
        <n v="38.964408999999996"/>
        <n v="36.530508302"/>
        <n v="18.748565"/>
        <n v="124.04907352012002"/>
        <n v="55.46237756800001"/>
        <n v="45.06318177400001"/>
        <n v="29.864357152000004"/>
        <n v="163.0007279198"/>
        <n v="39.02098237164"/>
        <n v="49.76872292"/>
        <n v="69.451206"/>
        <n v="100.101034"/>
        <n v="58.202067"/>
        <n v="77.602756"/>
        <n v="39.754935388"/>
        <n v="46.13776533938"/>
        <n v="37.919734201660006"/>
        <n v="74.4179715174"/>
        <n v="38.25837468008"/>
        <n v="48.918883599160004"/>
        <n v="86.02001443960002"/>
        <n v="100.35223941210002"/>
        <n v="10.60717970988"/>
        <n v="96.96411635"/>
        <n v="35.70378899999999"/>
        <n v="70.25056727916"/>
        <n v="77.92881799999999"/>
        <n v="157.44382432116004"/>
        <n v="47.84696649424001"/>
        <n v="59.675385094800006"/>
        <n v="39.48264131"/>
        <n v="34.46666790596"/>
        <n v="73.51940105999999"/>
        <n v="41.271474999880006"/>
        <n v="97.753574002"/>
        <n v="33.095293"/>
        <n v="66.6615115"/>
        <n v="35.6059704"/>
        <n v="58.66213012000001"/>
        <n v="44.879509935959994"/>
        <n v="59.669346"/>
        <n v="53.369639288"/>
        <n v="81.026407"/>
        <n v="30.97589"/>
        <n v="24.454649999999997"/>
        <n v="85.50034049199999"/>
        <n v="62.355343862"/>
        <n v="104.98842765446"/>
        <n v="38.665759076"/>
        <n v="58.365097999999996"/>
        <n v="70.251872124"/>
        <n v="33.298758224480004"/>
        <n v="48.294931851520005"/>
        <n v="19.400689"/>
        <n v="37.863738532000006"/>
        <n v="42.130075268000006"/>
        <n v="72.14642066622001"/>
        <n v="40.5445882142"/>
        <n v="43.542319479999996"/>
        <n v="25.595643331999998"/>
        <n v="33.45405042308"/>
        <n v="32.5898969"/>
        <n v="60.158438999999994"/>
        <n v="87.72226016848"/>
        <n v="118.03444400000001"/>
        <n v="89.2988428801"/>
        <n v="57.142247657800006"/>
        <n v="78.1806206872"/>
        <n v="78.0755459"/>
        <n v="16.882232836"/>
        <n v="48.583238"/>
        <n v="124.6562289084"/>
        <n v="108.373043044"/>
        <n v="189.71817590572"/>
        <n v="41.388699856"/>
        <n v="18.4070796728"/>
        <n v="47.27899"/>
        <n v="95.03063322199999"/>
        <n v="23.150401999999996"/>
        <n v="39.3836209942"/>
        <n v="38.43169460998"/>
        <n v="75.972446"/>
        <n v="47.22396194754"/>
        <n v="20.378875"/>
        <n v="129.475834089"/>
        <n v="30.952273019680003"/>
        <n v="180.475317"/>
        <n v="29.2477614"/>
        <n v="46.42069441744"/>
        <n v="55.68958483256"/>
        <n v="55.10447799999999"/>
        <n v="103.47174964"/>
        <n v="40.97481285744"/>
        <n v="18.3185833602"/>
        <n v="59.90469716"/>
        <n v="100.80553769030001"/>
        <n v="102.69298857692"/>
        <n v="51.843858"/>
        <n v="51.9537100824"/>
        <n v="26.957113722"/>
        <n v="31.197587382000002"/>
        <n v="54.4588156"/>
        <n v="224.64261435"/>
        <n v="77.53846165128"/>
        <n v="64.533696486"/>
        <n v="61.26616755"/>
        <n v="71.613342514"/>
        <n v="24.798082278000003"/>
        <n v="257.04145542308004"/>
        <n v="42.551091"/>
        <n v="33.573403651860005"/>
        <n v="39.9835745977"/>
        <n v="55.05707557808"/>
        <n v="24.234172942"/>
        <n v="54.22464269291999"/>
        <n v="110.535018"/>
        <n v="39.196968762000004"/>
        <n v="25.674608614620002"/>
        <n v="43.99659759000001"/>
        <n v="29.331065060000004"/>
        <n v="46.017699182"/>
        <n v="47.923757728"/>
        <n v="40.920781"/>
        <n v="122.5323351"/>
        <n v="101.293397016"/>
        <n v="60.38999649808"/>
        <n v="31.997525520000003"/>
        <n v="34.725603"/>
        <n v="20.56907598844"/>
        <n v="27.773995956"/>
        <n v="42.559375402060006"/>
        <n v="27.360550780060002"/>
        <n v="7.8965282619999995"/>
        <n v="15.30020424282"/>
        <n v="72.9067393845"/>
        <n v="225.06467017089997"/>
        <n v="44.31858413528"/>
        <n v="183.246844"/>
        <n v="59.087814926"/>
        <n v="20.42205585"/>
        <n v="55.14240231280001"/>
        <n v="85.78691219999999"/>
        <n v="55.82028599"/>
        <n v="21.846154"/>
        <n v="11.42844953156"/>
        <n v="60.32147"/>
        <n v="33.258323999999995"/>
        <n v="86.044928648"/>
        <n v="41.330137130000004"/>
        <n v="368.35942871839995"/>
        <n v="91.99288587000001"/>
        <n v="43.53437719064"/>
        <n v="44.344432"/>
        <n v="50.918992586"/>
        <n v="12.743362850399999"/>
        <n v="50.54809094022"/>
        <n v="59.995360350000006"/>
        <n v="61.462687"/>
        <n v="36.0905423261"/>
        <n v="172.323767"/>
        <n v="76.794061248"/>
        <n v="127.433628504"/>
        <n v="28.6515036"/>
        <n v="141.45132763944"/>
        <n v="6.111527374320001"/>
        <n v="14.703880212"/>
        <n v="28.4244685036"/>
        <n v="79.55912799999999"/>
        <n v="78.96528262"/>
        <n v="41.01409682"/>
        <n v="64.886338"/>
        <n v="67.528931344"/>
        <n v="40.98883019112"/>
        <n v="48.4411164762"/>
        <n v="66.24642623662"/>
        <n v="35.670524218"/>
        <n v="38.801378"/>
        <n v="152.212389602"/>
        <n v="23.358193629600002"/>
        <n v="99.38733847"/>
        <n v="55.40371543788"/>
        <n v="48.767869369799996"/>
        <n v="69.75727209406001"/>
        <n v="52.332951"/>
        <n v="27.72298265"/>
        <n v="30.906483050000002"/>
        <n v="43.463305498000004"/>
        <n v="28.584456131200003"/>
        <n v="35.051665"/>
        <n v="31.041524891999998"/>
        <n v="29.064419014000002"/>
        <n v="35.377727"/>
        <n v="46.303085887900004"/>
        <n v="106.80643841999999"/>
        <n v="31.11871641"/>
        <n v="58.270932692"/>
        <n v="134.13096051938"/>
        <n v="82.232811556"/>
        <n v="39.616533"/>
        <n v="45.042886382759995"/>
        <n v="125.91026292120002"/>
        <n v="84.11164069419999"/>
        <n v="26.684819644"/>
        <n v="42.477876168"/>
        <n v="53.424098103599995"/>
        <n v="111.91286605799999"/>
        <n v="56.12365976208"/>
        <n v="35.73057016400001"/>
        <n v="35.89396701"/>
        <n v="38.37303247986"/>
        <n v="15.977038"/>
        <n v="35.6296801063"/>
        <n v="105.105514108"/>
        <n v="16.065350602"/>
        <n v="73.200919"/>
        <n v="75.05513965992"/>
        <n v="83.321987868"/>
        <n v="70.755454"/>
        <n v="19.56372"/>
        <n v="116.241103"/>
        <n v="30.496936736"/>
        <n v="166.916269814"/>
        <n v="59.387338411799995"/>
        <n v="28.73109111"/>
        <n v="47.379169572"/>
        <n v="59.90286585999999"/>
        <n v="165.1327436031"/>
        <n v="142.489094"/>
        <n v="159.29203563"/>
        <n v="33.7100068564"/>
        <n v="38.05582034128"/>
        <n v="21.223336"/>
        <n v="201.67475033999997"/>
        <n v="87.91014308230001"/>
        <n v="55.729023614000006"/>
        <n v="43.74948951226"/>
        <n v="23.313433"/>
        <n v="39.7685500919"/>
        <n v="62.899932018"/>
        <n v="203.02791043836"/>
        <n v="39.1558884164"/>
        <n v="53.0701158022"/>
        <n v="99.35109139999999"/>
        <n v="77.2770593364"/>
        <n v="135.84751551419998"/>
        <n v="54.011823077760006"/>
        <n v="81.67853099999999"/>
        <n v="49.235361999999995"/>
        <n v="83.88523554"/>
        <n v="17.88066058"/>
        <n v="81.6882234"/>
        <n v="59.0335251"/>
        <n v="241.06194725339998"/>
        <n v="22.70896952"/>
        <n v="46.137772999999996"/>
        <n v="22.661309"/>
        <n v="43.839346558"/>
        <n v="59.3056501884"/>
        <n v="199.046971018"/>
        <n v="31.730879474"/>
        <n v="37.304288686"/>
        <n v="85.26521299999999"/>
        <n v="57.535738681400005"/>
        <n v="55.0714772755"/>
        <n v="58.5568414739"/>
        <n v="49.557522196"/>
        <n v="82.0285909975"/>
        <n v="148.03214799999998"/>
        <n v="45.3648807"/>
        <n v="95.0578626298"/>
        <n v="23.144996629999998"/>
        <n v="44.70165145"/>
        <n v="121.94718799999998"/>
        <n v="47.106875494"/>
        <n v="43.59129560008"/>
        <n v="29.909686979820002"/>
        <n v="113.37780819764"/>
        <n v="60.8757754"/>
        <n v="61.95178"/>
        <n v="56.734787999999995"/>
        <n v="118.9800238"/>
        <n v="23.961878864"/>
        <n v="93.253732"/>
        <n v="93.30701170826"/>
        <n v="40.707964661"/>
        <n v="21.030999"/>
        <n v="700.068074538"/>
        <n v="127.78488786462"/>
        <n v="18.585534"/>
        <n v="89.85704574"/>
        <n v="237.4132066082"/>
        <n v="134.48293330010003"/>
        <n v="35.20490134462"/>
        <n v="89.50941958"/>
        <n v="46.30080399999999"/>
        <n v="70.524166202"/>
        <n v="7.079646028"/>
        <n v="13.4921715649"/>
        <n v="21.753919399999997"/>
        <n v="68.0735195"/>
        <n v="71.477195475"/>
        <n v="141.510908"/>
        <n v="41.933288012"/>
        <n v="27.73652170492"/>
        <n v="28.6911145496"/>
        <n v="85.27978228882"/>
        <n v="115.58066728866001"/>
        <n v="55.39290696"/>
        <n v="91.21851613"/>
        <n v="17.93341"/>
        <n v="28.367393999999997"/>
        <n v="87.87370899999999"/>
        <n v="140.503744248"/>
        <n v="70.28523126514"/>
        <n v="94.20604805180001"/>
        <n v="83.38733844672"/>
        <n v="41.06739284396"/>
        <n v="14.97617429"/>
        <n v="19.046527065780005"/>
        <n v="40.8441117"/>
        <n v="49.01293404"/>
        <n v="79.396097"/>
        <n v="54.31046664928001"/>
        <n v="85.1191287828"/>
        <n v="35.86682"/>
        <n v="39.77956399999999"/>
        <n v="78.692988542"/>
        <n v="26.0523538"/>
        <n v="71.70834651"/>
        <n v="93.124574676"/>
        <n v="47.99126853"/>
        <n v="22.600918858960004"/>
        <n v="45.485648999999995"/>
        <n v="26.29040747"/>
        <n v="50.12661681902"/>
        <n v="26.929884314200002"/>
        <n v="68.61810765599999"/>
        <n v="32.402995282"/>
        <n v="55.8066712861"/>
        <n v="65.622872798"/>
        <n v="16.33764468"/>
        <n v="121.44315878799999"/>
        <n v="91.56358573594001"/>
        <n v="74.505167"/>
        <n v="49.070871845380005"/>
        <n v="53.222550781600006"/>
        <n v="32.99931931282"/>
        <n v="91.949484"/>
        <n v="41.116405778"/>
        <n v="56.637168224"/>
        <n v="75.425459606"/>
        <n v="22.955558100140003"/>
        <n v="28.204363"/>
        <n v="37.562428500020005"/>
        <n v="22.009185"/>
        <n v="37.757080113600004"/>
        <n v="222.78556873803998"/>
        <n v="6.3582089999999996"/>
        <n v="53.914227444"/>
        <n v="37.33044644"/>
        <n v="92.57998651999999"/>
        <n v="25.272712239880004"/>
        <n v="40.554197136140004"/>
        <n v="62.5187203088"/>
        <n v="89.81172121372"/>
        <n v="309.7589"/>
        <n v="16.140069"/>
        <n v="119.82778499999999"/>
        <n v="53.01565698659999"/>
        <n v="15.248468368"/>
        <n v="46.834581416"/>
        <n v="32.5735938"/>
        <n v="50.946221993799995"/>
        <n v="110.27910159"/>
        <n v="48.4854194"/>
        <n v="52.16992"/>
        <n v="15.161883000000001"/>
        <n v="27.063146"/>
        <n v="105.14363527891999"/>
        <n v="75.153165528"/>
        <n v="70.83185565944001"/>
        <n v="14.06024600558"/>
        <n v="63.582089999999994"/>
        <n v="41.73038441"/>
        <n v="69.30428873256"/>
        <n v="94.231918"/>
        <n v="46.463834999999996"/>
        <n v="82.29804879999999"/>
        <n v="61.788748999999996"/>
        <n v="38.30103804744"/>
        <n v="56.72361336558"/>
        <n v="42.63237619"/>
        <n v="115.25936027662"/>
        <n v="47.32743369718"/>
        <n v="30.544304569300003"/>
        <n v="211.2729751202"/>
        <n v="35.41644195"/>
        <n v="93.01565704480001"/>
        <n v="15.753448397680001"/>
        <n v="55.003403756"/>
        <n v="84.955752336"/>
        <n v="39.793755"/>
        <n v="65.59492731600001"/>
        <n v="32.67528936"/>
        <n v="34.03675975"/>
        <n v="124.73168739788001"/>
        <n v="23.294198578560003"/>
        <n v="48.22827034002"/>
        <n v="57.060849999999995"/>
        <n v="20.63307103948"/>
        <n v="5.599566966"/>
        <n v="63.803065886880006"/>
        <n v="71.244547"/>
        <n v="124.982981802"/>
        <n v="76.65807176454001"/>
        <n v="30.60040848564"/>
        <n v="22.86223198404"/>
        <n v="22.027629860060003"/>
        <n v="116.73019599999999"/>
        <n v="23.689584786"/>
        <n v="42.388059999999996"/>
        <n v="36.64249964132"/>
        <n v="169.30157398678"/>
        <n v="63.96838643540001"/>
        <n v="66.679679"/>
        <n v="52.24506474586"/>
        <n v="52.47327539234"/>
        <n v="24.264790186000003"/>
        <n v="86.54264068976"/>
        <n v="27.059753399999998"/>
        <n v="36.7324711222"/>
        <n v="89.66704999999999"/>
        <n v="47.19635014200001"/>
        <n v="54.093685799999996"/>
        <n v="104.09328343748001"/>
        <n v="77.876106308"/>
        <n v="18.86254129404"/>
        <n v="66.71204911"/>
        <n v="15.806777606880003"/>
        <n v="120.52401279200001"/>
        <n v="44.01837"/>
        <n v="23.880819879760004"/>
        <n v="70.592423"/>
        <n v="73.47965089622001"/>
        <n v="81.7971410312"/>
        <n v="53.637198999999995"/>
        <n v="30.53505790692"/>
        <n v="38.26637406146"/>
        <n v="90.20635736180002"/>
        <n v="27.331219715000003"/>
        <n v="124.25705743600001"/>
        <n v="21.848977009240002"/>
        <n v="63.908152"/>
        <n v="78.284547425"/>
        <n v="45.473111026"/>
        <n v="94.47037437"/>
        <n v="93.12330719999999"/>
        <n v="77.32735334"/>
        <n v="29.304400455400003"/>
        <n v="26.744598413800002"/>
        <n v="151.12321329"/>
        <n v="34.54666171976"/>
        <n v="120.153847"/>
        <n v="35.37593092282"/>
        <n v="55.761021139520004"/>
        <n v="48.94758346128"/>
        <n v="69.21864708114"/>
        <n v="51.11071409728001"/>
        <n v="66.53515836"/>
        <n v="63.595081971000006"/>
        <n v="82.16762399999999"/>
        <n v="84.526796582"/>
        <n v="54.118448002499996"/>
        <n v="68.57069718936002"/>
        <n v="39.55499247"/>
        <n v="36.18653490266001"/>
        <n v="20.635737499940003"/>
        <n v="50.213547999999996"/>
        <n v="37.576582764"/>
        <n v="81.415929322"/>
        <n v="23.876253"/>
        <n v="96.42987607544"/>
        <n v="50.369438089400006"/>
        <n v="53.37669004"/>
        <n v="38.959653781060005"/>
        <n v="22.9582245606"/>
        <n v="43.692308"/>
        <n v="97.02716321848001"/>
        <n v="56.42496979406001"/>
        <n v="62.083049783999996"/>
        <n v="40.178226211280005"/>
        <n v="144.43294779354"/>
        <n v="17.39065512012"/>
        <n v="32.3485364664"/>
        <n v="163.921034956"/>
        <n v="140.23145017"/>
        <n v="21.511232162"/>
        <n v="22.070293227420002"/>
        <n v="36.47717909280001"/>
        <n v="49.46817445392001"/>
        <n v="54.186521522"/>
        <n v="34.93863140738"/>
        <n v="21.6783235398"/>
        <n v="195.779442082"/>
        <n v="11.199133932"/>
        <n v="42.641252614799996"/>
        <n v="40.41820765268001"/>
        <n v="29.834673"/>
        <n v="88.223281272"/>
        <n v="118.64682462816"/>
        <n v="73.32766265000001"/>
        <n v="101.77263459327999"/>
        <n v="98.02586808"/>
        <n v="39.183636459700004"/>
        <n v="25.518026602200003"/>
        <n v="77.5357387105"/>
        <n v="110.52416626019999"/>
        <n v="138.27464007422003"/>
        <n v="44.1565852176"/>
        <n v="35.27993834626"/>
        <n v="74.81021466576001"/>
        <n v="82.35896422802001"/>
        <n v="28.2911454806"/>
        <n v="8.966705"/>
        <n v="64.21636725818001"/>
        <n v="68.890401734"/>
        <n v="36.487406452"/>
        <n v="81.67368388980002"/>
        <n v="49.50817136082"/>
        <n v="15.521466337660001"/>
        <n v="30.812858999999996"/>
        <n v="44.52455676108"/>
        <n v="91.48536432644"/>
        <n v="38.01306031776"/>
        <n v="114.65779978"/>
        <n v="43.14866316372"/>
        <n v="71.0981756"/>
        <n v="35.463924118"/>
        <n v="37.031994608"/>
        <n v="136.41345067314"/>
        <n v="39.730260854"/>
        <n v="26.9707284259"/>
        <n v="29.82702670556"/>
        <n v="26.574053"/>
        <n v="67.801225422"/>
        <n v="70.66120219000001"/>
        <n v="103.55071492262"/>
        <n v="38.12117092"/>
        <n v="44.92852287"/>
        <n v="22.872702552"/>
        <n v="75.36555490884"/>
        <n v="84.138870102"/>
        <n v="39.596937831000005"/>
        <n v="22.172216"/>
        <n v="29.997703999999995"/>
        <n v="13.758935973600002"/>
        <n v="86.41797153486"/>
        <n v="16.955224"/>
        <n v="97.62287284455999"/>
        <n v="58.544432099999995"/>
        <n v="23.476464"/>
        <n v="64.397245"/>
        <n v="59.819373959640004"/>
        <n v="71.99443242000001"/>
        <n v="97.655569"/>
        <n v="60.869959380880005"/>
        <n v="19.92112609666"/>
        <n v="111.095983824"/>
        <n v="54.33713125388"/>
        <n v="39.6817454"/>
        <n v="45.64868"/>
        <n v="81.38303969966"/>
        <n v="48.909299999999995"/>
        <n v="43.040183999999996"/>
        <n v="18.66522322"/>
        <n v="77.059224074"/>
        <n v="26.2913001356"/>
        <n v="49.5161707422"/>
        <n v="27.552238999999997"/>
        <n v="72.548795"/>
        <n v="4.48498649372"/>
        <n v="125.25527588"/>
        <n v="61.538461628"/>
        <n v="41.274141460340005"/>
        <n v="46.789896999999996"/>
        <n v="148.71916569604002"/>
        <n v="60.413994642220004"/>
        <n v="107.15044263377999"/>
        <n v="66.84547320822"/>
        <n v="69.6528251524"/>
        <n v="47.51374347"/>
        <n v="11.41217"/>
        <n v="62.23743282"/>
        <n v="23.755496238140005"/>
        <n v="130.63852980206"/>
        <n v="64.69099722006001"/>
        <n v="130.6466986244"/>
        <n v="88.362802"/>
        <n v="29.680054502"/>
        <n v="308.31858451939996"/>
        <n v="29.95234858"/>
        <n v="34.309053827999996"/>
        <n v="35.4905887226"/>
        <n v="116.90295948732002"/>
        <n v="15.793056523999999"/>
        <n v="48.740639961999996"/>
        <n v="54.662439430000006"/>
        <n v="68.28608358"/>
        <n v="40.796845038"/>
        <n v="74.66819799999999"/>
        <n v="71.40757799999999"/>
        <n v="89.3260722879"/>
        <n v="97.48127992399999"/>
        <n v="175.15861155506"/>
        <n v="24.718088464200004"/>
        <n v="196.596324316"/>
        <n v="35.197278072"/>
        <n v="72.385764"/>
        <n v="80.871341166"/>
        <n v="53.311137"/>
        <n v="18.08393483972"/>
        <n v="68.47301999999999"/>
        <n v="62.62763794"/>
        <n v="34.54932818022"/>
        <n v="80.92174204008002"/>
        <n v="97.20626290522"/>
        <n v="37.49713"/>
        <n v="63.444520174"/>
        <n v="282.913547042"/>
        <n v="33.97070626040001"/>
        <n v="23.795493145040002"/>
        <n v="70.4969367942"/>
        <n v="74.27958903422001"/>
        <n v="91.623422"/>
        <n v="58.52812899999999"/>
        <n v="25.168720281940004"/>
        <n v="81.143635244"/>
        <n v="38.0025261"/>
        <n v="47.6896453271"/>
        <n v="30.894374499999998"/>
        <n v="22.57692071482"/>
        <n v="26.29929951698"/>
        <n v="94.80333519484002"/>
        <n v="28.590878189999998"/>
        <n v="48.420207"/>
        <n v="10.855160532660001"/>
        <n v="28.60312135442"/>
        <n v="50.4016338378"/>
        <n v="31.570891846400006"/>
        <n v="37.823192"/>
        <n v="13.686941541180001"/>
        <n v="90.482205"/>
        <n v="37.171068"/>
        <n v="64.07504485380001"/>
        <n v="40.299523543999996"/>
        <n v="103.99195794"/>
        <n v="24.50646702"/>
        <n v="60.0136147912"/>
        <n v="216.01089207739997"/>
        <n v="16.233411280480002"/>
        <n v="65.049369"/>
        <n v="198.502382862"/>
        <n v="89.91837963212002"/>
        <n v="326.480599522"/>
        <n v="65.061635224"/>
        <n v="96.66439769"/>
        <n v="30.237661616400004"/>
        <n v="15.948100011260003"/>
        <n v="133.196327"/>
        <n v="34.4506691432"/>
        <n v="22.629382009999997"/>
        <n v="67.63743602836"/>
        <n v="38.938053154"/>
        <n v="32.130701204"/>
        <n v="66.7415053138"/>
        <n v="25.275378700340003"/>
        <n v="56.422303333600006"/>
        <n v="41.732772659460004"/>
        <n v="11.065810909000001"/>
        <n v="255.180266022"/>
        <n v="42.314061039740004"/>
        <n v="35.93855407988001"/>
        <n v="23.992811219080004"/>
        <n v="68.2080585668"/>
        <n v="25.48602907668"/>
        <n v="115.19109187200002"/>
        <n v="90.19569151996001"/>
        <n v="97.64311558474"/>
        <n v="19.06058546"/>
        <n v="41.572905"/>
        <n v="26.557946181600002"/>
        <n v="118.42550840998001"/>
        <n v="179.25813734442002"/>
        <n v="52.142634295300006"/>
        <n v="67.72809568400001"/>
        <n v="83.458134907"/>
        <n v="103.06603146377999"/>
        <n v="53.88649943614001"/>
        <n v="120.64294"/>
        <n v="41.148817818720005"/>
        <n v="77.34601856322"/>
        <n v="80.85241406812001"/>
        <n v="16.046759048280002"/>
        <n v="146.401838"/>
        <n v="18.12126528616"/>
        <n v="25.643350243820002"/>
        <n v="50.43076667998"/>
        <n v="26.664604600000004"/>
        <n v="64.45901516004001"/>
        <n v="76.5007505974"/>
        <n v="42.906015261860006"/>
        <n v="15.084166822220002"/>
        <n v="12.96166429606"/>
        <n v="25.144722137800002"/>
        <n v="31.266915353960005"/>
        <n v="98.30769299999999"/>
        <n v="39.14897247372"/>
        <n v="79.99381380000001"/>
        <n v="61.755224253600005"/>
        <n v="21.33168368"/>
        <n v="38.638346999999996"/>
        <n v="18.788291382"/>
        <n v="92.0995442884"/>
        <n v="40.74880512"/>
        <n v="27.464542738000002"/>
        <n v="36.5515502"/>
        <n v="345.57060915554"/>
        <n v="76.0741169238"/>
        <n v="25.296710384020002"/>
        <n v="32.2375069614"/>
        <n v="58.41148283676001"/>
        <n v="25.560689969560002"/>
        <n v="31.35747894"/>
        <n v="106.65841840000002"/>
        <n v="36.518944"/>
        <n v="77.9986386431"/>
        <n v="88.43316115590001"/>
        <n v="55.18506568016001"/>
        <n v="47.462996188000005"/>
        <n v="15.046836375780002"/>
        <n v="66.47485926780001"/>
        <n v="101.47215280530001"/>
        <n v="52.008168898"/>
        <n v="24.44877595774"/>
        <n v="82.81552088292"/>
        <n v="20.785059285700004"/>
        <n v="122.90782844324"/>
        <n v="65.47227013484"/>
        <n v="50.47609650780001"/>
        <n v="23.0851896"/>
        <n v="36.58917043212001"/>
        <n v="37.77307887636"/>
        <n v="17.12400907412"/>
        <n v="16.433395814980003"/>
        <n v="83.04969378999999"/>
        <n v="58.407079730999996"/>
        <n v="62.219196823"/>
        <n v="168.920270141"/>
        <n v="50.77740653978001"/>
        <n v="30.370984639400003"/>
        <n v="24.89940777548"/>
        <n v="61.28059429172001"/>
        <n v="53.291878753560006"/>
        <n v="125.044777"/>
        <n v="34.154692032140005"/>
        <n v="30.816283536220002"/>
        <n v="28.530424999999997"/>
        <n v="201.9977121473"/>
        <n v="28.752443140180002"/>
        <n v="62.917801014160005"/>
        <n v="77.30335519586001"/>
        <n v="29.427057636560004"/>
        <n v="129.772676"/>
        <n v="51.660004952040005"/>
        <n v="36.9704742779"/>
        <n v="177.98356924454"/>
        <n v="41.063491084000006"/>
        <n v="73.50898196128001"/>
        <n v="55.649029800200005"/>
        <n v="7.96738385448"/>
        <n v="32.6062"/>
        <n v="124.99566698342001"/>
        <n v="25.90999628982000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4:S38" firstHeaderRow="0" firstDataRow="2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t="default"/>
      </items>
    </pivotField>
    <pivotField name="Coup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axis="axisRow" compact="0" outline="0" multipleItemSelectionAllowed="1" showAll="0" sortType="ascending">
      <items>
        <item x="31"/>
        <item x="28"/>
        <item x="29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1"/>
        <item x="23"/>
        <item x="24"/>
        <item x="25"/>
        <item x="26"/>
        <item x="27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15"/>
  </rowFields>
  <colFields>
    <field x="16"/>
    <field x="-2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pivotTables/pivotTable2.xml><?xml version="1.0" encoding="utf-8"?>
<pivotTableDefinition xmlns="http://schemas.openxmlformats.org/spreadsheetml/2006/main" name="Pivot Table 1 2" cacheId="0" dataOnRows="1" dataCaption="" compact="0" compactData="0">
  <location ref="Y4:AJ181" firstHeaderRow="0" firstDataRow="3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t="default"/>
      </items>
    </pivotField>
    <pivotField name="Coupon" axis="axisRow" compact="0" outline="0" multipleItemSelectionAllowed="1" showAll="0" sortType="ascending">
      <items>
        <item x="38"/>
        <item x="35"/>
        <item x="32"/>
        <item x="10"/>
        <item x="6"/>
        <item x="3"/>
        <item x="17"/>
        <item x="33"/>
        <item x="37"/>
        <item x="8"/>
        <item x="13"/>
        <item x="27"/>
        <item x="14"/>
        <item x="1"/>
        <item x="25"/>
        <item x="28"/>
        <item x="36"/>
        <item x="21"/>
        <item x="31"/>
        <item x="34"/>
        <item x="0"/>
        <item x="24"/>
        <item x="19"/>
        <item x="20"/>
        <item x="12"/>
        <item x="4"/>
        <item x="5"/>
        <item x="2"/>
        <item x="9"/>
        <item x="30"/>
        <item x="26"/>
        <item x="23"/>
        <item x="29"/>
        <item x="7"/>
        <item x="15"/>
        <item x="22"/>
        <item x="18"/>
        <item x="11"/>
        <item x="16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Country" axis="axisRow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6"/>
    <field x="3"/>
    <field x="-2"/>
  </rowFields>
  <colFields>
    <field x="16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40:T480" firstHeaderRow="0" firstDataRow="3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t="default"/>
      </items>
    </pivotField>
    <pivotField name="Coupon" axis="axisRow" compact="0" outline="0" multipleItemSelectionAllowed="1" showAll="0" sortType="ascending">
      <items>
        <item x="38"/>
        <item x="35"/>
        <item x="32"/>
        <item x="10"/>
        <item x="6"/>
        <item x="3"/>
        <item x="17"/>
        <item x="33"/>
        <item x="37"/>
        <item x="8"/>
        <item x="13"/>
        <item x="27"/>
        <item x="14"/>
        <item x="1"/>
        <item x="25"/>
        <item x="28"/>
        <item x="36"/>
        <item x="21"/>
        <item x="31"/>
        <item x="34"/>
        <item x="0"/>
        <item x="24"/>
        <item x="19"/>
        <item x="20"/>
        <item x="12"/>
        <item x="4"/>
        <item x="5"/>
        <item x="2"/>
        <item x="9"/>
        <item x="30"/>
        <item x="26"/>
        <item x="23"/>
        <item x="29"/>
        <item x="7"/>
        <item x="15"/>
        <item x="22"/>
        <item x="18"/>
        <item x="11"/>
        <item x="16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axis="axisRow" compact="0" outline="0" multipleItemSelectionAllowed="1" showAll="0" sortType="ascending">
      <items>
        <item x="31"/>
        <item x="28"/>
        <item x="29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1"/>
        <item x="23"/>
        <item x="24"/>
        <item x="25"/>
        <item x="26"/>
        <item x="27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3"/>
    <field x="15"/>
  </rowFields>
  <colFields>
    <field x="16"/>
    <field x="-2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IFERROR(__xludf.DUMMYFUNCTION("IMPORTRANGE(""https://docs.google.com/spreadsheets/d/1dhIMMhiA-q0Hmx3VSZtU7R59zA0mA8w4HOOU7uuz7Io/edit?gid=1668259122#gid=1668259122"",""DigiZag!A1:200000"")"),"Order Date (Full date)")</f>
        <v>Order Date (Full date)</v>
      </c>
      <c r="B1" s="2" t="str">
        <f>IFERROR(__xludf.DUMMYFUNCTION("""COMPUTED_VALUE"""),"Order Date (Month)")</f>
        <v>Order Date (Month)</v>
      </c>
      <c r="C1" s="3" t="str">
        <f>IFERROR(__xludf.DUMMYFUNCTION("""COMPUTED_VALUE"""),"User ID")</f>
        <v>User ID</v>
      </c>
      <c r="D1" s="2" t="str">
        <f>IFERROR(__xludf.DUMMYFUNCTION("""COMPUTED_VALUE"""),"Coupon")</f>
        <v>Coupon</v>
      </c>
      <c r="E1" s="2" t="str">
        <f>IFERROR(__xludf.DUMMYFUNCTION("""COMPUTED_VALUE"""),"Coupon Description")</f>
        <v>Coupon Description</v>
      </c>
      <c r="F1" s="2" t="str">
        <f>IFERROR(__xludf.DUMMYFUNCTION("""COMPUTED_VALUE"""),"Order id")</f>
        <v>Order id</v>
      </c>
      <c r="G1" s="2" t="str">
        <f>IFERROR(__xludf.DUMMYFUNCTION("""COMPUTED_VALUE"""),"Country")</f>
        <v>Country</v>
      </c>
      <c r="H1" s="4" t="str">
        <f>IFERROR(__xludf.DUMMYFUNCTION("""COMPUTED_VALUE"""),"Subtotal")</f>
        <v>Subtotal</v>
      </c>
      <c r="I1" s="3" t="str">
        <f>IFERROR(__xludf.DUMMYFUNCTION("""COMPUTED_VALUE"""),"Order Return")</f>
        <v>Order Return</v>
      </c>
      <c r="J1" s="4" t="str">
        <f>IFERROR(__xludf.DUMMYFUNCTION("""COMPUTED_VALUE"""),"Order Discount")</f>
        <v>Order Discount</v>
      </c>
      <c r="K1" s="2" t="str">
        <f>IFERROR(__xludf.DUMMYFUNCTION("""COMPUTED_VALUE"""),"Affiliate")</f>
        <v>Affiliate</v>
      </c>
      <c r="L1" s="2" t="str">
        <f>IFERROR(__xludf.DUMMYFUNCTION("""COMPUTED_VALUE"""),"Status Of Order")</f>
        <v>Status Of Order</v>
      </c>
      <c r="M1" s="2" t="str">
        <f>IFERROR(__xludf.DUMMYFUNCTION("""COMPUTED_VALUE"""),"Currency")</f>
        <v>Currency</v>
      </c>
      <c r="N1" s="2" t="str">
        <f>IFERROR(__xludf.DUMMYFUNCTION("""COMPUTED_VALUE"""),"Payment Method")</f>
        <v>Payment Method</v>
      </c>
      <c r="O1" s="4" t="str">
        <f>IFERROR(__xludf.DUMMYFUNCTION("""COMPUTED_VALUE"""),"Order Return Value")</f>
        <v>Order Return Value</v>
      </c>
      <c r="P1" s="1" t="str">
        <f>IFERROR(__xludf.DUMMYFUNCTION("""COMPUTED_VALUE"""),"Day")</f>
        <v>Day</v>
      </c>
      <c r="Q1" s="1" t="str">
        <f>IFERROR(__xludf.DUMMYFUNCTION("""COMPUTED_VALUE"""),"Month")</f>
        <v>Month</v>
      </c>
      <c r="R1" s="1" t="str">
        <f>IFERROR(__xludf.DUMMYFUNCTION("""COMPUTED_VALUE"""),"Year")</f>
        <v>Year</v>
      </c>
      <c r="S1" s="1" t="str">
        <f>IFERROR(__xludf.DUMMYFUNCTION("""COMPUTED_VALUE"""),"Lookup ")</f>
        <v>Lookup </v>
      </c>
      <c r="T1" s="1" t="str">
        <f>IFERROR(__xludf.DUMMYFUNCTION("""COMPUTED_VALUE"""),"Lookup 2")</f>
        <v>Lookup 2</v>
      </c>
      <c r="U1" s="5" t="str">
        <f>IFERROR(__xludf.DUMMYFUNCTION("""COMPUTED_VALUE"""),"Subtotal $")</f>
        <v>Subtotal $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</row>
    <row r="2">
      <c r="A2" s="6">
        <f>IFERROR(__xludf.DUMMYFUNCTION("""COMPUTED_VALUE"""),45708.80284722222)</f>
        <v>45708.80285</v>
      </c>
      <c r="B2" s="2" t="str">
        <f>IFERROR(__xludf.DUMMYFUNCTION("""COMPUTED_VALUE"""),"February")</f>
        <v>February</v>
      </c>
      <c r="C2" s="3">
        <f>IFERROR(__xludf.DUMMYFUNCTION("""COMPUTED_VALUE"""),693457.0)</f>
        <v>693457</v>
      </c>
      <c r="D2" s="2" t="str">
        <f>IFERROR(__xludf.DUMMYFUNCTION("""COMPUTED_VALUE"""),"DG9")</f>
        <v>DG9</v>
      </c>
      <c r="E2" s="2" t="str">
        <f>IFERROR(__xludf.DUMMYFUNCTION("""COMPUTED_VALUE"""),"Imported from file Digizag.xlsx")</f>
        <v>Imported from file Digizag.xlsx</v>
      </c>
      <c r="F2" s="2" t="str">
        <f>IFERROR(__xludf.DUMMYFUNCTION("""COMPUTED_VALUE"""),"ZJA217820")</f>
        <v>ZJA217820</v>
      </c>
      <c r="G2" s="2" t="str">
        <f>IFERROR(__xludf.DUMMYFUNCTION("""COMPUTED_VALUE"""),"Kuwait")</f>
        <v>Kuwait</v>
      </c>
      <c r="H2" s="4">
        <f>IFERROR(__xludf.DUMMYFUNCTION("""COMPUTED_VALUE"""),5.85)</f>
        <v>5.85</v>
      </c>
      <c r="I2" s="3">
        <f>IFERROR(__xludf.DUMMYFUNCTION("""COMPUTED_VALUE"""),1.0)</f>
        <v>1</v>
      </c>
      <c r="J2" s="4">
        <f>IFERROR(__xludf.DUMMYFUNCTION("""COMPUTED_VALUE"""),0.585)</f>
        <v>0.585</v>
      </c>
      <c r="K2" s="2"/>
      <c r="L2" s="2" t="str">
        <f>IFERROR(__xludf.DUMMYFUNCTION("""COMPUTED_VALUE"""),"Cancelled")</f>
        <v>Cancelled</v>
      </c>
      <c r="M2" s="2" t="str">
        <f>IFERROR(__xludf.DUMMYFUNCTION("""COMPUTED_VALUE"""),"KD")</f>
        <v>KD</v>
      </c>
      <c r="N2" s="2" t="str">
        <f>IFERROR(__xludf.DUMMYFUNCTION("""COMPUTED_VALUE"""),"Cash")</f>
        <v>Cash</v>
      </c>
      <c r="O2" s="4">
        <f>IFERROR(__xludf.DUMMYFUNCTION("""COMPUTED_VALUE"""),5.265)</f>
        <v>5.265</v>
      </c>
      <c r="P2" s="2">
        <f>IFERROR(__xludf.DUMMYFUNCTION("""COMPUTED_VALUE"""),20.0)</f>
        <v>20</v>
      </c>
      <c r="Q2" s="2">
        <f>IFERROR(__xludf.DUMMYFUNCTION("""COMPUTED_VALUE"""),2.0)</f>
        <v>2</v>
      </c>
      <c r="R2" s="2">
        <f>IFERROR(__xludf.DUMMYFUNCTION("""COMPUTED_VALUE"""),2025.0)</f>
        <v>2025</v>
      </c>
      <c r="S2" s="2" t="str">
        <f>IFERROR(__xludf.DUMMYFUNCTION("""COMPUTED_VALUE"""),"Digizag")</f>
        <v>Digizag</v>
      </c>
      <c r="T2" s="2" t="str">
        <f>IFERROR(__xludf.DUMMYFUNCTION("""COMPUTED_VALUE"""),"Digizag")</f>
        <v>Digizag</v>
      </c>
      <c r="U2" s="5">
        <f>IFERROR(__xludf.DUMMYFUNCTION("""COMPUTED_VALUE"""),19.074627)</f>
        <v>19.074627</v>
      </c>
      <c r="V2" s="2"/>
      <c r="W2" s="2"/>
      <c r="X2" s="2"/>
      <c r="Y2" s="2"/>
      <c r="Z2" s="2"/>
    </row>
    <row r="3">
      <c r="A3" s="6">
        <f>IFERROR(__xludf.DUMMYFUNCTION("""COMPUTED_VALUE"""),45714.33945601852)</f>
        <v>45714.33946</v>
      </c>
      <c r="B3" s="2" t="str">
        <f>IFERROR(__xludf.DUMMYFUNCTION("""COMPUTED_VALUE"""),"February")</f>
        <v>February</v>
      </c>
      <c r="C3" s="3">
        <f>IFERROR(__xludf.DUMMYFUNCTION("""COMPUTED_VALUE"""),696821.0)</f>
        <v>696821</v>
      </c>
      <c r="D3" s="2" t="str">
        <f>IFERROR(__xludf.DUMMYFUNCTION("""COMPUTED_VALUE"""),"DG1")</f>
        <v>DG1</v>
      </c>
      <c r="E3" s="2" t="str">
        <f>IFERROR(__xludf.DUMMYFUNCTION("""COMPUTED_VALUE"""),"Imported from file Digizag.xlsx")</f>
        <v>Imported from file Digizag.xlsx</v>
      </c>
      <c r="F3" s="2" t="str">
        <f>IFERROR(__xludf.DUMMYFUNCTION("""COMPUTED_VALUE"""),"TNN559980")</f>
        <v>TNN559980</v>
      </c>
      <c r="G3" s="2" t="str">
        <f>IFERROR(__xludf.DUMMYFUNCTION("""COMPUTED_VALUE"""),"Bahrain")</f>
        <v>Bahrain</v>
      </c>
      <c r="H3" s="4">
        <f>IFERROR(__xludf.DUMMYFUNCTION("""COMPUTED_VALUE"""),0.6)</f>
        <v>0.6</v>
      </c>
      <c r="I3" s="3">
        <f>IFERROR(__xludf.DUMMYFUNCTION("""COMPUTED_VALUE"""),1.0)</f>
        <v>1</v>
      </c>
      <c r="J3" s="4">
        <f>IFERROR(__xludf.DUMMYFUNCTION("""COMPUTED_VALUE"""),0.06)</f>
        <v>0.06</v>
      </c>
      <c r="K3" s="2"/>
      <c r="L3" s="2" t="str">
        <f>IFERROR(__xludf.DUMMYFUNCTION("""COMPUTED_VALUE"""),"Cancelled")</f>
        <v>Cancelled</v>
      </c>
      <c r="M3" s="2" t="str">
        <f>IFERROR(__xludf.DUMMYFUNCTION("""COMPUTED_VALUE"""),"BHD")</f>
        <v>BHD</v>
      </c>
      <c r="N3" s="2" t="str">
        <f>IFERROR(__xludf.DUMMYFUNCTION("""COMPUTED_VALUE"""),"Cash")</f>
        <v>Cash</v>
      </c>
      <c r="O3" s="4">
        <f>IFERROR(__xludf.DUMMYFUNCTION("""COMPUTED_VALUE"""),0.54)</f>
        <v>0.54</v>
      </c>
      <c r="P3" s="2">
        <f>IFERROR(__xludf.DUMMYFUNCTION("""COMPUTED_VALUE"""),26.0)</f>
        <v>26</v>
      </c>
      <c r="Q3" s="2">
        <f>IFERROR(__xludf.DUMMYFUNCTION("""COMPUTED_VALUE"""),2.0)</f>
        <v>2</v>
      </c>
      <c r="R3" s="2">
        <f>IFERROR(__xludf.DUMMYFUNCTION("""COMPUTED_VALUE"""),2025.0)</f>
        <v>2025</v>
      </c>
      <c r="S3" s="2" t="str">
        <f>IFERROR(__xludf.DUMMYFUNCTION("""COMPUTED_VALUE"""),"Digizag")</f>
        <v>Digizag</v>
      </c>
      <c r="T3" s="2" t="str">
        <f>IFERROR(__xludf.DUMMYFUNCTION("""COMPUTED_VALUE"""),"Digizag")</f>
        <v>Digizag</v>
      </c>
      <c r="U3" s="5">
        <f>IFERROR(__xludf.DUMMYFUNCTION("""COMPUTED_VALUE"""),1.5917502)</f>
        <v>1.5917502</v>
      </c>
      <c r="V3" s="2"/>
      <c r="W3" s="2"/>
      <c r="X3" s="2"/>
      <c r="Y3" s="2"/>
      <c r="Z3" s="2"/>
    </row>
    <row r="4">
      <c r="A4" s="6">
        <f>IFERROR(__xludf.DUMMYFUNCTION("""COMPUTED_VALUE"""),45720.610439814816)</f>
        <v>45720.61044</v>
      </c>
      <c r="B4" s="2" t="str">
        <f>IFERROR(__xludf.DUMMYFUNCTION("""COMPUTED_VALUE"""),"March")</f>
        <v>March</v>
      </c>
      <c r="C4" s="3">
        <f>IFERROR(__xludf.DUMMYFUNCTION("""COMPUTED_VALUE"""),214119.0)</f>
        <v>214119</v>
      </c>
      <c r="D4" s="2" t="str">
        <f>IFERROR(__xludf.DUMMYFUNCTION("""COMPUTED_VALUE"""),"MNN16")</f>
        <v>MNN16</v>
      </c>
      <c r="E4" s="2" t="str">
        <f>IFERROR(__xludf.DUMMYFUNCTION("""COMPUTED_VALUE"""),"Imported from file DigiZag Codes 25Feb25.xlsx")</f>
        <v>Imported from file DigiZag Codes 25Feb25.xlsx</v>
      </c>
      <c r="F4" s="2" t="str">
        <f>IFERROR(__xludf.DUMMYFUNCTION("""COMPUTED_VALUE"""),"TPX521248")</f>
        <v>TPX521248</v>
      </c>
      <c r="G4" s="2" t="str">
        <f>IFERROR(__xludf.DUMMYFUNCTION("""COMPUTED_VALUE"""),"Kuwait")</f>
        <v>Kuwait</v>
      </c>
      <c r="H4" s="4">
        <f>IFERROR(__xludf.DUMMYFUNCTION("""COMPUTED_VALUE"""),15.8)</f>
        <v>15.8</v>
      </c>
      <c r="I4" s="3">
        <f>IFERROR(__xludf.DUMMYFUNCTION("""COMPUTED_VALUE"""),0.0)</f>
        <v>0</v>
      </c>
      <c r="J4" s="4">
        <f>IFERROR(__xludf.DUMMYFUNCTION("""COMPUTED_VALUE"""),1.58)</f>
        <v>1.58</v>
      </c>
      <c r="K4" s="2"/>
      <c r="L4" s="2" t="str">
        <f>IFERROR(__xludf.DUMMYFUNCTION("""COMPUTED_VALUE"""),"Delivered")</f>
        <v>Delivered</v>
      </c>
      <c r="M4" s="2" t="str">
        <f>IFERROR(__xludf.DUMMYFUNCTION("""COMPUTED_VALUE"""),"KD")</f>
        <v>KD</v>
      </c>
      <c r="N4" s="2" t="str">
        <f>IFERROR(__xludf.DUMMYFUNCTION("""COMPUTED_VALUE"""),"Credit, Debit, Knet")</f>
        <v>Credit, Debit, Knet</v>
      </c>
      <c r="O4" s="4">
        <f>IFERROR(__xludf.DUMMYFUNCTION("""COMPUTED_VALUE"""),0.0)</f>
        <v>0</v>
      </c>
      <c r="P4" s="2">
        <f>IFERROR(__xludf.DUMMYFUNCTION("""COMPUTED_VALUE"""),4.0)</f>
        <v>4</v>
      </c>
      <c r="Q4" s="2">
        <f>IFERROR(__xludf.DUMMYFUNCTION("""COMPUTED_VALUE"""),3.0)</f>
        <v>3</v>
      </c>
      <c r="R4" s="2">
        <f>IFERROR(__xludf.DUMMYFUNCTION("""COMPUTED_VALUE"""),2025.0)</f>
        <v>2025</v>
      </c>
      <c r="S4" s="2" t="str">
        <f>IFERROR(__xludf.DUMMYFUNCTION("""COMPUTED_VALUE"""),"Digizag")</f>
        <v>Digizag</v>
      </c>
      <c r="T4" s="2" t="str">
        <f>IFERROR(__xludf.DUMMYFUNCTION("""COMPUTED_VALUE"""),"Digizag")</f>
        <v>Digizag</v>
      </c>
      <c r="U4" s="5">
        <f>IFERROR(__xludf.DUMMYFUNCTION("""COMPUTED_VALUE"""),51.517796)</f>
        <v>51.517796</v>
      </c>
      <c r="V4" s="2"/>
      <c r="W4" s="2"/>
      <c r="X4" s="2"/>
      <c r="Y4" s="2"/>
      <c r="Z4" s="2"/>
    </row>
    <row r="5">
      <c r="A5" s="6">
        <f>IFERROR(__xludf.DUMMYFUNCTION("""COMPUTED_VALUE"""),45720.69275462963)</f>
        <v>45720.69275</v>
      </c>
      <c r="B5" s="2" t="str">
        <f>IFERROR(__xludf.DUMMYFUNCTION("""COMPUTED_VALUE"""),"March")</f>
        <v>March</v>
      </c>
      <c r="C5" s="3">
        <f>IFERROR(__xludf.DUMMYFUNCTION("""COMPUTED_VALUE"""),681762.0)</f>
        <v>681762</v>
      </c>
      <c r="D5" s="2" t="str">
        <f>IFERROR(__xludf.DUMMYFUNCTION("""COMPUTED_VALUE"""),"DB1")</f>
        <v>DB1</v>
      </c>
      <c r="E5" s="2" t="str">
        <f>IFERROR(__xludf.DUMMYFUNCTION("""COMPUTED_VALUE"""),"Imported from file Digizag.xlsx")</f>
        <v>Imported from file Digizag.xlsx</v>
      </c>
      <c r="F5" s="2" t="str">
        <f>IFERROR(__xludf.DUMMYFUNCTION("""COMPUTED_VALUE"""),"KEH679949")</f>
        <v>KEH679949</v>
      </c>
      <c r="G5" s="2" t="str">
        <f>IFERROR(__xludf.DUMMYFUNCTION("""COMPUTED_VALUE"""),"Kingdom of Saudi Arabia")</f>
        <v>Kingdom of Saudi Arabia</v>
      </c>
      <c r="H5" s="4">
        <f>IFERROR(__xludf.DUMMYFUNCTION("""COMPUTED_VALUE"""),172.65)</f>
        <v>172.65</v>
      </c>
      <c r="I5" s="3">
        <f>IFERROR(__xludf.DUMMYFUNCTION("""COMPUTED_VALUE"""),0.0)</f>
        <v>0</v>
      </c>
      <c r="J5" s="4">
        <f>IFERROR(__xludf.DUMMYFUNCTION("""COMPUTED_VALUE"""),17.26)</f>
        <v>17.26</v>
      </c>
      <c r="K5" s="2"/>
      <c r="L5" s="2" t="str">
        <f>IFERROR(__xludf.DUMMYFUNCTION("""COMPUTED_VALUE"""),"Delivered")</f>
        <v>Delivered</v>
      </c>
      <c r="M5" s="2" t="str">
        <f>IFERROR(__xludf.DUMMYFUNCTION("""COMPUTED_VALUE"""),"SR")</f>
        <v>SR</v>
      </c>
      <c r="N5" s="2" t="str">
        <f>IFERROR(__xludf.DUMMYFUNCTION("""COMPUTED_VALUE"""),"Credit, Debit, Apple Pay")</f>
        <v>Credit, Debit, Apple Pay</v>
      </c>
      <c r="O5" s="4">
        <f>IFERROR(__xludf.DUMMYFUNCTION("""COMPUTED_VALUE"""),0.0)</f>
        <v>0</v>
      </c>
      <c r="P5" s="2">
        <f>IFERROR(__xludf.DUMMYFUNCTION("""COMPUTED_VALUE"""),4.0)</f>
        <v>4</v>
      </c>
      <c r="Q5" s="2">
        <f>IFERROR(__xludf.DUMMYFUNCTION("""COMPUTED_VALUE"""),3.0)</f>
        <v>3</v>
      </c>
      <c r="R5" s="2">
        <f>IFERROR(__xludf.DUMMYFUNCTION("""COMPUTED_VALUE"""),2025.0)</f>
        <v>2025</v>
      </c>
      <c r="S5" s="2" t="str">
        <f>IFERROR(__xludf.DUMMYFUNCTION("""COMPUTED_VALUE"""),"Digizag")</f>
        <v>Digizag</v>
      </c>
      <c r="T5" s="2" t="str">
        <f>IFERROR(__xludf.DUMMYFUNCTION("""COMPUTED_VALUE"""),"Digizag")</f>
        <v>Digizag</v>
      </c>
      <c r="U5" s="5">
        <f>IFERROR(__xludf.DUMMYFUNCTION("""COMPUTED_VALUE"""),46.036439841900005)</f>
        <v>46.03643984</v>
      </c>
      <c r="V5" s="2"/>
      <c r="W5" s="2"/>
      <c r="X5" s="2"/>
      <c r="Y5" s="2"/>
      <c r="Z5" s="2"/>
    </row>
    <row r="6">
      <c r="A6" s="6">
        <f>IFERROR(__xludf.DUMMYFUNCTION("""COMPUTED_VALUE"""),45721.793078703704)</f>
        <v>45721.79308</v>
      </c>
      <c r="B6" s="2" t="str">
        <f>IFERROR(__xludf.DUMMYFUNCTION("""COMPUTED_VALUE"""),"March")</f>
        <v>March</v>
      </c>
      <c r="C6" s="3">
        <f>IFERROR(__xludf.DUMMYFUNCTION("""COMPUTED_VALUE"""),130038.0)</f>
        <v>130038</v>
      </c>
      <c r="D6" s="2" t="str">
        <f>IFERROR(__xludf.DUMMYFUNCTION("""COMPUTED_VALUE"""),"DB1")</f>
        <v>DB1</v>
      </c>
      <c r="E6" s="2" t="str">
        <f>IFERROR(__xludf.DUMMYFUNCTION("""COMPUTED_VALUE"""),"Imported from file Digizag.xlsx")</f>
        <v>Imported from file Digizag.xlsx</v>
      </c>
      <c r="F6" s="2" t="str">
        <f>IFERROR(__xludf.DUMMYFUNCTION("""COMPUTED_VALUE"""),"LJV967207")</f>
        <v>LJV967207</v>
      </c>
      <c r="G6" s="2" t="str">
        <f>IFERROR(__xludf.DUMMYFUNCTION("""COMPUTED_VALUE"""),"Kingdom of Saudi Arabia")</f>
        <v>Kingdom of Saudi Arabia</v>
      </c>
      <c r="H6" s="4">
        <f>IFERROR(__xludf.DUMMYFUNCTION("""COMPUTED_VALUE"""),86.0)</f>
        <v>86</v>
      </c>
      <c r="I6" s="3">
        <f>IFERROR(__xludf.DUMMYFUNCTION("""COMPUTED_VALUE"""),0.0)</f>
        <v>0</v>
      </c>
      <c r="J6" s="4">
        <f>IFERROR(__xludf.DUMMYFUNCTION("""COMPUTED_VALUE"""),8.6)</f>
        <v>8.6</v>
      </c>
      <c r="K6" s="2"/>
      <c r="L6" s="2" t="str">
        <f>IFERROR(__xludf.DUMMYFUNCTION("""COMPUTED_VALUE"""),"Delivered")</f>
        <v>Delivered</v>
      </c>
      <c r="M6" s="2" t="str">
        <f>IFERROR(__xludf.DUMMYFUNCTION("""COMPUTED_VALUE"""),"SR")</f>
        <v>SR</v>
      </c>
      <c r="N6" s="2" t="str">
        <f>IFERROR(__xludf.DUMMYFUNCTION("""COMPUTED_VALUE"""),"Credit, Debit, Apple Pay")</f>
        <v>Credit, Debit, Apple Pay</v>
      </c>
      <c r="O6" s="4">
        <f>IFERROR(__xludf.DUMMYFUNCTION("""COMPUTED_VALUE"""),0.0)</f>
        <v>0</v>
      </c>
      <c r="P6" s="2">
        <f>IFERROR(__xludf.DUMMYFUNCTION("""COMPUTED_VALUE"""),5.0)</f>
        <v>5</v>
      </c>
      <c r="Q6" s="2">
        <f>IFERROR(__xludf.DUMMYFUNCTION("""COMPUTED_VALUE"""),3.0)</f>
        <v>3</v>
      </c>
      <c r="R6" s="2">
        <f>IFERROR(__xludf.DUMMYFUNCTION("""COMPUTED_VALUE"""),2025.0)</f>
        <v>2025</v>
      </c>
      <c r="S6" s="2" t="str">
        <f>IFERROR(__xludf.DUMMYFUNCTION("""COMPUTED_VALUE"""),"Digizag")</f>
        <v>Digizag</v>
      </c>
      <c r="T6" s="2" t="str">
        <f>IFERROR(__xludf.DUMMYFUNCTION("""COMPUTED_VALUE"""),"Digizag")</f>
        <v>Digizag</v>
      </c>
      <c r="U6" s="5">
        <f>IFERROR(__xludf.DUMMYFUNCTION("""COMPUTED_VALUE"""),22.931559956)</f>
        <v>22.93155996</v>
      </c>
      <c r="V6" s="2"/>
      <c r="W6" s="2"/>
      <c r="X6" s="2"/>
      <c r="Y6" s="2"/>
      <c r="Z6" s="2"/>
    </row>
    <row r="7">
      <c r="A7" s="6">
        <f>IFERROR(__xludf.DUMMYFUNCTION("""COMPUTED_VALUE"""),45722.170011574075)</f>
        <v>45722.17001</v>
      </c>
      <c r="B7" s="2" t="str">
        <f>IFERROR(__xludf.DUMMYFUNCTION("""COMPUTED_VALUE"""),"March")</f>
        <v>March</v>
      </c>
      <c r="C7" s="3">
        <f>IFERROR(__xludf.DUMMYFUNCTION("""COMPUTED_VALUE"""),548035.0)</f>
        <v>548035</v>
      </c>
      <c r="D7" s="2" t="str">
        <f>IFERROR(__xludf.DUMMYFUNCTION("""COMPUTED_VALUE"""),"DB1")</f>
        <v>DB1</v>
      </c>
      <c r="E7" s="2" t="str">
        <f>IFERROR(__xludf.DUMMYFUNCTION("""COMPUTED_VALUE"""),"Imported from file Digizag.xlsx")</f>
        <v>Imported from file Digizag.xlsx</v>
      </c>
      <c r="F7" s="2" t="str">
        <f>IFERROR(__xludf.DUMMYFUNCTION("""COMPUTED_VALUE"""),"KZJ582374")</f>
        <v>KZJ582374</v>
      </c>
      <c r="G7" s="2" t="str">
        <f>IFERROR(__xludf.DUMMYFUNCTION("""COMPUTED_VALUE"""),"Kingdom of Saudi Arabia")</f>
        <v>Kingdom of Saudi Arabia</v>
      </c>
      <c r="H7" s="4">
        <f>IFERROR(__xludf.DUMMYFUNCTION("""COMPUTED_VALUE"""),233.0)</f>
        <v>233</v>
      </c>
      <c r="I7" s="3">
        <f>IFERROR(__xludf.DUMMYFUNCTION("""COMPUTED_VALUE"""),0.0)</f>
        <v>0</v>
      </c>
      <c r="J7" s="4">
        <f>IFERROR(__xludf.DUMMYFUNCTION("""COMPUTED_VALUE"""),23.3)</f>
        <v>23.3</v>
      </c>
      <c r="K7" s="2"/>
      <c r="L7" s="2" t="str">
        <f>IFERROR(__xludf.DUMMYFUNCTION("""COMPUTED_VALUE"""),"Delivered")</f>
        <v>Delivered</v>
      </c>
      <c r="M7" s="2" t="str">
        <f>IFERROR(__xludf.DUMMYFUNCTION("""COMPUTED_VALUE"""),"SR")</f>
        <v>SR</v>
      </c>
      <c r="N7" s="2" t="str">
        <f>IFERROR(__xludf.DUMMYFUNCTION("""COMPUTED_VALUE"""),"Credit, Debit, Apple Pay")</f>
        <v>Credit, Debit, Apple Pay</v>
      </c>
      <c r="O7" s="4">
        <f>IFERROR(__xludf.DUMMYFUNCTION("""COMPUTED_VALUE"""),0.0)</f>
        <v>0</v>
      </c>
      <c r="P7" s="2">
        <f>IFERROR(__xludf.DUMMYFUNCTION("""COMPUTED_VALUE"""),6.0)</f>
        <v>6</v>
      </c>
      <c r="Q7" s="2">
        <f>IFERROR(__xludf.DUMMYFUNCTION("""COMPUTED_VALUE"""),3.0)</f>
        <v>3</v>
      </c>
      <c r="R7" s="2">
        <f>IFERROR(__xludf.DUMMYFUNCTION("""COMPUTED_VALUE"""),2025.0)</f>
        <v>2025</v>
      </c>
      <c r="S7" s="2" t="str">
        <f>IFERROR(__xludf.DUMMYFUNCTION("""COMPUTED_VALUE"""),"Digizag")</f>
        <v>Digizag</v>
      </c>
      <c r="T7" s="2" t="str">
        <f>IFERROR(__xludf.DUMMYFUNCTION("""COMPUTED_VALUE"""),"Digizag")</f>
        <v>Digizag</v>
      </c>
      <c r="U7" s="5">
        <f>IFERROR(__xludf.DUMMYFUNCTION("""COMPUTED_VALUE"""),62.128528718000005)</f>
        <v>62.12852872</v>
      </c>
      <c r="V7" s="2"/>
      <c r="W7" s="2"/>
      <c r="X7" s="2"/>
      <c r="Y7" s="2"/>
      <c r="Z7" s="2"/>
    </row>
    <row r="8">
      <c r="A8" s="6">
        <f>IFERROR(__xludf.DUMMYFUNCTION("""COMPUTED_VALUE"""),45722.33071759259)</f>
        <v>45722.33072</v>
      </c>
      <c r="B8" s="2" t="str">
        <f>IFERROR(__xludf.DUMMYFUNCTION("""COMPUTED_VALUE"""),"March")</f>
        <v>March</v>
      </c>
      <c r="C8" s="3">
        <f>IFERROR(__xludf.DUMMYFUNCTION("""COMPUTED_VALUE"""),700188.0)</f>
        <v>700188</v>
      </c>
      <c r="D8" s="2" t="str">
        <f>IFERROR(__xludf.DUMMYFUNCTION("""COMPUTED_VALUE"""),"DB1")</f>
        <v>DB1</v>
      </c>
      <c r="E8" s="2" t="str">
        <f>IFERROR(__xludf.DUMMYFUNCTION("""COMPUTED_VALUE"""),"Imported from file Digizag.xlsx")</f>
        <v>Imported from file Digizag.xlsx</v>
      </c>
      <c r="F8" s="2" t="str">
        <f>IFERROR(__xludf.DUMMYFUNCTION("""COMPUTED_VALUE"""),"RMS176099")</f>
        <v>RMS176099</v>
      </c>
      <c r="G8" s="2" t="str">
        <f>IFERROR(__xludf.DUMMYFUNCTION("""COMPUTED_VALUE"""),"Kuwait")</f>
        <v>Kuwait</v>
      </c>
      <c r="H8" s="4">
        <f>IFERROR(__xludf.DUMMYFUNCTION("""COMPUTED_VALUE"""),8.95)</f>
        <v>8.95</v>
      </c>
      <c r="I8" s="3">
        <f>IFERROR(__xludf.DUMMYFUNCTION("""COMPUTED_VALUE"""),0.0)</f>
        <v>0</v>
      </c>
      <c r="J8" s="4">
        <f>IFERROR(__xludf.DUMMYFUNCTION("""COMPUTED_VALUE"""),0.895)</f>
        <v>0.895</v>
      </c>
      <c r="K8" s="2"/>
      <c r="L8" s="2" t="str">
        <f>IFERROR(__xludf.DUMMYFUNCTION("""COMPUTED_VALUE"""),"Delivered")</f>
        <v>Delivered</v>
      </c>
      <c r="M8" s="2" t="str">
        <f>IFERROR(__xludf.DUMMYFUNCTION("""COMPUTED_VALUE"""),"KD")</f>
        <v>KD</v>
      </c>
      <c r="N8" s="2" t="str">
        <f>IFERROR(__xludf.DUMMYFUNCTION("""COMPUTED_VALUE"""),"Credit, Debit, Knet")</f>
        <v>Credit, Debit, Knet</v>
      </c>
      <c r="O8" s="4">
        <f>IFERROR(__xludf.DUMMYFUNCTION("""COMPUTED_VALUE"""),0.0)</f>
        <v>0</v>
      </c>
      <c r="P8" s="2">
        <f>IFERROR(__xludf.DUMMYFUNCTION("""COMPUTED_VALUE"""),6.0)</f>
        <v>6</v>
      </c>
      <c r="Q8" s="2">
        <f>IFERROR(__xludf.DUMMYFUNCTION("""COMPUTED_VALUE"""),3.0)</f>
        <v>3</v>
      </c>
      <c r="R8" s="2">
        <f>IFERROR(__xludf.DUMMYFUNCTION("""COMPUTED_VALUE"""),2025.0)</f>
        <v>2025</v>
      </c>
      <c r="S8" s="2" t="str">
        <f>IFERROR(__xludf.DUMMYFUNCTION("""COMPUTED_VALUE"""),"Digizag")</f>
        <v>Digizag</v>
      </c>
      <c r="T8" s="2" t="str">
        <f>IFERROR(__xludf.DUMMYFUNCTION("""COMPUTED_VALUE"""),"Digizag")</f>
        <v>Digizag</v>
      </c>
      <c r="U8" s="5">
        <f>IFERROR(__xludf.DUMMYFUNCTION("""COMPUTED_VALUE"""),29.182548999999998)</f>
        <v>29.182549</v>
      </c>
      <c r="V8" s="2"/>
      <c r="W8" s="2"/>
      <c r="X8" s="2"/>
      <c r="Y8" s="2"/>
      <c r="Z8" s="2"/>
    </row>
    <row r="9">
      <c r="A9" s="6">
        <f>IFERROR(__xludf.DUMMYFUNCTION("""COMPUTED_VALUE"""),45722.44447916667)</f>
        <v>45722.44448</v>
      </c>
      <c r="B9" s="2" t="str">
        <f>IFERROR(__xludf.DUMMYFUNCTION("""COMPUTED_VALUE"""),"March")</f>
        <v>March</v>
      </c>
      <c r="C9" s="3">
        <f>IFERROR(__xludf.DUMMYFUNCTION("""COMPUTED_VALUE"""),615206.0)</f>
        <v>615206</v>
      </c>
      <c r="D9" s="2" t="str">
        <f>IFERROR(__xludf.DUMMYFUNCTION("""COMPUTED_VALUE"""),"DB1")</f>
        <v>DB1</v>
      </c>
      <c r="E9" s="2" t="str">
        <f>IFERROR(__xludf.DUMMYFUNCTION("""COMPUTED_VALUE"""),"Imported from file Digizag.xlsx")</f>
        <v>Imported from file Digizag.xlsx</v>
      </c>
      <c r="F9" s="2" t="str">
        <f>IFERROR(__xludf.DUMMYFUNCTION("""COMPUTED_VALUE"""),"LAD351051")</f>
        <v>LAD351051</v>
      </c>
      <c r="G9" s="2" t="str">
        <f>IFERROR(__xludf.DUMMYFUNCTION("""COMPUTED_VALUE"""),"Kuwait")</f>
        <v>Kuwait</v>
      </c>
      <c r="H9" s="4">
        <f>IFERROR(__xludf.DUMMYFUNCTION("""COMPUTED_VALUE"""),11.45)</f>
        <v>11.45</v>
      </c>
      <c r="I9" s="3">
        <f>IFERROR(__xludf.DUMMYFUNCTION("""COMPUTED_VALUE"""),0.0)</f>
        <v>0</v>
      </c>
      <c r="J9" s="4">
        <f>IFERROR(__xludf.DUMMYFUNCTION("""COMPUTED_VALUE"""),1.145)</f>
        <v>1.145</v>
      </c>
      <c r="K9" s="2"/>
      <c r="L9" s="2" t="str">
        <f>IFERROR(__xludf.DUMMYFUNCTION("""COMPUTED_VALUE"""),"Delivered")</f>
        <v>Delivered</v>
      </c>
      <c r="M9" s="2" t="str">
        <f>IFERROR(__xludf.DUMMYFUNCTION("""COMPUTED_VALUE"""),"KD")</f>
        <v>KD</v>
      </c>
      <c r="N9" s="2" t="str">
        <f>IFERROR(__xludf.DUMMYFUNCTION("""COMPUTED_VALUE"""),"Credit, Debit, Knet")</f>
        <v>Credit, Debit, Knet</v>
      </c>
      <c r="O9" s="4">
        <f>IFERROR(__xludf.DUMMYFUNCTION("""COMPUTED_VALUE"""),0.0)</f>
        <v>0</v>
      </c>
      <c r="P9" s="2">
        <f>IFERROR(__xludf.DUMMYFUNCTION("""COMPUTED_VALUE"""),6.0)</f>
        <v>6</v>
      </c>
      <c r="Q9" s="2">
        <f>IFERROR(__xludf.DUMMYFUNCTION("""COMPUTED_VALUE"""),3.0)</f>
        <v>3</v>
      </c>
      <c r="R9" s="2">
        <f>IFERROR(__xludf.DUMMYFUNCTION("""COMPUTED_VALUE"""),2025.0)</f>
        <v>2025</v>
      </c>
      <c r="S9" s="2" t="str">
        <f>IFERROR(__xludf.DUMMYFUNCTION("""COMPUTED_VALUE"""),"Digizag")</f>
        <v>Digizag</v>
      </c>
      <c r="T9" s="2" t="str">
        <f>IFERROR(__xludf.DUMMYFUNCTION("""COMPUTED_VALUE"""),"Digizag")</f>
        <v>Digizag</v>
      </c>
      <c r="U9" s="5">
        <f>IFERROR(__xludf.DUMMYFUNCTION("""COMPUTED_VALUE"""),37.334098999999995)</f>
        <v>37.334099</v>
      </c>
      <c r="V9" s="2"/>
      <c r="W9" s="2"/>
      <c r="X9" s="2"/>
      <c r="Y9" s="2"/>
      <c r="Z9" s="2"/>
    </row>
    <row r="10">
      <c r="A10" s="6">
        <f>IFERROR(__xludf.DUMMYFUNCTION("""COMPUTED_VALUE"""),45722.582407407404)</f>
        <v>45722.58241</v>
      </c>
      <c r="B10" s="2" t="str">
        <f>IFERROR(__xludf.DUMMYFUNCTION("""COMPUTED_VALUE"""),"March")</f>
        <v>March</v>
      </c>
      <c r="C10" s="3">
        <f>IFERROR(__xludf.DUMMYFUNCTION("""COMPUTED_VALUE"""),556975.0)</f>
        <v>556975</v>
      </c>
      <c r="D10" s="2" t="str">
        <f>IFERROR(__xludf.DUMMYFUNCTION("""COMPUTED_VALUE"""),"MNN16")</f>
        <v>MNN16</v>
      </c>
      <c r="E10" s="2" t="str">
        <f>IFERROR(__xludf.DUMMYFUNCTION("""COMPUTED_VALUE"""),"Imported from file DigiZag Codes 25Feb25.xlsx")</f>
        <v>Imported from file DigiZag Codes 25Feb25.xlsx</v>
      </c>
      <c r="F10" s="2" t="str">
        <f>IFERROR(__xludf.DUMMYFUNCTION("""COMPUTED_VALUE"""),"ZLS770910")</f>
        <v>ZLS770910</v>
      </c>
      <c r="G10" s="2" t="str">
        <f>IFERROR(__xludf.DUMMYFUNCTION("""COMPUTED_VALUE"""),"Kuwait")</f>
        <v>Kuwait</v>
      </c>
      <c r="H10" s="4">
        <f>IFERROR(__xludf.DUMMYFUNCTION("""COMPUTED_VALUE"""),26.9)</f>
        <v>26.9</v>
      </c>
      <c r="I10" s="3">
        <f>IFERROR(__xludf.DUMMYFUNCTION("""COMPUTED_VALUE"""),0.0)</f>
        <v>0</v>
      </c>
      <c r="J10" s="4">
        <f>IFERROR(__xludf.DUMMYFUNCTION("""COMPUTED_VALUE"""),2.69)</f>
        <v>2.69</v>
      </c>
      <c r="K10" s="2"/>
      <c r="L10" s="2" t="str">
        <f>IFERROR(__xludf.DUMMYFUNCTION("""COMPUTED_VALUE"""),"Delivered")</f>
        <v>Delivered</v>
      </c>
      <c r="M10" s="2" t="str">
        <f>IFERROR(__xludf.DUMMYFUNCTION("""COMPUTED_VALUE"""),"KD")</f>
        <v>KD</v>
      </c>
      <c r="N10" s="2" t="str">
        <f>IFERROR(__xludf.DUMMYFUNCTION("""COMPUTED_VALUE"""),"Credit, Debit, Knet")</f>
        <v>Credit, Debit, Knet</v>
      </c>
      <c r="O10" s="4">
        <f>IFERROR(__xludf.DUMMYFUNCTION("""COMPUTED_VALUE"""),0.0)</f>
        <v>0</v>
      </c>
      <c r="P10" s="2">
        <f>IFERROR(__xludf.DUMMYFUNCTION("""COMPUTED_VALUE"""),6.0)</f>
        <v>6</v>
      </c>
      <c r="Q10" s="2">
        <f>IFERROR(__xludf.DUMMYFUNCTION("""COMPUTED_VALUE"""),3.0)</f>
        <v>3</v>
      </c>
      <c r="R10" s="2">
        <f>IFERROR(__xludf.DUMMYFUNCTION("""COMPUTED_VALUE"""),2025.0)</f>
        <v>2025</v>
      </c>
      <c r="S10" s="2" t="str">
        <f>IFERROR(__xludf.DUMMYFUNCTION("""COMPUTED_VALUE"""),"Digizag")</f>
        <v>Digizag</v>
      </c>
      <c r="T10" s="2" t="str">
        <f>IFERROR(__xludf.DUMMYFUNCTION("""COMPUTED_VALUE"""),"Digizag")</f>
        <v>Digizag</v>
      </c>
      <c r="U10" s="5">
        <f>IFERROR(__xludf.DUMMYFUNCTION("""COMPUTED_VALUE"""),87.71067799999999)</f>
        <v>87.710678</v>
      </c>
      <c r="V10" s="2"/>
      <c r="W10" s="2"/>
      <c r="X10" s="2"/>
      <c r="Y10" s="2"/>
      <c r="Z10" s="2"/>
    </row>
    <row r="11">
      <c r="A11" s="6">
        <f>IFERROR(__xludf.DUMMYFUNCTION("""COMPUTED_VALUE"""),45722.679247685184)</f>
        <v>45722.67925</v>
      </c>
      <c r="B11" s="2" t="str">
        <f>IFERROR(__xludf.DUMMYFUNCTION("""COMPUTED_VALUE"""),"March")</f>
        <v>March</v>
      </c>
      <c r="C11" s="3">
        <f>IFERROR(__xludf.DUMMYFUNCTION("""COMPUTED_VALUE"""),700367.0)</f>
        <v>700367</v>
      </c>
      <c r="D11" s="2" t="str">
        <f>IFERROR(__xludf.DUMMYFUNCTION("""COMPUTED_VALUE"""),"MNN16")</f>
        <v>MNN16</v>
      </c>
      <c r="E11" s="2" t="str">
        <f>IFERROR(__xludf.DUMMYFUNCTION("""COMPUTED_VALUE"""),"Imported from file DigiZag Codes 25Feb25.xlsx")</f>
        <v>Imported from file DigiZag Codes 25Feb25.xlsx</v>
      </c>
      <c r="F11" s="2" t="str">
        <f>IFERROR(__xludf.DUMMYFUNCTION("""COMPUTED_VALUE"""),"ZBA188646")</f>
        <v>ZBA188646</v>
      </c>
      <c r="G11" s="2" t="str">
        <f>IFERROR(__xludf.DUMMYFUNCTION("""COMPUTED_VALUE"""),"UAE")</f>
        <v>UAE</v>
      </c>
      <c r="H11" s="4">
        <f>IFERROR(__xludf.DUMMYFUNCTION("""COMPUTED_VALUE"""),195.0)</f>
        <v>195</v>
      </c>
      <c r="I11" s="3">
        <f>IFERROR(__xludf.DUMMYFUNCTION("""COMPUTED_VALUE"""),0.0)</f>
        <v>0</v>
      </c>
      <c r="J11" s="4">
        <f>IFERROR(__xludf.DUMMYFUNCTION("""COMPUTED_VALUE"""),19.5)</f>
        <v>19.5</v>
      </c>
      <c r="K11" s="2"/>
      <c r="L11" s="2" t="str">
        <f>IFERROR(__xludf.DUMMYFUNCTION("""COMPUTED_VALUE"""),"Delivered")</f>
        <v>Delivered</v>
      </c>
      <c r="M11" s="2" t="str">
        <f>IFERROR(__xludf.DUMMYFUNCTION("""COMPUTED_VALUE"""),"AED")</f>
        <v>AED</v>
      </c>
      <c r="N11" s="2" t="str">
        <f>IFERROR(__xludf.DUMMYFUNCTION("""COMPUTED_VALUE"""),"Credit, Debit , Apple Pay")</f>
        <v>Credit, Debit , Apple Pay</v>
      </c>
      <c r="O11" s="4">
        <f>IFERROR(__xludf.DUMMYFUNCTION("""COMPUTED_VALUE"""),0.0)</f>
        <v>0</v>
      </c>
      <c r="P11" s="2">
        <f>IFERROR(__xludf.DUMMYFUNCTION("""COMPUTED_VALUE"""),6.0)</f>
        <v>6</v>
      </c>
      <c r="Q11" s="2">
        <f>IFERROR(__xludf.DUMMYFUNCTION("""COMPUTED_VALUE"""),3.0)</f>
        <v>3</v>
      </c>
      <c r="R11" s="2">
        <f>IFERROR(__xludf.DUMMYFUNCTION("""COMPUTED_VALUE"""),2025.0)</f>
        <v>2025</v>
      </c>
      <c r="S11" s="2" t="str">
        <f>IFERROR(__xludf.DUMMYFUNCTION("""COMPUTED_VALUE"""),"Digizag")</f>
        <v>Digizag</v>
      </c>
      <c r="T11" s="2" t="str">
        <f>IFERROR(__xludf.DUMMYFUNCTION("""COMPUTED_VALUE"""),"Digizag")</f>
        <v>Digizag</v>
      </c>
      <c r="U11" s="5">
        <f>IFERROR(__xludf.DUMMYFUNCTION("""COMPUTED_VALUE"""),53.09734521)</f>
        <v>53.09734521</v>
      </c>
      <c r="V11" s="2"/>
      <c r="W11" s="2"/>
      <c r="X11" s="2"/>
      <c r="Y11" s="2"/>
      <c r="Z11" s="2"/>
    </row>
    <row r="12">
      <c r="A12" s="6">
        <f>IFERROR(__xludf.DUMMYFUNCTION("""COMPUTED_VALUE"""),45722.79953703703)</f>
        <v>45722.79954</v>
      </c>
      <c r="B12" s="2" t="str">
        <f>IFERROR(__xludf.DUMMYFUNCTION("""COMPUTED_VALUE"""),"March")</f>
        <v>March</v>
      </c>
      <c r="C12" s="3">
        <f>IFERROR(__xludf.DUMMYFUNCTION("""COMPUTED_VALUE"""),700473.0)</f>
        <v>700473</v>
      </c>
      <c r="D12" s="2" t="str">
        <f>IFERROR(__xludf.DUMMYFUNCTION("""COMPUTED_VALUE"""),"MNN16")</f>
        <v>MNN16</v>
      </c>
      <c r="E12" s="2" t="str">
        <f>IFERROR(__xludf.DUMMYFUNCTION("""COMPUTED_VALUE"""),"Imported from file DigiZag Bidding Codes.xlsx")</f>
        <v>Imported from file DigiZag Bidding Codes.xlsx</v>
      </c>
      <c r="F12" s="2" t="str">
        <f>IFERROR(__xludf.DUMMYFUNCTION("""COMPUTED_VALUE"""),"ULC774542")</f>
        <v>ULC774542</v>
      </c>
      <c r="G12" s="2" t="str">
        <f>IFERROR(__xludf.DUMMYFUNCTION("""COMPUTED_VALUE"""),"Kingdom of Saudi Arabia")</f>
        <v>Kingdom of Saudi Arabia</v>
      </c>
      <c r="H12" s="4">
        <f>IFERROR(__xludf.DUMMYFUNCTION("""COMPUTED_VALUE"""),98.0)</f>
        <v>98</v>
      </c>
      <c r="I12" s="3">
        <f>IFERROR(__xludf.DUMMYFUNCTION("""COMPUTED_VALUE"""),0.0)</f>
        <v>0</v>
      </c>
      <c r="J12" s="4">
        <f>IFERROR(__xludf.DUMMYFUNCTION("""COMPUTED_VALUE"""),9.8)</f>
        <v>9.8</v>
      </c>
      <c r="K12" s="2"/>
      <c r="L12" s="2" t="str">
        <f>IFERROR(__xludf.DUMMYFUNCTION("""COMPUTED_VALUE"""),"Delivered")</f>
        <v>Delivered</v>
      </c>
      <c r="M12" s="2" t="str">
        <f>IFERROR(__xludf.DUMMYFUNCTION("""COMPUTED_VALUE"""),"SR")</f>
        <v>SR</v>
      </c>
      <c r="N12" s="2" t="str">
        <f>IFERROR(__xludf.DUMMYFUNCTION("""COMPUTED_VALUE"""),"Credit, Debit, Apple Pay")</f>
        <v>Credit, Debit, Apple Pay</v>
      </c>
      <c r="O12" s="4">
        <f>IFERROR(__xludf.DUMMYFUNCTION("""COMPUTED_VALUE"""),0.0)</f>
        <v>0</v>
      </c>
      <c r="P12" s="2">
        <f>IFERROR(__xludf.DUMMYFUNCTION("""COMPUTED_VALUE"""),6.0)</f>
        <v>6</v>
      </c>
      <c r="Q12" s="2">
        <f>IFERROR(__xludf.DUMMYFUNCTION("""COMPUTED_VALUE"""),3.0)</f>
        <v>3</v>
      </c>
      <c r="R12" s="2">
        <f>IFERROR(__xludf.DUMMYFUNCTION("""COMPUTED_VALUE"""),2025.0)</f>
        <v>2025</v>
      </c>
      <c r="S12" s="2" t="str">
        <f>IFERROR(__xludf.DUMMYFUNCTION("""COMPUTED_VALUE"""),"Digizag")</f>
        <v>Digizag</v>
      </c>
      <c r="T12" s="2" t="str">
        <f>IFERROR(__xludf.DUMMYFUNCTION("""COMPUTED_VALUE"""),"Digizag")</f>
        <v>Digizag</v>
      </c>
      <c r="U12" s="5">
        <f>IFERROR(__xludf.DUMMYFUNCTION("""COMPUTED_VALUE"""),26.131312508000004)</f>
        <v>26.13131251</v>
      </c>
      <c r="V12" s="2"/>
      <c r="W12" s="2"/>
      <c r="X12" s="2"/>
      <c r="Y12" s="2"/>
      <c r="Z12" s="2"/>
    </row>
    <row r="13">
      <c r="A13" s="6">
        <f>IFERROR(__xludf.DUMMYFUNCTION("""COMPUTED_VALUE"""),45723.73563657407)</f>
        <v>45723.73564</v>
      </c>
      <c r="B13" s="2" t="str">
        <f>IFERROR(__xludf.DUMMYFUNCTION("""COMPUTED_VALUE"""),"March")</f>
        <v>March</v>
      </c>
      <c r="C13" s="3">
        <f>IFERROR(__xludf.DUMMYFUNCTION("""COMPUTED_VALUE"""),310646.0)</f>
        <v>310646</v>
      </c>
      <c r="D13" s="2" t="str">
        <f>IFERROR(__xludf.DUMMYFUNCTION("""COMPUTED_VALUE"""),"MNN16")</f>
        <v>MNN16</v>
      </c>
      <c r="E13" s="2" t="str">
        <f>IFERROR(__xludf.DUMMYFUNCTION("""COMPUTED_VALUE"""),"Imported from file DigiZag Codes 25Feb25.xlsx")</f>
        <v>Imported from file DigiZag Codes 25Feb25.xlsx</v>
      </c>
      <c r="F13" s="2" t="str">
        <f>IFERROR(__xludf.DUMMYFUNCTION("""COMPUTED_VALUE"""),"CNL205728")</f>
        <v>CNL205728</v>
      </c>
      <c r="G13" s="2" t="str">
        <f>IFERROR(__xludf.DUMMYFUNCTION("""COMPUTED_VALUE"""),"UAE")</f>
        <v>UAE</v>
      </c>
      <c r="H13" s="4">
        <f>IFERROR(__xludf.DUMMYFUNCTION("""COMPUTED_VALUE"""),174.24)</f>
        <v>174.24</v>
      </c>
      <c r="I13" s="3">
        <f>IFERROR(__xludf.DUMMYFUNCTION("""COMPUTED_VALUE"""),0.0)</f>
        <v>0</v>
      </c>
      <c r="J13" s="4">
        <f>IFERROR(__xludf.DUMMYFUNCTION("""COMPUTED_VALUE"""),17.42)</f>
        <v>17.42</v>
      </c>
      <c r="K13" s="2"/>
      <c r="L13" s="2" t="str">
        <f>IFERROR(__xludf.DUMMYFUNCTION("""COMPUTED_VALUE"""),"Delivered")</f>
        <v>Delivered</v>
      </c>
      <c r="M13" s="2" t="str">
        <f>IFERROR(__xludf.DUMMYFUNCTION("""COMPUTED_VALUE"""),"AED")</f>
        <v>AED</v>
      </c>
      <c r="N13" s="2" t="str">
        <f>IFERROR(__xludf.DUMMYFUNCTION("""COMPUTED_VALUE"""),"Credit, Debit , Apple Pay")</f>
        <v>Credit, Debit , Apple Pay</v>
      </c>
      <c r="O13" s="4">
        <f>IFERROR(__xludf.DUMMYFUNCTION("""COMPUTED_VALUE"""),0.0)</f>
        <v>0</v>
      </c>
      <c r="P13" s="2">
        <f>IFERROR(__xludf.DUMMYFUNCTION("""COMPUTED_VALUE"""),7.0)</f>
        <v>7</v>
      </c>
      <c r="Q13" s="2">
        <f>IFERROR(__xludf.DUMMYFUNCTION("""COMPUTED_VALUE"""),3.0)</f>
        <v>3</v>
      </c>
      <c r="R13" s="2">
        <f>IFERROR(__xludf.DUMMYFUNCTION("""COMPUTED_VALUE"""),2025.0)</f>
        <v>2025</v>
      </c>
      <c r="S13" s="2" t="str">
        <f>IFERROR(__xludf.DUMMYFUNCTION("""COMPUTED_VALUE"""),"Digizag")</f>
        <v>Digizag</v>
      </c>
      <c r="T13" s="2" t="str">
        <f>IFERROR(__xludf.DUMMYFUNCTION("""COMPUTED_VALUE"""),"Digizag")</f>
        <v>Digizag</v>
      </c>
      <c r="U13" s="5">
        <f>IFERROR(__xludf.DUMMYFUNCTION("""COMPUTED_VALUE"""),47.44452015072)</f>
        <v>47.44452015</v>
      </c>
      <c r="V13" s="2"/>
      <c r="W13" s="2"/>
      <c r="X13" s="2"/>
      <c r="Y13" s="2"/>
      <c r="Z13" s="2"/>
    </row>
    <row r="14">
      <c r="A14" s="6">
        <f>IFERROR(__xludf.DUMMYFUNCTION("""COMPUTED_VALUE"""),45724.01983796296)</f>
        <v>45724.01984</v>
      </c>
      <c r="B14" s="2" t="str">
        <f>IFERROR(__xludf.DUMMYFUNCTION("""COMPUTED_VALUE"""),"March")</f>
        <v>March</v>
      </c>
      <c r="C14" s="3">
        <f>IFERROR(__xludf.DUMMYFUNCTION("""COMPUTED_VALUE"""),701076.0)</f>
        <v>701076</v>
      </c>
      <c r="D14" s="2" t="str">
        <f>IFERROR(__xludf.DUMMYFUNCTION("""COMPUTED_VALUE"""),"MNN16")</f>
        <v>MNN16</v>
      </c>
      <c r="E14" s="2" t="str">
        <f>IFERROR(__xludf.DUMMYFUNCTION("""COMPUTED_VALUE"""),"Imported from file DigiZag Codes 25Feb25.xlsx")</f>
        <v>Imported from file DigiZag Codes 25Feb25.xlsx</v>
      </c>
      <c r="F14" s="2" t="str">
        <f>IFERROR(__xludf.DUMMYFUNCTION("""COMPUTED_VALUE"""),"AJJ624982")</f>
        <v>AJJ624982</v>
      </c>
      <c r="G14" s="2" t="str">
        <f>IFERROR(__xludf.DUMMYFUNCTION("""COMPUTED_VALUE"""),"Bahrain")</f>
        <v>Bahrain</v>
      </c>
      <c r="H14" s="4">
        <f>IFERROR(__xludf.DUMMYFUNCTION("""COMPUTED_VALUE"""),31.67)</f>
        <v>31.67</v>
      </c>
      <c r="I14" s="3">
        <f>IFERROR(__xludf.DUMMYFUNCTION("""COMPUTED_VALUE"""),0.0)</f>
        <v>0</v>
      </c>
      <c r="J14" s="4">
        <f>IFERROR(__xludf.DUMMYFUNCTION("""COMPUTED_VALUE"""),3.16)</f>
        <v>3.16</v>
      </c>
      <c r="K14" s="2"/>
      <c r="L14" s="2" t="str">
        <f>IFERROR(__xludf.DUMMYFUNCTION("""COMPUTED_VALUE"""),"Delivered")</f>
        <v>Delivered</v>
      </c>
      <c r="M14" s="2" t="str">
        <f>IFERROR(__xludf.DUMMYFUNCTION("""COMPUTED_VALUE"""),"BHD")</f>
        <v>BHD</v>
      </c>
      <c r="N14" s="2" t="str">
        <f>IFERROR(__xludf.DUMMYFUNCTION("""COMPUTED_VALUE"""),"Credit, Debit")</f>
        <v>Credit, Debit</v>
      </c>
      <c r="O14" s="4">
        <f>IFERROR(__xludf.DUMMYFUNCTION("""COMPUTED_VALUE"""),0.0)</f>
        <v>0</v>
      </c>
      <c r="P14" s="2">
        <f>IFERROR(__xludf.DUMMYFUNCTION("""COMPUTED_VALUE"""),8.0)</f>
        <v>8</v>
      </c>
      <c r="Q14" s="2">
        <f>IFERROR(__xludf.DUMMYFUNCTION("""COMPUTED_VALUE"""),3.0)</f>
        <v>3</v>
      </c>
      <c r="R14" s="2">
        <f>IFERROR(__xludf.DUMMYFUNCTION("""COMPUTED_VALUE"""),2025.0)</f>
        <v>2025</v>
      </c>
      <c r="S14" s="2" t="str">
        <f>IFERROR(__xludf.DUMMYFUNCTION("""COMPUTED_VALUE"""),"Digizag")</f>
        <v>Digizag</v>
      </c>
      <c r="T14" s="2" t="str">
        <f>IFERROR(__xludf.DUMMYFUNCTION("""COMPUTED_VALUE"""),"Digizag")</f>
        <v>Digizag</v>
      </c>
      <c r="U14" s="5">
        <f>IFERROR(__xludf.DUMMYFUNCTION("""COMPUTED_VALUE"""),84.01788139)</f>
        <v>84.01788139</v>
      </c>
      <c r="V14" s="2"/>
      <c r="W14" s="2"/>
      <c r="X14" s="2"/>
      <c r="Y14" s="2"/>
      <c r="Z14" s="2"/>
    </row>
    <row r="15">
      <c r="A15" s="6">
        <f>IFERROR(__xludf.DUMMYFUNCTION("""COMPUTED_VALUE"""),45724.65778935185)</f>
        <v>45724.65779</v>
      </c>
      <c r="B15" s="2" t="str">
        <f>IFERROR(__xludf.DUMMYFUNCTION("""COMPUTED_VALUE"""),"March")</f>
        <v>March</v>
      </c>
      <c r="C15" s="3">
        <f>IFERROR(__xludf.DUMMYFUNCTION("""COMPUTED_VALUE"""),654762.0)</f>
        <v>654762</v>
      </c>
      <c r="D15" s="2" t="str">
        <f>IFERROR(__xludf.DUMMYFUNCTION("""COMPUTED_VALUE"""),"MNN16")</f>
        <v>MNN16</v>
      </c>
      <c r="E15" s="2" t="str">
        <f>IFERROR(__xludf.DUMMYFUNCTION("""COMPUTED_VALUE"""),"Imported from file DigiZag Codes 25Feb25.xlsx")</f>
        <v>Imported from file DigiZag Codes 25Feb25.xlsx</v>
      </c>
      <c r="F15" s="2" t="str">
        <f>IFERROR(__xludf.DUMMYFUNCTION("""COMPUTED_VALUE"""),"XDJ188206")</f>
        <v>XDJ188206</v>
      </c>
      <c r="G15" s="2" t="str">
        <f>IFERROR(__xludf.DUMMYFUNCTION("""COMPUTED_VALUE"""),"Kuwait")</f>
        <v>Kuwait</v>
      </c>
      <c r="H15" s="4">
        <f>IFERROR(__xludf.DUMMYFUNCTION("""COMPUTED_VALUE"""),8.955)</f>
        <v>8.955</v>
      </c>
      <c r="I15" s="3">
        <f>IFERROR(__xludf.DUMMYFUNCTION("""COMPUTED_VALUE"""),0.0)</f>
        <v>0</v>
      </c>
      <c r="J15" s="4">
        <f>IFERROR(__xludf.DUMMYFUNCTION("""COMPUTED_VALUE"""),0.895)</f>
        <v>0.895</v>
      </c>
      <c r="K15" s="2"/>
      <c r="L15" s="2" t="str">
        <f>IFERROR(__xludf.DUMMYFUNCTION("""COMPUTED_VALUE"""),"Delivered")</f>
        <v>Delivered</v>
      </c>
      <c r="M15" s="2" t="str">
        <f>IFERROR(__xludf.DUMMYFUNCTION("""COMPUTED_VALUE"""),"KD")</f>
        <v>KD</v>
      </c>
      <c r="N15" s="2" t="str">
        <f>IFERROR(__xludf.DUMMYFUNCTION("""COMPUTED_VALUE"""),"Credit, Debit, Knet")</f>
        <v>Credit, Debit, Knet</v>
      </c>
      <c r="O15" s="4">
        <f>IFERROR(__xludf.DUMMYFUNCTION("""COMPUTED_VALUE"""),0.0)</f>
        <v>0</v>
      </c>
      <c r="P15" s="2">
        <f>IFERROR(__xludf.DUMMYFUNCTION("""COMPUTED_VALUE"""),8.0)</f>
        <v>8</v>
      </c>
      <c r="Q15" s="2">
        <f>IFERROR(__xludf.DUMMYFUNCTION("""COMPUTED_VALUE"""),3.0)</f>
        <v>3</v>
      </c>
      <c r="R15" s="2">
        <f>IFERROR(__xludf.DUMMYFUNCTION("""COMPUTED_VALUE"""),2025.0)</f>
        <v>2025</v>
      </c>
      <c r="S15" s="2" t="str">
        <f>IFERROR(__xludf.DUMMYFUNCTION("""COMPUTED_VALUE"""),"Digizag")</f>
        <v>Digizag</v>
      </c>
      <c r="T15" s="2" t="str">
        <f>IFERROR(__xludf.DUMMYFUNCTION("""COMPUTED_VALUE"""),"Digizag")</f>
        <v>Digizag</v>
      </c>
      <c r="U15" s="5">
        <f>IFERROR(__xludf.DUMMYFUNCTION("""COMPUTED_VALUE"""),29.1988521)</f>
        <v>29.1988521</v>
      </c>
      <c r="V15" s="2"/>
      <c r="W15" s="2"/>
      <c r="X15" s="2"/>
      <c r="Y15" s="2"/>
      <c r="Z15" s="2"/>
    </row>
    <row r="16">
      <c r="A16" s="6">
        <f>IFERROR(__xludf.DUMMYFUNCTION("""COMPUTED_VALUE"""),45724.7502662037)</f>
        <v>45724.75027</v>
      </c>
      <c r="B16" s="2" t="str">
        <f>IFERROR(__xludf.DUMMYFUNCTION("""COMPUTED_VALUE"""),"March")</f>
        <v>March</v>
      </c>
      <c r="C16" s="3">
        <f>IFERROR(__xludf.DUMMYFUNCTION("""COMPUTED_VALUE"""),76131.0)</f>
        <v>76131</v>
      </c>
      <c r="D16" s="2" t="str">
        <f>IFERROR(__xludf.DUMMYFUNCTION("""COMPUTED_VALUE"""),"MIMI44")</f>
        <v>MIMI44</v>
      </c>
      <c r="E16" s="2" t="str">
        <f>IFERROR(__xludf.DUMMYFUNCTION("""COMPUTED_VALUE"""),"Imported from file DigiZag Codes 25Feb25.xlsx")</f>
        <v>Imported from file DigiZag Codes 25Feb25.xlsx</v>
      </c>
      <c r="F16" s="2" t="str">
        <f>IFERROR(__xludf.DUMMYFUNCTION("""COMPUTED_VALUE"""),"CCX542026")</f>
        <v>CCX542026</v>
      </c>
      <c r="G16" s="2" t="str">
        <f>IFERROR(__xludf.DUMMYFUNCTION("""COMPUTED_VALUE"""),"Kuwait")</f>
        <v>Kuwait</v>
      </c>
      <c r="H16" s="4">
        <f>IFERROR(__xludf.DUMMYFUNCTION("""COMPUTED_VALUE"""),20.15)</f>
        <v>20.15</v>
      </c>
      <c r="I16" s="3">
        <f>IFERROR(__xludf.DUMMYFUNCTION("""COMPUTED_VALUE"""),0.0)</f>
        <v>0</v>
      </c>
      <c r="J16" s="4">
        <f>IFERROR(__xludf.DUMMYFUNCTION("""COMPUTED_VALUE"""),2.015)</f>
        <v>2.015</v>
      </c>
      <c r="K16" s="2"/>
      <c r="L16" s="2" t="str">
        <f>IFERROR(__xludf.DUMMYFUNCTION("""COMPUTED_VALUE"""),"Delivered")</f>
        <v>Delivered</v>
      </c>
      <c r="M16" s="2" t="str">
        <f>IFERROR(__xludf.DUMMYFUNCTION("""COMPUTED_VALUE"""),"KD")</f>
        <v>KD</v>
      </c>
      <c r="N16" s="2" t="str">
        <f>IFERROR(__xludf.DUMMYFUNCTION("""COMPUTED_VALUE"""),"Credit, Debit, Knet")</f>
        <v>Credit, Debit, Knet</v>
      </c>
      <c r="O16" s="4">
        <f>IFERROR(__xludf.DUMMYFUNCTION("""COMPUTED_VALUE"""),0.0)</f>
        <v>0</v>
      </c>
      <c r="P16" s="2">
        <f>IFERROR(__xludf.DUMMYFUNCTION("""COMPUTED_VALUE"""),8.0)</f>
        <v>8</v>
      </c>
      <c r="Q16" s="2">
        <f>IFERROR(__xludf.DUMMYFUNCTION("""COMPUTED_VALUE"""),3.0)</f>
        <v>3</v>
      </c>
      <c r="R16" s="2">
        <f>IFERROR(__xludf.DUMMYFUNCTION("""COMPUTED_VALUE"""),2025.0)</f>
        <v>2025</v>
      </c>
      <c r="S16" s="2" t="str">
        <f>IFERROR(__xludf.DUMMYFUNCTION("""COMPUTED_VALUE"""),"Digizag")</f>
        <v>Digizag</v>
      </c>
      <c r="T16" s="2" t="str">
        <f>IFERROR(__xludf.DUMMYFUNCTION("""COMPUTED_VALUE"""),"Digizag")</f>
        <v>Digizag</v>
      </c>
      <c r="U16" s="5">
        <f>IFERROR(__xludf.DUMMYFUNCTION("""COMPUTED_VALUE"""),65.701493)</f>
        <v>65.701493</v>
      </c>
      <c r="V16" s="2"/>
      <c r="W16" s="2"/>
      <c r="X16" s="2"/>
      <c r="Y16" s="2"/>
      <c r="Z16" s="2"/>
    </row>
    <row r="17">
      <c r="A17" s="6">
        <f>IFERROR(__xludf.DUMMYFUNCTION("""COMPUTED_VALUE"""),45725.431076388886)</f>
        <v>45725.43108</v>
      </c>
      <c r="B17" s="2" t="str">
        <f>IFERROR(__xludf.DUMMYFUNCTION("""COMPUTED_VALUE"""),"March")</f>
        <v>March</v>
      </c>
      <c r="C17" s="3">
        <f>IFERROR(__xludf.DUMMYFUNCTION("""COMPUTED_VALUE"""),701624.0)</f>
        <v>701624</v>
      </c>
      <c r="D17" s="2" t="str">
        <f>IFERROR(__xludf.DUMMYFUNCTION("""COMPUTED_VALUE"""),"MNN15")</f>
        <v>MNN15</v>
      </c>
      <c r="E17" s="2" t="str">
        <f>IFERROR(__xludf.DUMMYFUNCTION("""COMPUTED_VALUE"""),"Imported from file DigiZag Codes 25Feb25.xlsx")</f>
        <v>Imported from file DigiZag Codes 25Feb25.xlsx</v>
      </c>
      <c r="F17" s="2" t="str">
        <f>IFERROR(__xludf.DUMMYFUNCTION("""COMPUTED_VALUE"""),"PRD803881")</f>
        <v>PRD803881</v>
      </c>
      <c r="G17" s="2" t="str">
        <f>IFERROR(__xludf.DUMMYFUNCTION("""COMPUTED_VALUE"""),"Kuwait")</f>
        <v>Kuwait</v>
      </c>
      <c r="H17" s="4">
        <f>IFERROR(__xludf.DUMMYFUNCTION("""COMPUTED_VALUE"""),9.95)</f>
        <v>9.95</v>
      </c>
      <c r="I17" s="3">
        <f>IFERROR(__xludf.DUMMYFUNCTION("""COMPUTED_VALUE"""),0.0)</f>
        <v>0</v>
      </c>
      <c r="J17" s="4">
        <f>IFERROR(__xludf.DUMMYFUNCTION("""COMPUTED_VALUE"""),0.995)</f>
        <v>0.995</v>
      </c>
      <c r="K17" s="2"/>
      <c r="L17" s="2" t="str">
        <f>IFERROR(__xludf.DUMMYFUNCTION("""COMPUTED_VALUE"""),"Delivered")</f>
        <v>Delivered</v>
      </c>
      <c r="M17" s="2" t="str">
        <f>IFERROR(__xludf.DUMMYFUNCTION("""COMPUTED_VALUE"""),"KD")</f>
        <v>KD</v>
      </c>
      <c r="N17" s="2" t="str">
        <f>IFERROR(__xludf.DUMMYFUNCTION("""COMPUTED_VALUE"""),"Credit, Debit, Knet")</f>
        <v>Credit, Debit, Knet</v>
      </c>
      <c r="O17" s="4">
        <f>IFERROR(__xludf.DUMMYFUNCTION("""COMPUTED_VALUE"""),0.0)</f>
        <v>0</v>
      </c>
      <c r="P17" s="2">
        <f>IFERROR(__xludf.DUMMYFUNCTION("""COMPUTED_VALUE"""),9.0)</f>
        <v>9</v>
      </c>
      <c r="Q17" s="2">
        <f>IFERROR(__xludf.DUMMYFUNCTION("""COMPUTED_VALUE"""),3.0)</f>
        <v>3</v>
      </c>
      <c r="R17" s="2">
        <f>IFERROR(__xludf.DUMMYFUNCTION("""COMPUTED_VALUE"""),2025.0)</f>
        <v>2025</v>
      </c>
      <c r="S17" s="2" t="str">
        <f>IFERROR(__xludf.DUMMYFUNCTION("""COMPUTED_VALUE"""),"Digizag")</f>
        <v>Digizag</v>
      </c>
      <c r="T17" s="2" t="str">
        <f>IFERROR(__xludf.DUMMYFUNCTION("""COMPUTED_VALUE"""),"Digizag")</f>
        <v>Digizag</v>
      </c>
      <c r="U17" s="5">
        <f>IFERROR(__xludf.DUMMYFUNCTION("""COMPUTED_VALUE"""),32.443169)</f>
        <v>32.443169</v>
      </c>
      <c r="V17" s="2"/>
      <c r="W17" s="2"/>
      <c r="X17" s="2"/>
      <c r="Y17" s="2"/>
      <c r="Z17" s="2"/>
    </row>
    <row r="18">
      <c r="A18" s="6">
        <f>IFERROR(__xludf.DUMMYFUNCTION("""COMPUTED_VALUE"""),45725.52618055556)</f>
        <v>45725.52618</v>
      </c>
      <c r="B18" s="2" t="str">
        <f>IFERROR(__xludf.DUMMYFUNCTION("""COMPUTED_VALUE"""),"March")</f>
        <v>March</v>
      </c>
      <c r="C18" s="3">
        <f>IFERROR(__xludf.DUMMYFUNCTION("""COMPUTED_VALUE"""),127520.0)</f>
        <v>127520</v>
      </c>
      <c r="D18" s="2" t="str">
        <f>IFERROR(__xludf.DUMMYFUNCTION("""COMPUTED_VALUE"""),"MIMI44")</f>
        <v>MIMI44</v>
      </c>
      <c r="E18" s="2" t="str">
        <f>IFERROR(__xludf.DUMMYFUNCTION("""COMPUTED_VALUE"""),"Imported from file DigiZag Codes 25Feb25.xlsx")</f>
        <v>Imported from file DigiZag Codes 25Feb25.xlsx</v>
      </c>
      <c r="F18" s="2" t="str">
        <f>IFERROR(__xludf.DUMMYFUNCTION("""COMPUTED_VALUE"""),"LGN783137")</f>
        <v>LGN783137</v>
      </c>
      <c r="G18" s="2" t="str">
        <f>IFERROR(__xludf.DUMMYFUNCTION("""COMPUTED_VALUE"""),"Bahrain")</f>
        <v>Bahrain</v>
      </c>
      <c r="H18" s="4">
        <f>IFERROR(__xludf.DUMMYFUNCTION("""COMPUTED_VALUE"""),31.48)</f>
        <v>31.48</v>
      </c>
      <c r="I18" s="3">
        <f>IFERROR(__xludf.DUMMYFUNCTION("""COMPUTED_VALUE"""),0.0)</f>
        <v>0</v>
      </c>
      <c r="J18" s="4">
        <f>IFERROR(__xludf.DUMMYFUNCTION("""COMPUTED_VALUE"""),3.14)</f>
        <v>3.14</v>
      </c>
      <c r="K18" s="2"/>
      <c r="L18" s="2" t="str">
        <f>IFERROR(__xludf.DUMMYFUNCTION("""COMPUTED_VALUE"""),"Delivered")</f>
        <v>Delivered</v>
      </c>
      <c r="M18" s="2" t="str">
        <f>IFERROR(__xludf.DUMMYFUNCTION("""COMPUTED_VALUE"""),"BHD")</f>
        <v>BHD</v>
      </c>
      <c r="N18" s="2" t="str">
        <f>IFERROR(__xludf.DUMMYFUNCTION("""COMPUTED_VALUE"""),"Credit, Debit")</f>
        <v>Credit, Debit</v>
      </c>
      <c r="O18" s="4">
        <f>IFERROR(__xludf.DUMMYFUNCTION("""COMPUTED_VALUE"""),0.0)</f>
        <v>0</v>
      </c>
      <c r="P18" s="2">
        <f>IFERROR(__xludf.DUMMYFUNCTION("""COMPUTED_VALUE"""),9.0)</f>
        <v>9</v>
      </c>
      <c r="Q18" s="2">
        <f>IFERROR(__xludf.DUMMYFUNCTION("""COMPUTED_VALUE"""),3.0)</f>
        <v>3</v>
      </c>
      <c r="R18" s="2">
        <f>IFERROR(__xludf.DUMMYFUNCTION("""COMPUTED_VALUE"""),2025.0)</f>
        <v>2025</v>
      </c>
      <c r="S18" s="2" t="str">
        <f>IFERROR(__xludf.DUMMYFUNCTION("""COMPUTED_VALUE"""),"Digizag")</f>
        <v>Digizag</v>
      </c>
      <c r="T18" s="2" t="str">
        <f>IFERROR(__xludf.DUMMYFUNCTION("""COMPUTED_VALUE"""),"Digizag")</f>
        <v>Digizag</v>
      </c>
      <c r="U18" s="5">
        <f>IFERROR(__xludf.DUMMYFUNCTION("""COMPUTED_VALUE"""),83.51382716)</f>
        <v>83.51382716</v>
      </c>
      <c r="V18" s="2"/>
      <c r="W18" s="2"/>
      <c r="X18" s="2"/>
      <c r="Y18" s="2"/>
      <c r="Z18" s="2"/>
    </row>
    <row r="19">
      <c r="A19" s="6">
        <f>IFERROR(__xludf.DUMMYFUNCTION("""COMPUTED_VALUE"""),45725.58572916666)</f>
        <v>45725.58573</v>
      </c>
      <c r="B19" s="2" t="str">
        <f>IFERROR(__xludf.DUMMYFUNCTION("""COMPUTED_VALUE"""),"March")</f>
        <v>March</v>
      </c>
      <c r="C19" s="3">
        <f>IFERROR(__xludf.DUMMYFUNCTION("""COMPUTED_VALUE"""),202360.0)</f>
        <v>202360</v>
      </c>
      <c r="D19" s="2" t="str">
        <f>IFERROR(__xludf.DUMMYFUNCTION("""COMPUTED_VALUE"""),"MIMI44")</f>
        <v>MIMI44</v>
      </c>
      <c r="E19" s="2" t="str">
        <f>IFERROR(__xludf.DUMMYFUNCTION("""COMPUTED_VALUE"""),"Imported from file DigiZag Codes 25Feb25.xlsx")</f>
        <v>Imported from file DigiZag Codes 25Feb25.xlsx</v>
      </c>
      <c r="F19" s="2" t="str">
        <f>IFERROR(__xludf.DUMMYFUNCTION("""COMPUTED_VALUE"""),"KNN146695")</f>
        <v>KNN146695</v>
      </c>
      <c r="G19" s="2" t="str">
        <f>IFERROR(__xludf.DUMMYFUNCTION("""COMPUTED_VALUE"""),"Kuwait")</f>
        <v>Kuwait</v>
      </c>
      <c r="H19" s="4">
        <f>IFERROR(__xludf.DUMMYFUNCTION("""COMPUTED_VALUE"""),7.9)</f>
        <v>7.9</v>
      </c>
      <c r="I19" s="3">
        <f>IFERROR(__xludf.DUMMYFUNCTION("""COMPUTED_VALUE"""),0.0)</f>
        <v>0</v>
      </c>
      <c r="J19" s="4">
        <f>IFERROR(__xludf.DUMMYFUNCTION("""COMPUTED_VALUE"""),0.79)</f>
        <v>0.79</v>
      </c>
      <c r="K19" s="2"/>
      <c r="L19" s="2" t="str">
        <f>IFERROR(__xludf.DUMMYFUNCTION("""COMPUTED_VALUE"""),"Delivered")</f>
        <v>Delivered</v>
      </c>
      <c r="M19" s="2" t="str">
        <f>IFERROR(__xludf.DUMMYFUNCTION("""COMPUTED_VALUE"""),"KD")</f>
        <v>KD</v>
      </c>
      <c r="N19" s="2" t="str">
        <f>IFERROR(__xludf.DUMMYFUNCTION("""COMPUTED_VALUE"""),"Credit, Debit, Knet")</f>
        <v>Credit, Debit, Knet</v>
      </c>
      <c r="O19" s="4">
        <f>IFERROR(__xludf.DUMMYFUNCTION("""COMPUTED_VALUE"""),0.0)</f>
        <v>0</v>
      </c>
      <c r="P19" s="2">
        <f>IFERROR(__xludf.DUMMYFUNCTION("""COMPUTED_VALUE"""),9.0)</f>
        <v>9</v>
      </c>
      <c r="Q19" s="2">
        <f>IFERROR(__xludf.DUMMYFUNCTION("""COMPUTED_VALUE"""),3.0)</f>
        <v>3</v>
      </c>
      <c r="R19" s="2">
        <f>IFERROR(__xludf.DUMMYFUNCTION("""COMPUTED_VALUE"""),2025.0)</f>
        <v>2025</v>
      </c>
      <c r="S19" s="2" t="str">
        <f>IFERROR(__xludf.DUMMYFUNCTION("""COMPUTED_VALUE"""),"Digizag")</f>
        <v>Digizag</v>
      </c>
      <c r="T19" s="2" t="str">
        <f>IFERROR(__xludf.DUMMYFUNCTION("""COMPUTED_VALUE"""),"Digizag")</f>
        <v>Digizag</v>
      </c>
      <c r="U19" s="5">
        <f>IFERROR(__xludf.DUMMYFUNCTION("""COMPUTED_VALUE"""),25.758898)</f>
        <v>25.758898</v>
      </c>
      <c r="V19" s="2"/>
      <c r="W19" s="2"/>
      <c r="X19" s="2"/>
      <c r="Y19" s="2"/>
      <c r="Z19" s="2"/>
    </row>
    <row r="20">
      <c r="A20" s="6">
        <f>IFERROR(__xludf.DUMMYFUNCTION("""COMPUTED_VALUE"""),45725.74673611111)</f>
        <v>45725.74674</v>
      </c>
      <c r="B20" s="2" t="str">
        <f>IFERROR(__xludf.DUMMYFUNCTION("""COMPUTED_VALUE"""),"March")</f>
        <v>March</v>
      </c>
      <c r="C20" s="3">
        <f>IFERROR(__xludf.DUMMYFUNCTION("""COMPUTED_VALUE"""),386531.0)</f>
        <v>386531</v>
      </c>
      <c r="D20" s="2" t="str">
        <f>IFERROR(__xludf.DUMMYFUNCTION("""COMPUTED_VALUE"""),"DB1")</f>
        <v>DB1</v>
      </c>
      <c r="E20" s="2" t="str">
        <f>IFERROR(__xludf.DUMMYFUNCTION("""COMPUTED_VALUE"""),"Imported from file Digizag.xlsx")</f>
        <v>Imported from file Digizag.xlsx</v>
      </c>
      <c r="F20" s="2" t="str">
        <f>IFERROR(__xludf.DUMMYFUNCTION("""COMPUTED_VALUE"""),"VRV400970")</f>
        <v>VRV400970</v>
      </c>
      <c r="G20" s="2" t="str">
        <f>IFERROR(__xludf.DUMMYFUNCTION("""COMPUTED_VALUE"""),"Kingdom of Saudi Arabia")</f>
        <v>Kingdom of Saudi Arabia</v>
      </c>
      <c r="H20" s="4">
        <f>IFERROR(__xludf.DUMMYFUNCTION("""COMPUTED_VALUE"""),121.0)</f>
        <v>121</v>
      </c>
      <c r="I20" s="3">
        <f>IFERROR(__xludf.DUMMYFUNCTION("""COMPUTED_VALUE"""),0.0)</f>
        <v>0</v>
      </c>
      <c r="J20" s="4">
        <f>IFERROR(__xludf.DUMMYFUNCTION("""COMPUTED_VALUE"""),12.1)</f>
        <v>12.1</v>
      </c>
      <c r="K20" s="2"/>
      <c r="L20" s="2" t="str">
        <f>IFERROR(__xludf.DUMMYFUNCTION("""COMPUTED_VALUE"""),"Delivered")</f>
        <v>Delivered</v>
      </c>
      <c r="M20" s="2" t="str">
        <f>IFERROR(__xludf.DUMMYFUNCTION("""COMPUTED_VALUE"""),"SR")</f>
        <v>SR</v>
      </c>
      <c r="N20" s="2" t="str">
        <f>IFERROR(__xludf.DUMMYFUNCTION("""COMPUTED_VALUE"""),"Credit, Debit, Apple Pay")</f>
        <v>Credit, Debit, Apple Pay</v>
      </c>
      <c r="O20" s="4">
        <f>IFERROR(__xludf.DUMMYFUNCTION("""COMPUTED_VALUE"""),0.0)</f>
        <v>0</v>
      </c>
      <c r="P20" s="2">
        <f>IFERROR(__xludf.DUMMYFUNCTION("""COMPUTED_VALUE"""),9.0)</f>
        <v>9</v>
      </c>
      <c r="Q20" s="2">
        <f>IFERROR(__xludf.DUMMYFUNCTION("""COMPUTED_VALUE"""),3.0)</f>
        <v>3</v>
      </c>
      <c r="R20" s="2">
        <f>IFERROR(__xludf.DUMMYFUNCTION("""COMPUTED_VALUE"""),2025.0)</f>
        <v>2025</v>
      </c>
      <c r="S20" s="2" t="str">
        <f>IFERROR(__xludf.DUMMYFUNCTION("""COMPUTED_VALUE"""),"Digizag")</f>
        <v>Digizag</v>
      </c>
      <c r="T20" s="2" t="str">
        <f>IFERROR(__xludf.DUMMYFUNCTION("""COMPUTED_VALUE"""),"Digizag")</f>
        <v>Digizag</v>
      </c>
      <c r="U20" s="5">
        <f>IFERROR(__xludf.DUMMYFUNCTION("""COMPUTED_VALUE"""),32.264171566)</f>
        <v>32.26417157</v>
      </c>
      <c r="V20" s="2"/>
      <c r="W20" s="2"/>
      <c r="X20" s="2"/>
      <c r="Y20" s="2"/>
      <c r="Z20" s="2"/>
    </row>
    <row r="21">
      <c r="A21" s="6">
        <f>IFERROR(__xludf.DUMMYFUNCTION("""COMPUTED_VALUE"""),45725.900567129625)</f>
        <v>45725.90057</v>
      </c>
      <c r="B21" s="2" t="str">
        <f>IFERROR(__xludf.DUMMYFUNCTION("""COMPUTED_VALUE"""),"March")</f>
        <v>March</v>
      </c>
      <c r="C21" s="3">
        <f>IFERROR(__xludf.DUMMYFUNCTION("""COMPUTED_VALUE"""),2083.0)</f>
        <v>2083</v>
      </c>
      <c r="D21" s="2" t="str">
        <f>IFERROR(__xludf.DUMMYFUNCTION("""COMPUTED_VALUE"""),"DB1")</f>
        <v>DB1</v>
      </c>
      <c r="E21" s="2" t="str">
        <f>IFERROR(__xludf.DUMMYFUNCTION("""COMPUTED_VALUE"""),"Imported from file Digizag.xlsx")</f>
        <v>Imported from file Digizag.xlsx</v>
      </c>
      <c r="F21" s="2" t="str">
        <f>IFERROR(__xludf.DUMMYFUNCTION("""COMPUTED_VALUE"""),"TDT217134")</f>
        <v>TDT217134</v>
      </c>
      <c r="G21" s="2" t="str">
        <f>IFERROR(__xludf.DUMMYFUNCTION("""COMPUTED_VALUE"""),"Kuwait")</f>
        <v>Kuwait</v>
      </c>
      <c r="H21" s="4">
        <f>IFERROR(__xludf.DUMMYFUNCTION("""COMPUTED_VALUE"""),8.85)</f>
        <v>8.85</v>
      </c>
      <c r="I21" s="3">
        <f>IFERROR(__xludf.DUMMYFUNCTION("""COMPUTED_VALUE"""),0.0)</f>
        <v>0</v>
      </c>
      <c r="J21" s="4">
        <f>IFERROR(__xludf.DUMMYFUNCTION("""COMPUTED_VALUE"""),0.885)</f>
        <v>0.885</v>
      </c>
      <c r="K21" s="2"/>
      <c r="L21" s="2" t="str">
        <f>IFERROR(__xludf.DUMMYFUNCTION("""COMPUTED_VALUE"""),"Delivered")</f>
        <v>Delivered</v>
      </c>
      <c r="M21" s="2" t="str">
        <f>IFERROR(__xludf.DUMMYFUNCTION("""COMPUTED_VALUE"""),"KD")</f>
        <v>KD</v>
      </c>
      <c r="N21" s="2" t="str">
        <f>IFERROR(__xludf.DUMMYFUNCTION("""COMPUTED_VALUE"""),"Credit, Debit, Knet")</f>
        <v>Credit, Debit, Knet</v>
      </c>
      <c r="O21" s="4">
        <f>IFERROR(__xludf.DUMMYFUNCTION("""COMPUTED_VALUE"""),0.0)</f>
        <v>0</v>
      </c>
      <c r="P21" s="2">
        <f>IFERROR(__xludf.DUMMYFUNCTION("""COMPUTED_VALUE"""),9.0)</f>
        <v>9</v>
      </c>
      <c r="Q21" s="2">
        <f>IFERROR(__xludf.DUMMYFUNCTION("""COMPUTED_VALUE"""),3.0)</f>
        <v>3</v>
      </c>
      <c r="R21" s="2">
        <f>IFERROR(__xludf.DUMMYFUNCTION("""COMPUTED_VALUE"""),2025.0)</f>
        <v>2025</v>
      </c>
      <c r="S21" s="2" t="str">
        <f>IFERROR(__xludf.DUMMYFUNCTION("""COMPUTED_VALUE"""),"Digizag")</f>
        <v>Digizag</v>
      </c>
      <c r="T21" s="2" t="str">
        <f>IFERROR(__xludf.DUMMYFUNCTION("""COMPUTED_VALUE"""),"Digizag")</f>
        <v>Digizag</v>
      </c>
      <c r="U21" s="5">
        <f>IFERROR(__xludf.DUMMYFUNCTION("""COMPUTED_VALUE"""),28.856486999999998)</f>
        <v>28.856487</v>
      </c>
      <c r="V21" s="2"/>
      <c r="W21" s="2"/>
      <c r="X21" s="2"/>
      <c r="Y21" s="2"/>
      <c r="Z21" s="2"/>
    </row>
    <row r="22">
      <c r="A22" s="6">
        <f>IFERROR(__xludf.DUMMYFUNCTION("""COMPUTED_VALUE"""),45725.99388888889)</f>
        <v>45725.99389</v>
      </c>
      <c r="B22" s="2" t="str">
        <f>IFERROR(__xludf.DUMMYFUNCTION("""COMPUTED_VALUE"""),"March")</f>
        <v>March</v>
      </c>
      <c r="C22" s="3">
        <f>IFERROR(__xludf.DUMMYFUNCTION("""COMPUTED_VALUE"""),603500.0)</f>
        <v>603500</v>
      </c>
      <c r="D22" s="2" t="str">
        <f>IFERROR(__xludf.DUMMYFUNCTION("""COMPUTED_VALUE"""),"MNN16")</f>
        <v>MNN16</v>
      </c>
      <c r="E22" s="2" t="str">
        <f>IFERROR(__xludf.DUMMYFUNCTION("""COMPUTED_VALUE"""),"Imported from file DigiZag Bidding Codes.xlsx")</f>
        <v>Imported from file DigiZag Bidding Codes.xlsx</v>
      </c>
      <c r="F22" s="2" t="str">
        <f>IFERROR(__xludf.DUMMYFUNCTION("""COMPUTED_VALUE"""),"QNS704263")</f>
        <v>QNS704263</v>
      </c>
      <c r="G22" s="2" t="str">
        <f>IFERROR(__xludf.DUMMYFUNCTION("""COMPUTED_VALUE"""),"Kingdom of Saudi Arabia")</f>
        <v>Kingdom of Saudi Arabia</v>
      </c>
      <c r="H22" s="4">
        <f>IFERROR(__xludf.DUMMYFUNCTION("""COMPUTED_VALUE"""),45.0)</f>
        <v>45</v>
      </c>
      <c r="I22" s="3">
        <f>IFERROR(__xludf.DUMMYFUNCTION("""COMPUTED_VALUE"""),0.0)</f>
        <v>0</v>
      </c>
      <c r="J22" s="4">
        <f>IFERROR(__xludf.DUMMYFUNCTION("""COMPUTED_VALUE"""),4.5)</f>
        <v>4.5</v>
      </c>
      <c r="K22" s="2"/>
      <c r="L22" s="2" t="str">
        <f>IFERROR(__xludf.DUMMYFUNCTION("""COMPUTED_VALUE"""),"Delivered")</f>
        <v>Delivered</v>
      </c>
      <c r="M22" s="2" t="str">
        <f>IFERROR(__xludf.DUMMYFUNCTION("""COMPUTED_VALUE"""),"SR")</f>
        <v>SR</v>
      </c>
      <c r="N22" s="2" t="str">
        <f>IFERROR(__xludf.DUMMYFUNCTION("""COMPUTED_VALUE"""),"Pay in 4. No interest, no fees")</f>
        <v>Pay in 4. No interest, no fees</v>
      </c>
      <c r="O22" s="4">
        <f>IFERROR(__xludf.DUMMYFUNCTION("""COMPUTED_VALUE"""),0.0)</f>
        <v>0</v>
      </c>
      <c r="P22" s="2">
        <f>IFERROR(__xludf.DUMMYFUNCTION("""COMPUTED_VALUE"""),9.0)</f>
        <v>9</v>
      </c>
      <c r="Q22" s="2">
        <f>IFERROR(__xludf.DUMMYFUNCTION("""COMPUTED_VALUE"""),3.0)</f>
        <v>3</v>
      </c>
      <c r="R22" s="2">
        <f>IFERROR(__xludf.DUMMYFUNCTION("""COMPUTED_VALUE"""),2025.0)</f>
        <v>2025</v>
      </c>
      <c r="S22" s="2" t="str">
        <f>IFERROR(__xludf.DUMMYFUNCTION("""COMPUTED_VALUE"""),"Digizag")</f>
        <v>Digizag</v>
      </c>
      <c r="T22" s="2" t="str">
        <f>IFERROR(__xludf.DUMMYFUNCTION("""COMPUTED_VALUE"""),"Digizag")</f>
        <v>Digizag</v>
      </c>
      <c r="U22" s="5">
        <f>IFERROR(__xludf.DUMMYFUNCTION("""COMPUTED_VALUE"""),11.99907207)</f>
        <v>11.99907207</v>
      </c>
      <c r="V22" s="2"/>
      <c r="W22" s="2"/>
      <c r="X22" s="2"/>
      <c r="Y22" s="2"/>
      <c r="Z22" s="2"/>
    </row>
    <row r="23">
      <c r="A23" s="6">
        <f>IFERROR(__xludf.DUMMYFUNCTION("""COMPUTED_VALUE"""),45726.45116898148)</f>
        <v>45726.45117</v>
      </c>
      <c r="B23" s="2" t="str">
        <f>IFERROR(__xludf.DUMMYFUNCTION("""COMPUTED_VALUE"""),"March")</f>
        <v>March</v>
      </c>
      <c r="C23" s="3">
        <f>IFERROR(__xludf.DUMMYFUNCTION("""COMPUTED_VALUE"""),702037.0)</f>
        <v>702037</v>
      </c>
      <c r="D23" s="2" t="str">
        <f>IFERROR(__xludf.DUMMYFUNCTION("""COMPUTED_VALUE"""),"MIMI44")</f>
        <v>MIMI44</v>
      </c>
      <c r="E23" s="2" t="str">
        <f>IFERROR(__xludf.DUMMYFUNCTION("""COMPUTED_VALUE"""),"Imported from file DigiZag Codes 25Feb25.xlsx")</f>
        <v>Imported from file DigiZag Codes 25Feb25.xlsx</v>
      </c>
      <c r="F23" s="2" t="str">
        <f>IFERROR(__xludf.DUMMYFUNCTION("""COMPUTED_VALUE"""),"HGH234760")</f>
        <v>HGH234760</v>
      </c>
      <c r="G23" s="2" t="str">
        <f>IFERROR(__xludf.DUMMYFUNCTION("""COMPUTED_VALUE"""),"Kuwait")</f>
        <v>Kuwait</v>
      </c>
      <c r="H23" s="4">
        <f>IFERROR(__xludf.DUMMYFUNCTION("""COMPUTED_VALUE"""),19.475)</f>
        <v>19.475</v>
      </c>
      <c r="I23" s="3">
        <f>IFERROR(__xludf.DUMMYFUNCTION("""COMPUTED_VALUE"""),0.0)</f>
        <v>0</v>
      </c>
      <c r="J23" s="4">
        <f>IFERROR(__xludf.DUMMYFUNCTION("""COMPUTED_VALUE"""),1.947)</f>
        <v>1.947</v>
      </c>
      <c r="K23" s="2"/>
      <c r="L23" s="2" t="str">
        <f>IFERROR(__xludf.DUMMYFUNCTION("""COMPUTED_VALUE"""),"Delivered")</f>
        <v>Delivered</v>
      </c>
      <c r="M23" s="2" t="str">
        <f>IFERROR(__xludf.DUMMYFUNCTION("""COMPUTED_VALUE"""),"KD")</f>
        <v>KD</v>
      </c>
      <c r="N23" s="2" t="str">
        <f>IFERROR(__xludf.DUMMYFUNCTION("""COMPUTED_VALUE"""),"Credit, Debit, Knet")</f>
        <v>Credit, Debit, Knet</v>
      </c>
      <c r="O23" s="4">
        <f>IFERROR(__xludf.DUMMYFUNCTION("""COMPUTED_VALUE"""),0.0)</f>
        <v>0</v>
      </c>
      <c r="P23" s="2">
        <f>IFERROR(__xludf.DUMMYFUNCTION("""COMPUTED_VALUE"""),10.0)</f>
        <v>10</v>
      </c>
      <c r="Q23" s="2">
        <f>IFERROR(__xludf.DUMMYFUNCTION("""COMPUTED_VALUE"""),3.0)</f>
        <v>3</v>
      </c>
      <c r="R23" s="2">
        <f>IFERROR(__xludf.DUMMYFUNCTION("""COMPUTED_VALUE"""),2025.0)</f>
        <v>2025</v>
      </c>
      <c r="S23" s="2" t="str">
        <f>IFERROR(__xludf.DUMMYFUNCTION("""COMPUTED_VALUE"""),"Digizag")</f>
        <v>Digizag</v>
      </c>
      <c r="T23" s="2" t="str">
        <f>IFERROR(__xludf.DUMMYFUNCTION("""COMPUTED_VALUE"""),"Digizag")</f>
        <v>Digizag</v>
      </c>
      <c r="U23" s="5">
        <f>IFERROR(__xludf.DUMMYFUNCTION("""COMPUTED_VALUE"""),63.5005745)</f>
        <v>63.5005745</v>
      </c>
      <c r="V23" s="2"/>
      <c r="W23" s="2"/>
      <c r="X23" s="2"/>
      <c r="Y23" s="2"/>
      <c r="Z23" s="2"/>
    </row>
    <row r="24">
      <c r="A24" s="6">
        <f>IFERROR(__xludf.DUMMYFUNCTION("""COMPUTED_VALUE"""),45726.52177083333)</f>
        <v>45726.52177</v>
      </c>
      <c r="B24" s="2" t="str">
        <f>IFERROR(__xludf.DUMMYFUNCTION("""COMPUTED_VALUE"""),"March")</f>
        <v>March</v>
      </c>
      <c r="C24" s="3">
        <f>IFERROR(__xludf.DUMMYFUNCTION("""COMPUTED_VALUE"""),290515.0)</f>
        <v>290515</v>
      </c>
      <c r="D24" s="2" t="str">
        <f>IFERROR(__xludf.DUMMYFUNCTION("""COMPUTED_VALUE"""),"MIMI44")</f>
        <v>MIMI44</v>
      </c>
      <c r="E24" s="2" t="str">
        <f>IFERROR(__xludf.DUMMYFUNCTION("""COMPUTED_VALUE"""),"Imported from file DigiZag Codes 25Feb25.xlsx")</f>
        <v>Imported from file DigiZag Codes 25Feb25.xlsx</v>
      </c>
      <c r="F24" s="2" t="str">
        <f>IFERROR(__xludf.DUMMYFUNCTION("""COMPUTED_VALUE"""),"YXT165053")</f>
        <v>YXT165053</v>
      </c>
      <c r="G24" s="2" t="str">
        <f>IFERROR(__xludf.DUMMYFUNCTION("""COMPUTED_VALUE"""),"Bahrain")</f>
        <v>Bahrain</v>
      </c>
      <c r="H24" s="4">
        <f>IFERROR(__xludf.DUMMYFUNCTION("""COMPUTED_VALUE"""),5.63)</f>
        <v>5.63</v>
      </c>
      <c r="I24" s="3">
        <f>IFERROR(__xludf.DUMMYFUNCTION("""COMPUTED_VALUE"""),0.0)</f>
        <v>0</v>
      </c>
      <c r="J24" s="4">
        <f>IFERROR(__xludf.DUMMYFUNCTION("""COMPUTED_VALUE"""),0.56)</f>
        <v>0.56</v>
      </c>
      <c r="K24" s="2"/>
      <c r="L24" s="2" t="str">
        <f>IFERROR(__xludf.DUMMYFUNCTION("""COMPUTED_VALUE"""),"Delivered")</f>
        <v>Delivered</v>
      </c>
      <c r="M24" s="2" t="str">
        <f>IFERROR(__xludf.DUMMYFUNCTION("""COMPUTED_VALUE"""),"BHD")</f>
        <v>BHD</v>
      </c>
      <c r="N24" s="2" t="str">
        <f>IFERROR(__xludf.DUMMYFUNCTION("""COMPUTED_VALUE"""),"Cash")</f>
        <v>Cash</v>
      </c>
      <c r="O24" s="4">
        <f>IFERROR(__xludf.DUMMYFUNCTION("""COMPUTED_VALUE"""),0.0)</f>
        <v>0</v>
      </c>
      <c r="P24" s="2">
        <f>IFERROR(__xludf.DUMMYFUNCTION("""COMPUTED_VALUE"""),10.0)</f>
        <v>10</v>
      </c>
      <c r="Q24" s="2">
        <f>IFERROR(__xludf.DUMMYFUNCTION("""COMPUTED_VALUE"""),3.0)</f>
        <v>3</v>
      </c>
      <c r="R24" s="2">
        <f>IFERROR(__xludf.DUMMYFUNCTION("""COMPUTED_VALUE"""),2025.0)</f>
        <v>2025</v>
      </c>
      <c r="S24" s="2" t="str">
        <f>IFERROR(__xludf.DUMMYFUNCTION("""COMPUTED_VALUE"""),"Digizag")</f>
        <v>Digizag</v>
      </c>
      <c r="T24" s="2" t="str">
        <f>IFERROR(__xludf.DUMMYFUNCTION("""COMPUTED_VALUE"""),"Digizag")</f>
        <v>Digizag</v>
      </c>
      <c r="U24" s="5">
        <f>IFERROR(__xludf.DUMMYFUNCTION("""COMPUTED_VALUE"""),14.93592271)</f>
        <v>14.93592271</v>
      </c>
      <c r="V24" s="2"/>
      <c r="W24" s="2"/>
      <c r="X24" s="2"/>
      <c r="Y24" s="2"/>
      <c r="Z24" s="2"/>
    </row>
    <row r="25">
      <c r="A25" s="6">
        <f>IFERROR(__xludf.DUMMYFUNCTION("""COMPUTED_VALUE"""),45726.79362268518)</f>
        <v>45726.79362</v>
      </c>
      <c r="B25" s="2" t="str">
        <f>IFERROR(__xludf.DUMMYFUNCTION("""COMPUTED_VALUE"""),"March")</f>
        <v>March</v>
      </c>
      <c r="C25" s="3">
        <f>IFERROR(__xludf.DUMMYFUNCTION("""COMPUTED_VALUE"""),540810.0)</f>
        <v>540810</v>
      </c>
      <c r="D25" s="2" t="str">
        <f>IFERROR(__xludf.DUMMYFUNCTION("""COMPUTED_VALUE"""),"CC22")</f>
        <v>CC22</v>
      </c>
      <c r="E25" s="2" t="str">
        <f>IFERROR(__xludf.DUMMYFUNCTION("""COMPUTED_VALUE"""),"Imported from file Digizag.xlsx")</f>
        <v>Imported from file Digizag.xlsx</v>
      </c>
      <c r="F25" s="2" t="str">
        <f>IFERROR(__xludf.DUMMYFUNCTION("""COMPUTED_VALUE"""),"XAW584900")</f>
        <v>XAW584900</v>
      </c>
      <c r="G25" s="2" t="str">
        <f>IFERROR(__xludf.DUMMYFUNCTION("""COMPUTED_VALUE"""),"Kingdom of Saudi Arabia")</f>
        <v>Kingdom of Saudi Arabia</v>
      </c>
      <c r="H25" s="4">
        <f>IFERROR(__xludf.DUMMYFUNCTION("""COMPUTED_VALUE"""),78.0)</f>
        <v>78</v>
      </c>
      <c r="I25" s="3">
        <f>IFERROR(__xludf.DUMMYFUNCTION("""COMPUTED_VALUE"""),0.0)</f>
        <v>0</v>
      </c>
      <c r="J25" s="4">
        <f>IFERROR(__xludf.DUMMYFUNCTION("""COMPUTED_VALUE"""),7.8)</f>
        <v>7.8</v>
      </c>
      <c r="K25" s="2"/>
      <c r="L25" s="2" t="str">
        <f>IFERROR(__xludf.DUMMYFUNCTION("""COMPUTED_VALUE"""),"Delivered")</f>
        <v>Delivered</v>
      </c>
      <c r="M25" s="2" t="str">
        <f>IFERROR(__xludf.DUMMYFUNCTION("""COMPUTED_VALUE"""),"SR")</f>
        <v>SR</v>
      </c>
      <c r="N25" s="2" t="str">
        <f>IFERROR(__xludf.DUMMYFUNCTION("""COMPUTED_VALUE"""),"Credit, Debit, Apple Pay")</f>
        <v>Credit, Debit, Apple Pay</v>
      </c>
      <c r="O25" s="4">
        <f>IFERROR(__xludf.DUMMYFUNCTION("""COMPUTED_VALUE"""),0.0)</f>
        <v>0</v>
      </c>
      <c r="P25" s="2">
        <f>IFERROR(__xludf.DUMMYFUNCTION("""COMPUTED_VALUE"""),10.0)</f>
        <v>10</v>
      </c>
      <c r="Q25" s="2">
        <f>IFERROR(__xludf.DUMMYFUNCTION("""COMPUTED_VALUE"""),3.0)</f>
        <v>3</v>
      </c>
      <c r="R25" s="2">
        <f>IFERROR(__xludf.DUMMYFUNCTION("""COMPUTED_VALUE"""),2025.0)</f>
        <v>2025</v>
      </c>
      <c r="S25" s="2" t="str">
        <f>IFERROR(__xludf.DUMMYFUNCTION("""COMPUTED_VALUE"""),"Digizag")</f>
        <v>Digizag</v>
      </c>
      <c r="T25" s="2" t="str">
        <f>IFERROR(__xludf.DUMMYFUNCTION("""COMPUTED_VALUE"""),"Digizag")</f>
        <v>Digizag</v>
      </c>
      <c r="U25" s="5">
        <f>IFERROR(__xludf.DUMMYFUNCTION("""COMPUTED_VALUE"""),20.798391588)</f>
        <v>20.79839159</v>
      </c>
      <c r="V25" s="2"/>
      <c r="W25" s="2"/>
      <c r="X25" s="2"/>
      <c r="Y25" s="2"/>
      <c r="Z25" s="2"/>
    </row>
    <row r="26">
      <c r="A26" s="6">
        <f>IFERROR(__xludf.DUMMYFUNCTION("""COMPUTED_VALUE"""),45726.823229166665)</f>
        <v>45726.82323</v>
      </c>
      <c r="B26" s="2" t="str">
        <f>IFERROR(__xludf.DUMMYFUNCTION("""COMPUTED_VALUE"""),"March")</f>
        <v>March</v>
      </c>
      <c r="C26" s="3">
        <f>IFERROR(__xludf.DUMMYFUNCTION("""COMPUTED_VALUE"""),193036.0)</f>
        <v>193036</v>
      </c>
      <c r="D26" s="2" t="str">
        <f>IFERROR(__xludf.DUMMYFUNCTION("""COMPUTED_VALUE"""),"DB1")</f>
        <v>DB1</v>
      </c>
      <c r="E26" s="2" t="str">
        <f>IFERROR(__xludf.DUMMYFUNCTION("""COMPUTED_VALUE"""),"Imported from file Digizag.xlsx")</f>
        <v>Imported from file Digizag.xlsx</v>
      </c>
      <c r="F26" s="2" t="str">
        <f>IFERROR(__xludf.DUMMYFUNCTION("""COMPUTED_VALUE"""),"KZA731936")</f>
        <v>KZA731936</v>
      </c>
      <c r="G26" s="2" t="str">
        <f>IFERROR(__xludf.DUMMYFUNCTION("""COMPUTED_VALUE"""),"Kingdom of Saudi Arabia")</f>
        <v>Kingdom of Saudi Arabia</v>
      </c>
      <c r="H26" s="4">
        <f>IFERROR(__xludf.DUMMYFUNCTION("""COMPUTED_VALUE"""),216.52)</f>
        <v>216.52</v>
      </c>
      <c r="I26" s="3">
        <f>IFERROR(__xludf.DUMMYFUNCTION("""COMPUTED_VALUE"""),0.0)</f>
        <v>0</v>
      </c>
      <c r="J26" s="4">
        <f>IFERROR(__xludf.DUMMYFUNCTION("""COMPUTED_VALUE"""),21.65)</f>
        <v>21.65</v>
      </c>
      <c r="K26" s="2"/>
      <c r="L26" s="2" t="str">
        <f>IFERROR(__xludf.DUMMYFUNCTION("""COMPUTED_VALUE"""),"Delivered")</f>
        <v>Delivered</v>
      </c>
      <c r="M26" s="2" t="str">
        <f>IFERROR(__xludf.DUMMYFUNCTION("""COMPUTED_VALUE"""),"SR")</f>
        <v>SR</v>
      </c>
      <c r="N26" s="2" t="str">
        <f>IFERROR(__xludf.DUMMYFUNCTION("""COMPUTED_VALUE"""),"Credit, Debit, Apple Pay")</f>
        <v>Credit, Debit, Apple Pay</v>
      </c>
      <c r="O26" s="4">
        <f>IFERROR(__xludf.DUMMYFUNCTION("""COMPUTED_VALUE"""),0.0)</f>
        <v>0</v>
      </c>
      <c r="P26" s="2">
        <f>IFERROR(__xludf.DUMMYFUNCTION("""COMPUTED_VALUE"""),10.0)</f>
        <v>10</v>
      </c>
      <c r="Q26" s="2">
        <f>IFERROR(__xludf.DUMMYFUNCTION("""COMPUTED_VALUE"""),3.0)</f>
        <v>3</v>
      </c>
      <c r="R26" s="2">
        <f>IFERROR(__xludf.DUMMYFUNCTION("""COMPUTED_VALUE"""),2025.0)</f>
        <v>2025</v>
      </c>
      <c r="S26" s="2" t="str">
        <f>IFERROR(__xludf.DUMMYFUNCTION("""COMPUTED_VALUE"""),"Digizag")</f>
        <v>Digizag</v>
      </c>
      <c r="T26" s="2" t="str">
        <f>IFERROR(__xludf.DUMMYFUNCTION("""COMPUTED_VALUE"""),"Digizag")</f>
        <v>Digizag</v>
      </c>
      <c r="U26" s="5">
        <f>IFERROR(__xludf.DUMMYFUNCTION("""COMPUTED_VALUE"""),57.73420187992001)</f>
        <v>57.73420188</v>
      </c>
      <c r="V26" s="2"/>
      <c r="W26" s="2"/>
      <c r="X26" s="2"/>
      <c r="Y26" s="2"/>
      <c r="Z26" s="2"/>
    </row>
    <row r="27">
      <c r="A27" s="6">
        <f>IFERROR(__xludf.DUMMYFUNCTION("""COMPUTED_VALUE"""),45726.91543981481)</f>
        <v>45726.91544</v>
      </c>
      <c r="B27" s="2" t="str">
        <f>IFERROR(__xludf.DUMMYFUNCTION("""COMPUTED_VALUE"""),"March")</f>
        <v>March</v>
      </c>
      <c r="C27" s="3">
        <f>IFERROR(__xludf.DUMMYFUNCTION("""COMPUTED_VALUE"""),365982.0)</f>
        <v>365982</v>
      </c>
      <c r="D27" s="2" t="str">
        <f>IFERROR(__xludf.DUMMYFUNCTION("""COMPUTED_VALUE"""),"MIMI44")</f>
        <v>MIMI44</v>
      </c>
      <c r="E27" s="2" t="str">
        <f>IFERROR(__xludf.DUMMYFUNCTION("""COMPUTED_VALUE"""),"Imported from file DigiZag Codes 25Feb25.xlsx")</f>
        <v>Imported from file DigiZag Codes 25Feb25.xlsx</v>
      </c>
      <c r="F27" s="2" t="str">
        <f>IFERROR(__xludf.DUMMYFUNCTION("""COMPUTED_VALUE"""),"TZJ705926")</f>
        <v>TZJ705926</v>
      </c>
      <c r="G27" s="2" t="str">
        <f>IFERROR(__xludf.DUMMYFUNCTION("""COMPUTED_VALUE"""),"UAE")</f>
        <v>UAE</v>
      </c>
      <c r="H27" s="4">
        <f>IFERROR(__xludf.DUMMYFUNCTION("""COMPUTED_VALUE"""),288.05)</f>
        <v>288.05</v>
      </c>
      <c r="I27" s="3">
        <f>IFERROR(__xludf.DUMMYFUNCTION("""COMPUTED_VALUE"""),0.0)</f>
        <v>0</v>
      </c>
      <c r="J27" s="4">
        <f>IFERROR(__xludf.DUMMYFUNCTION("""COMPUTED_VALUE"""),28.8)</f>
        <v>28.8</v>
      </c>
      <c r="K27" s="2"/>
      <c r="L27" s="2" t="str">
        <f>IFERROR(__xludf.DUMMYFUNCTION("""COMPUTED_VALUE"""),"Delivered")</f>
        <v>Delivered</v>
      </c>
      <c r="M27" s="2" t="str">
        <f>IFERROR(__xludf.DUMMYFUNCTION("""COMPUTED_VALUE"""),"AED")</f>
        <v>AED</v>
      </c>
      <c r="N27" s="2" t="str">
        <f>IFERROR(__xludf.DUMMYFUNCTION("""COMPUTED_VALUE"""),"Credit, Debit , Apple Pay")</f>
        <v>Credit, Debit , Apple Pay</v>
      </c>
      <c r="O27" s="4">
        <f>IFERROR(__xludf.DUMMYFUNCTION("""COMPUTED_VALUE"""),0.0)</f>
        <v>0</v>
      </c>
      <c r="P27" s="2">
        <f>IFERROR(__xludf.DUMMYFUNCTION("""COMPUTED_VALUE"""),10.0)</f>
        <v>10</v>
      </c>
      <c r="Q27" s="2">
        <f>IFERROR(__xludf.DUMMYFUNCTION("""COMPUTED_VALUE"""),3.0)</f>
        <v>3</v>
      </c>
      <c r="R27" s="2">
        <f>IFERROR(__xludf.DUMMYFUNCTION("""COMPUTED_VALUE"""),2025.0)</f>
        <v>2025</v>
      </c>
      <c r="S27" s="2" t="str">
        <f>IFERROR(__xludf.DUMMYFUNCTION("""COMPUTED_VALUE"""),"Digizag")</f>
        <v>Digizag</v>
      </c>
      <c r="T27" s="2" t="str">
        <f>IFERROR(__xludf.DUMMYFUNCTION("""COMPUTED_VALUE"""),"Digizag")</f>
        <v>Digizag</v>
      </c>
      <c r="U27" s="5">
        <f>IFERROR(__xludf.DUMMYFUNCTION("""COMPUTED_VALUE"""),78.4343091679)</f>
        <v>78.43430917</v>
      </c>
      <c r="V27" s="2"/>
      <c r="W27" s="2"/>
      <c r="X27" s="2"/>
      <c r="Y27" s="2"/>
      <c r="Z27" s="2"/>
    </row>
    <row r="28">
      <c r="A28" s="6">
        <f>IFERROR(__xludf.DUMMYFUNCTION("""COMPUTED_VALUE"""),45727.05392361111)</f>
        <v>45727.05392</v>
      </c>
      <c r="B28" s="2" t="str">
        <f>IFERROR(__xludf.DUMMYFUNCTION("""COMPUTED_VALUE"""),"March")</f>
        <v>March</v>
      </c>
      <c r="C28" s="3">
        <f>IFERROR(__xludf.DUMMYFUNCTION("""COMPUTED_VALUE"""),4975.0)</f>
        <v>4975</v>
      </c>
      <c r="D28" s="2" t="str">
        <f>IFERROR(__xludf.DUMMYFUNCTION("""COMPUTED_VALUE"""),"NAA10")</f>
        <v>NAA10</v>
      </c>
      <c r="E28" s="2" t="str">
        <f>IFERROR(__xludf.DUMMYFUNCTION("""COMPUTED_VALUE"""),"Imported from file DigiZag Bidding Codes.xlsx")</f>
        <v>Imported from file DigiZag Bidding Codes.xlsx</v>
      </c>
      <c r="F28" s="2" t="str">
        <f>IFERROR(__xludf.DUMMYFUNCTION("""COMPUTED_VALUE"""),"HQE225764")</f>
        <v>HQE225764</v>
      </c>
      <c r="G28" s="2" t="str">
        <f>IFERROR(__xludf.DUMMYFUNCTION("""COMPUTED_VALUE"""),"Kingdom of Saudi Arabia")</f>
        <v>Kingdom of Saudi Arabia</v>
      </c>
      <c r="H28" s="4">
        <f>IFERROR(__xludf.DUMMYFUNCTION("""COMPUTED_VALUE"""),208.83)</f>
        <v>208.83</v>
      </c>
      <c r="I28" s="3">
        <f>IFERROR(__xludf.DUMMYFUNCTION("""COMPUTED_VALUE"""),0.0)</f>
        <v>0</v>
      </c>
      <c r="J28" s="4">
        <f>IFERROR(__xludf.DUMMYFUNCTION("""COMPUTED_VALUE"""),20.88)</f>
        <v>20.88</v>
      </c>
      <c r="K28" s="2"/>
      <c r="L28" s="2" t="str">
        <f>IFERROR(__xludf.DUMMYFUNCTION("""COMPUTED_VALUE"""),"Delivered")</f>
        <v>Delivered</v>
      </c>
      <c r="M28" s="2" t="str">
        <f>IFERROR(__xludf.DUMMYFUNCTION("""COMPUTED_VALUE"""),"SR")</f>
        <v>SR</v>
      </c>
      <c r="N28" s="2" t="str">
        <f>IFERROR(__xludf.DUMMYFUNCTION("""COMPUTED_VALUE"""),"Credit, Debit, Apple Pay")</f>
        <v>Credit, Debit, Apple Pay</v>
      </c>
      <c r="O28" s="4">
        <f>IFERROR(__xludf.DUMMYFUNCTION("""COMPUTED_VALUE"""),0.0)</f>
        <v>0</v>
      </c>
      <c r="P28" s="2">
        <f>IFERROR(__xludf.DUMMYFUNCTION("""COMPUTED_VALUE"""),11.0)</f>
        <v>11</v>
      </c>
      <c r="Q28" s="2">
        <f>IFERROR(__xludf.DUMMYFUNCTION("""COMPUTED_VALUE"""),3.0)</f>
        <v>3</v>
      </c>
      <c r="R28" s="2">
        <f>IFERROR(__xludf.DUMMYFUNCTION("""COMPUTED_VALUE"""),2025.0)</f>
        <v>2025</v>
      </c>
      <c r="S28" s="2" t="str">
        <f>IFERROR(__xludf.DUMMYFUNCTION("""COMPUTED_VALUE"""),"Digizag")</f>
        <v>Digizag</v>
      </c>
      <c r="T28" s="2" t="str">
        <f>IFERROR(__xludf.DUMMYFUNCTION("""COMPUTED_VALUE"""),"Digizag")</f>
        <v>Digizag</v>
      </c>
      <c r="U28" s="5">
        <f>IFERROR(__xludf.DUMMYFUNCTION("""COMPUTED_VALUE"""),55.68369378618001)</f>
        <v>55.68369379</v>
      </c>
      <c r="V28" s="2"/>
      <c r="W28" s="2"/>
      <c r="X28" s="2"/>
      <c r="Y28" s="2"/>
      <c r="Z28" s="2"/>
    </row>
    <row r="29">
      <c r="A29" s="6">
        <f>IFERROR(__xludf.DUMMYFUNCTION("""COMPUTED_VALUE"""),45727.507893518516)</f>
        <v>45727.50789</v>
      </c>
      <c r="B29" s="2" t="str">
        <f>IFERROR(__xludf.DUMMYFUNCTION("""COMPUTED_VALUE"""),"March")</f>
        <v>March</v>
      </c>
      <c r="C29" s="3">
        <f>IFERROR(__xludf.DUMMYFUNCTION("""COMPUTED_VALUE"""),51353.0)</f>
        <v>51353</v>
      </c>
      <c r="D29" s="2" t="str">
        <f>IFERROR(__xludf.DUMMYFUNCTION("""COMPUTED_VALUE"""),"MIMI44")</f>
        <v>MIMI44</v>
      </c>
      <c r="E29" s="2" t="str">
        <f>IFERROR(__xludf.DUMMYFUNCTION("""COMPUTED_VALUE"""),"Imported from file DigiZag Codes 25Feb25.xlsx")</f>
        <v>Imported from file DigiZag Codes 25Feb25.xlsx</v>
      </c>
      <c r="F29" s="2" t="str">
        <f>IFERROR(__xludf.DUMMYFUNCTION("""COMPUTED_VALUE"""),"KTY735073")</f>
        <v>KTY735073</v>
      </c>
      <c r="G29" s="2" t="str">
        <f>IFERROR(__xludf.DUMMYFUNCTION("""COMPUTED_VALUE"""),"Kuwait")</f>
        <v>Kuwait</v>
      </c>
      <c r="H29" s="4">
        <f>IFERROR(__xludf.DUMMYFUNCTION("""COMPUTED_VALUE"""),13.9)</f>
        <v>13.9</v>
      </c>
      <c r="I29" s="3">
        <f>IFERROR(__xludf.DUMMYFUNCTION("""COMPUTED_VALUE"""),1.0)</f>
        <v>1</v>
      </c>
      <c r="J29" s="4">
        <f>IFERROR(__xludf.DUMMYFUNCTION("""COMPUTED_VALUE"""),1.39)</f>
        <v>1.39</v>
      </c>
      <c r="K29" s="2"/>
      <c r="L29" s="2" t="str">
        <f>IFERROR(__xludf.DUMMYFUNCTION("""COMPUTED_VALUE"""),"Partially Cancelled")</f>
        <v>Partially Cancelled</v>
      </c>
      <c r="M29" s="2" t="str">
        <f>IFERROR(__xludf.DUMMYFUNCTION("""COMPUTED_VALUE"""),"KD")</f>
        <v>KD</v>
      </c>
      <c r="N29" s="2" t="str">
        <f>IFERROR(__xludf.DUMMYFUNCTION("""COMPUTED_VALUE"""),"Credit, Debit, Knet")</f>
        <v>Credit, Debit, Knet</v>
      </c>
      <c r="O29" s="4">
        <f>IFERROR(__xludf.DUMMYFUNCTION("""COMPUTED_VALUE"""),7.11)</f>
        <v>7.11</v>
      </c>
      <c r="P29" s="2">
        <f>IFERROR(__xludf.DUMMYFUNCTION("""COMPUTED_VALUE"""),11.0)</f>
        <v>11</v>
      </c>
      <c r="Q29" s="2">
        <f>IFERROR(__xludf.DUMMYFUNCTION("""COMPUTED_VALUE"""),3.0)</f>
        <v>3</v>
      </c>
      <c r="R29" s="2">
        <f>IFERROR(__xludf.DUMMYFUNCTION("""COMPUTED_VALUE"""),2025.0)</f>
        <v>2025</v>
      </c>
      <c r="S29" s="2" t="str">
        <f>IFERROR(__xludf.DUMMYFUNCTION("""COMPUTED_VALUE"""),"Digizag")</f>
        <v>Digizag</v>
      </c>
      <c r="T29" s="2" t="str">
        <f>IFERROR(__xludf.DUMMYFUNCTION("""COMPUTED_VALUE"""),"Digizag")</f>
        <v>Digizag</v>
      </c>
      <c r="U29" s="5">
        <f>IFERROR(__xludf.DUMMYFUNCTION("""COMPUTED_VALUE"""),45.322618)</f>
        <v>45.322618</v>
      </c>
      <c r="V29" s="2"/>
      <c r="W29" s="2"/>
      <c r="X29" s="2"/>
      <c r="Y29" s="2"/>
      <c r="Z29" s="2"/>
    </row>
    <row r="30">
      <c r="A30" s="6">
        <f>IFERROR(__xludf.DUMMYFUNCTION("""COMPUTED_VALUE"""),45727.963368055556)</f>
        <v>45727.96337</v>
      </c>
      <c r="B30" s="2" t="str">
        <f>IFERROR(__xludf.DUMMYFUNCTION("""COMPUTED_VALUE"""),"March")</f>
        <v>March</v>
      </c>
      <c r="C30" s="3">
        <f>IFERROR(__xludf.DUMMYFUNCTION("""COMPUTED_VALUE"""),702756.0)</f>
        <v>702756</v>
      </c>
      <c r="D30" s="2" t="str">
        <f>IFERROR(__xludf.DUMMYFUNCTION("""COMPUTED_VALUE"""),"MIMI44")</f>
        <v>MIMI44</v>
      </c>
      <c r="E30" s="2" t="str">
        <f>IFERROR(__xludf.DUMMYFUNCTION("""COMPUTED_VALUE"""),"Imported from file DigiZag Codes 25Feb25.xlsx")</f>
        <v>Imported from file DigiZag Codes 25Feb25.xlsx</v>
      </c>
      <c r="F30" s="2" t="str">
        <f>IFERROR(__xludf.DUMMYFUNCTION("""COMPUTED_VALUE"""),"VKL493890")</f>
        <v>VKL493890</v>
      </c>
      <c r="G30" s="2" t="str">
        <f>IFERROR(__xludf.DUMMYFUNCTION("""COMPUTED_VALUE"""),"Kuwait")</f>
        <v>Kuwait</v>
      </c>
      <c r="H30" s="4">
        <f>IFERROR(__xludf.DUMMYFUNCTION("""COMPUTED_VALUE"""),22.0)</f>
        <v>22</v>
      </c>
      <c r="I30" s="3">
        <f>IFERROR(__xludf.DUMMYFUNCTION("""COMPUTED_VALUE"""),0.0)</f>
        <v>0</v>
      </c>
      <c r="J30" s="4">
        <f>IFERROR(__xludf.DUMMYFUNCTION("""COMPUTED_VALUE"""),2.2)</f>
        <v>2.2</v>
      </c>
      <c r="K30" s="2"/>
      <c r="L30" s="2" t="str">
        <f>IFERROR(__xludf.DUMMYFUNCTION("""COMPUTED_VALUE"""),"Delivered")</f>
        <v>Delivered</v>
      </c>
      <c r="M30" s="2" t="str">
        <f>IFERROR(__xludf.DUMMYFUNCTION("""COMPUTED_VALUE"""),"KD")</f>
        <v>KD</v>
      </c>
      <c r="N30" s="2" t="str">
        <f>IFERROR(__xludf.DUMMYFUNCTION("""COMPUTED_VALUE"""),"Credit, Debit, Knet")</f>
        <v>Credit, Debit, Knet</v>
      </c>
      <c r="O30" s="4">
        <f>IFERROR(__xludf.DUMMYFUNCTION("""COMPUTED_VALUE"""),0.0)</f>
        <v>0</v>
      </c>
      <c r="P30" s="2">
        <f>IFERROR(__xludf.DUMMYFUNCTION("""COMPUTED_VALUE"""),11.0)</f>
        <v>11</v>
      </c>
      <c r="Q30" s="2">
        <f>IFERROR(__xludf.DUMMYFUNCTION("""COMPUTED_VALUE"""),3.0)</f>
        <v>3</v>
      </c>
      <c r="R30" s="2">
        <f>IFERROR(__xludf.DUMMYFUNCTION("""COMPUTED_VALUE"""),2025.0)</f>
        <v>2025</v>
      </c>
      <c r="S30" s="2" t="str">
        <f>IFERROR(__xludf.DUMMYFUNCTION("""COMPUTED_VALUE"""),"Digizag")</f>
        <v>Digizag</v>
      </c>
      <c r="T30" s="2" t="str">
        <f>IFERROR(__xludf.DUMMYFUNCTION("""COMPUTED_VALUE"""),"Digizag")</f>
        <v>Digizag</v>
      </c>
      <c r="U30" s="5">
        <f>IFERROR(__xludf.DUMMYFUNCTION("""COMPUTED_VALUE"""),71.73364)</f>
        <v>71.73364</v>
      </c>
      <c r="V30" s="2"/>
      <c r="W30" s="2"/>
      <c r="X30" s="2"/>
      <c r="Y30" s="2"/>
      <c r="Z30" s="2"/>
    </row>
    <row r="31">
      <c r="A31" s="6">
        <f>IFERROR(__xludf.DUMMYFUNCTION("""COMPUTED_VALUE"""),45727.99998842592)</f>
        <v>45727.99999</v>
      </c>
      <c r="B31" s="2" t="str">
        <f>IFERROR(__xludf.DUMMYFUNCTION("""COMPUTED_VALUE"""),"March")</f>
        <v>March</v>
      </c>
      <c r="C31" s="3">
        <f>IFERROR(__xludf.DUMMYFUNCTION("""COMPUTED_VALUE"""),178521.0)</f>
        <v>178521</v>
      </c>
      <c r="D31" s="2" t="str">
        <f>IFERROR(__xludf.DUMMYFUNCTION("""COMPUTED_VALUE"""),"MIMI44")</f>
        <v>MIMI44</v>
      </c>
      <c r="E31" s="2" t="str">
        <f>IFERROR(__xludf.DUMMYFUNCTION("""COMPUTED_VALUE"""),"Imported from file DigiZag Codes 25Feb25.xlsx")</f>
        <v>Imported from file DigiZag Codes 25Feb25.xlsx</v>
      </c>
      <c r="F31" s="2" t="str">
        <f>IFERROR(__xludf.DUMMYFUNCTION("""COMPUTED_VALUE"""),"CJZ237935")</f>
        <v>CJZ237935</v>
      </c>
      <c r="G31" s="2" t="str">
        <f>IFERROR(__xludf.DUMMYFUNCTION("""COMPUTED_VALUE"""),"Kuwait")</f>
        <v>Kuwait</v>
      </c>
      <c r="H31" s="4">
        <f>IFERROR(__xludf.DUMMYFUNCTION("""COMPUTED_VALUE"""),20.85)</f>
        <v>20.85</v>
      </c>
      <c r="I31" s="3">
        <f>IFERROR(__xludf.DUMMYFUNCTION("""COMPUTED_VALUE"""),0.0)</f>
        <v>0</v>
      </c>
      <c r="J31" s="4">
        <f>IFERROR(__xludf.DUMMYFUNCTION("""COMPUTED_VALUE"""),2.085)</f>
        <v>2.085</v>
      </c>
      <c r="K31" s="2"/>
      <c r="L31" s="2" t="str">
        <f>IFERROR(__xludf.DUMMYFUNCTION("""COMPUTED_VALUE"""),"Delivered")</f>
        <v>Delivered</v>
      </c>
      <c r="M31" s="2" t="str">
        <f>IFERROR(__xludf.DUMMYFUNCTION("""COMPUTED_VALUE"""),"KD")</f>
        <v>KD</v>
      </c>
      <c r="N31" s="2" t="str">
        <f>IFERROR(__xludf.DUMMYFUNCTION("""COMPUTED_VALUE"""),"Credit, Debit, Knet")</f>
        <v>Credit, Debit, Knet</v>
      </c>
      <c r="O31" s="4">
        <f>IFERROR(__xludf.DUMMYFUNCTION("""COMPUTED_VALUE"""),0.0)</f>
        <v>0</v>
      </c>
      <c r="P31" s="2">
        <f>IFERROR(__xludf.DUMMYFUNCTION("""COMPUTED_VALUE"""),11.0)</f>
        <v>11</v>
      </c>
      <c r="Q31" s="2">
        <f>IFERROR(__xludf.DUMMYFUNCTION("""COMPUTED_VALUE"""),3.0)</f>
        <v>3</v>
      </c>
      <c r="R31" s="2">
        <f>IFERROR(__xludf.DUMMYFUNCTION("""COMPUTED_VALUE"""),2025.0)</f>
        <v>2025</v>
      </c>
      <c r="S31" s="2" t="str">
        <f>IFERROR(__xludf.DUMMYFUNCTION("""COMPUTED_VALUE"""),"Digizag")</f>
        <v>Digizag</v>
      </c>
      <c r="T31" s="2" t="str">
        <f>IFERROR(__xludf.DUMMYFUNCTION("""COMPUTED_VALUE"""),"Digizag")</f>
        <v>Digizag</v>
      </c>
      <c r="U31" s="5">
        <f>IFERROR(__xludf.DUMMYFUNCTION("""COMPUTED_VALUE"""),67.98392700000001)</f>
        <v>67.983927</v>
      </c>
      <c r="V31" s="2"/>
      <c r="W31" s="2"/>
      <c r="X31" s="2"/>
      <c r="Y31" s="2"/>
      <c r="Z31" s="2"/>
    </row>
    <row r="32">
      <c r="A32" s="6">
        <f>IFERROR(__xludf.DUMMYFUNCTION("""COMPUTED_VALUE"""),45728.228900462964)</f>
        <v>45728.2289</v>
      </c>
      <c r="B32" s="2" t="str">
        <f>IFERROR(__xludf.DUMMYFUNCTION("""COMPUTED_VALUE"""),"March")</f>
        <v>March</v>
      </c>
      <c r="C32" s="3">
        <f>IFERROR(__xludf.DUMMYFUNCTION("""COMPUTED_VALUE"""),702825.0)</f>
        <v>702825</v>
      </c>
      <c r="D32" s="2" t="str">
        <f>IFERROR(__xludf.DUMMYFUNCTION("""COMPUTED_VALUE"""),"MNN16")</f>
        <v>MNN16</v>
      </c>
      <c r="E32" s="2" t="str">
        <f>IFERROR(__xludf.DUMMYFUNCTION("""COMPUTED_VALUE"""),"Imported from file DigiZag Codes 25Feb25.xlsx")</f>
        <v>Imported from file DigiZag Codes 25Feb25.xlsx</v>
      </c>
      <c r="F32" s="2" t="str">
        <f>IFERROR(__xludf.DUMMYFUNCTION("""COMPUTED_VALUE"""),"ATD862333")</f>
        <v>ATD862333</v>
      </c>
      <c r="G32" s="2" t="str">
        <f>IFERROR(__xludf.DUMMYFUNCTION("""COMPUTED_VALUE"""),"UAE")</f>
        <v>UAE</v>
      </c>
      <c r="H32" s="4">
        <f>IFERROR(__xludf.DUMMYFUNCTION("""COMPUTED_VALUE"""),420.0)</f>
        <v>420</v>
      </c>
      <c r="I32" s="3">
        <f>IFERROR(__xludf.DUMMYFUNCTION("""COMPUTED_VALUE"""),0.0)</f>
        <v>0</v>
      </c>
      <c r="J32" s="4">
        <f>IFERROR(__xludf.DUMMYFUNCTION("""COMPUTED_VALUE"""),42.0)</f>
        <v>42</v>
      </c>
      <c r="K32" s="2"/>
      <c r="L32" s="2" t="str">
        <f>IFERROR(__xludf.DUMMYFUNCTION("""COMPUTED_VALUE"""),"Delivered")</f>
        <v>Delivered</v>
      </c>
      <c r="M32" s="2" t="str">
        <f>IFERROR(__xludf.DUMMYFUNCTION("""COMPUTED_VALUE"""),"AED")</f>
        <v>AED</v>
      </c>
      <c r="N32" s="2" t="str">
        <f>IFERROR(__xludf.DUMMYFUNCTION("""COMPUTED_VALUE"""),"Credit, Debit , Apple Pay")</f>
        <v>Credit, Debit , Apple Pay</v>
      </c>
      <c r="O32" s="4">
        <f>IFERROR(__xludf.DUMMYFUNCTION("""COMPUTED_VALUE"""),0.0)</f>
        <v>0</v>
      </c>
      <c r="P32" s="2">
        <f>IFERROR(__xludf.DUMMYFUNCTION("""COMPUTED_VALUE"""),12.0)</f>
        <v>12</v>
      </c>
      <c r="Q32" s="2">
        <f>IFERROR(__xludf.DUMMYFUNCTION("""COMPUTED_VALUE"""),3.0)</f>
        <v>3</v>
      </c>
      <c r="R32" s="2">
        <f>IFERROR(__xludf.DUMMYFUNCTION("""COMPUTED_VALUE"""),2025.0)</f>
        <v>2025</v>
      </c>
      <c r="S32" s="2" t="str">
        <f>IFERROR(__xludf.DUMMYFUNCTION("""COMPUTED_VALUE"""),"Digizag")</f>
        <v>Digizag</v>
      </c>
      <c r="T32" s="2" t="str">
        <f>IFERROR(__xludf.DUMMYFUNCTION("""COMPUTED_VALUE"""),"Digizag")</f>
        <v>Digizag</v>
      </c>
      <c r="U32" s="5">
        <f>IFERROR(__xludf.DUMMYFUNCTION("""COMPUTED_VALUE"""),114.36351275999999)</f>
        <v>114.3635128</v>
      </c>
      <c r="V32" s="2"/>
      <c r="W32" s="2"/>
      <c r="X32" s="2"/>
      <c r="Y32" s="2"/>
      <c r="Z32" s="2"/>
    </row>
    <row r="33">
      <c r="A33" s="6">
        <f>IFERROR(__xludf.DUMMYFUNCTION("""COMPUTED_VALUE"""),45728.33760416666)</f>
        <v>45728.3376</v>
      </c>
      <c r="B33" s="2" t="str">
        <f>IFERROR(__xludf.DUMMYFUNCTION("""COMPUTED_VALUE"""),"March")</f>
        <v>March</v>
      </c>
      <c r="C33" s="3">
        <f>IFERROR(__xludf.DUMMYFUNCTION("""COMPUTED_VALUE"""),140746.0)</f>
        <v>140746</v>
      </c>
      <c r="D33" s="2" t="str">
        <f>IFERROR(__xludf.DUMMYFUNCTION("""COMPUTED_VALUE"""),"MIMI44")</f>
        <v>MIMI44</v>
      </c>
      <c r="E33" s="2" t="str">
        <f>IFERROR(__xludf.DUMMYFUNCTION("""COMPUTED_VALUE"""),"Imported from file DigiZag Codes 25Feb25.xlsx")</f>
        <v>Imported from file DigiZag Codes 25Feb25.xlsx</v>
      </c>
      <c r="F33" s="2" t="str">
        <f>IFERROR(__xludf.DUMMYFUNCTION("""COMPUTED_VALUE"""),"MMH802061")</f>
        <v>MMH802061</v>
      </c>
      <c r="G33" s="2" t="str">
        <f>IFERROR(__xludf.DUMMYFUNCTION("""COMPUTED_VALUE"""),"Kuwait")</f>
        <v>Kuwait</v>
      </c>
      <c r="H33" s="4">
        <f>IFERROR(__xludf.DUMMYFUNCTION("""COMPUTED_VALUE"""),13.7)</f>
        <v>13.7</v>
      </c>
      <c r="I33" s="3">
        <f>IFERROR(__xludf.DUMMYFUNCTION("""COMPUTED_VALUE"""),0.0)</f>
        <v>0</v>
      </c>
      <c r="J33" s="4">
        <f>IFERROR(__xludf.DUMMYFUNCTION("""COMPUTED_VALUE"""),1.37)</f>
        <v>1.37</v>
      </c>
      <c r="K33" s="2"/>
      <c r="L33" s="2" t="str">
        <f>IFERROR(__xludf.DUMMYFUNCTION("""COMPUTED_VALUE"""),"Delivered")</f>
        <v>Delivered</v>
      </c>
      <c r="M33" s="2" t="str">
        <f>IFERROR(__xludf.DUMMYFUNCTION("""COMPUTED_VALUE"""),"KD")</f>
        <v>KD</v>
      </c>
      <c r="N33" s="2" t="str">
        <f>IFERROR(__xludf.DUMMYFUNCTION("""COMPUTED_VALUE"""),"Credit, Debit, Knet")</f>
        <v>Credit, Debit, Knet</v>
      </c>
      <c r="O33" s="4">
        <f>IFERROR(__xludf.DUMMYFUNCTION("""COMPUTED_VALUE"""),0.0)</f>
        <v>0</v>
      </c>
      <c r="P33" s="2">
        <f>IFERROR(__xludf.DUMMYFUNCTION("""COMPUTED_VALUE"""),12.0)</f>
        <v>12</v>
      </c>
      <c r="Q33" s="2">
        <f>IFERROR(__xludf.DUMMYFUNCTION("""COMPUTED_VALUE"""),3.0)</f>
        <v>3</v>
      </c>
      <c r="R33" s="2">
        <f>IFERROR(__xludf.DUMMYFUNCTION("""COMPUTED_VALUE"""),2025.0)</f>
        <v>2025</v>
      </c>
      <c r="S33" s="2" t="str">
        <f>IFERROR(__xludf.DUMMYFUNCTION("""COMPUTED_VALUE"""),"Digizag")</f>
        <v>Digizag</v>
      </c>
      <c r="T33" s="2" t="str">
        <f>IFERROR(__xludf.DUMMYFUNCTION("""COMPUTED_VALUE"""),"Digizag")</f>
        <v>Digizag</v>
      </c>
      <c r="U33" s="5">
        <f>IFERROR(__xludf.DUMMYFUNCTION("""COMPUTED_VALUE"""),44.670494)</f>
        <v>44.670494</v>
      </c>
      <c r="V33" s="2"/>
      <c r="W33" s="2"/>
      <c r="X33" s="2"/>
      <c r="Y33" s="2"/>
      <c r="Z33" s="2"/>
    </row>
    <row r="34">
      <c r="A34" s="6">
        <f>IFERROR(__xludf.DUMMYFUNCTION("""COMPUTED_VALUE"""),45728.58003472222)</f>
        <v>45728.58003</v>
      </c>
      <c r="B34" s="2" t="str">
        <f>IFERROR(__xludf.DUMMYFUNCTION("""COMPUTED_VALUE"""),"March")</f>
        <v>March</v>
      </c>
      <c r="C34" s="3">
        <f>IFERROR(__xludf.DUMMYFUNCTION("""COMPUTED_VALUE"""),702957.0)</f>
        <v>702957</v>
      </c>
      <c r="D34" s="2" t="str">
        <f>IFERROR(__xludf.DUMMYFUNCTION("""COMPUTED_VALUE"""),"MNN16")</f>
        <v>MNN16</v>
      </c>
      <c r="E34" s="2" t="str">
        <f>IFERROR(__xludf.DUMMYFUNCTION("""COMPUTED_VALUE"""),"Imported from file DigiZag Bidding Codes.xlsx")</f>
        <v>Imported from file DigiZag Bidding Codes.xlsx</v>
      </c>
      <c r="F34" s="2" t="str">
        <f>IFERROR(__xludf.DUMMYFUNCTION("""COMPUTED_VALUE"""),"WVN101167")</f>
        <v>WVN101167</v>
      </c>
      <c r="G34" s="2" t="str">
        <f>IFERROR(__xludf.DUMMYFUNCTION("""COMPUTED_VALUE"""),"Kingdom of Saudi Arabia")</f>
        <v>Kingdom of Saudi Arabia</v>
      </c>
      <c r="H34" s="4">
        <f>IFERROR(__xludf.DUMMYFUNCTION("""COMPUTED_VALUE"""),238.22)</f>
        <v>238.22</v>
      </c>
      <c r="I34" s="3">
        <f>IFERROR(__xludf.DUMMYFUNCTION("""COMPUTED_VALUE"""),0.0)</f>
        <v>0</v>
      </c>
      <c r="J34" s="4">
        <f>IFERROR(__xludf.DUMMYFUNCTION("""COMPUTED_VALUE"""),23.82)</f>
        <v>23.82</v>
      </c>
      <c r="K34" s="2"/>
      <c r="L34" s="2" t="str">
        <f>IFERROR(__xludf.DUMMYFUNCTION("""COMPUTED_VALUE"""),"Delivered")</f>
        <v>Delivered</v>
      </c>
      <c r="M34" s="2" t="str">
        <f>IFERROR(__xludf.DUMMYFUNCTION("""COMPUTED_VALUE"""),"SR")</f>
        <v>SR</v>
      </c>
      <c r="N34" s="2" t="str">
        <f>IFERROR(__xludf.DUMMYFUNCTION("""COMPUTED_VALUE"""),"Credit, Debit, Apple Pay")</f>
        <v>Credit, Debit, Apple Pay</v>
      </c>
      <c r="O34" s="4">
        <f>IFERROR(__xludf.DUMMYFUNCTION("""COMPUTED_VALUE"""),0.0)</f>
        <v>0</v>
      </c>
      <c r="P34" s="2">
        <f>IFERROR(__xludf.DUMMYFUNCTION("""COMPUTED_VALUE"""),12.0)</f>
        <v>12</v>
      </c>
      <c r="Q34" s="2">
        <f>IFERROR(__xludf.DUMMYFUNCTION("""COMPUTED_VALUE"""),3.0)</f>
        <v>3</v>
      </c>
      <c r="R34" s="2">
        <f>IFERROR(__xludf.DUMMYFUNCTION("""COMPUTED_VALUE"""),2025.0)</f>
        <v>2025</v>
      </c>
      <c r="S34" s="2" t="str">
        <f>IFERROR(__xludf.DUMMYFUNCTION("""COMPUTED_VALUE"""),"Digizag")</f>
        <v>Digizag</v>
      </c>
      <c r="T34" s="2" t="str">
        <f>IFERROR(__xludf.DUMMYFUNCTION("""COMPUTED_VALUE"""),"Digizag")</f>
        <v>Digizag</v>
      </c>
      <c r="U34" s="5">
        <f>IFERROR(__xludf.DUMMYFUNCTION("""COMPUTED_VALUE"""),63.52042107812001)</f>
        <v>63.52042108</v>
      </c>
      <c r="V34" s="2"/>
      <c r="W34" s="2"/>
      <c r="X34" s="2"/>
      <c r="Y34" s="2"/>
      <c r="Z34" s="2"/>
    </row>
    <row r="35">
      <c r="A35" s="6">
        <f>IFERROR(__xludf.DUMMYFUNCTION("""COMPUTED_VALUE"""),45728.61754629629)</f>
        <v>45728.61755</v>
      </c>
      <c r="B35" s="2" t="str">
        <f>IFERROR(__xludf.DUMMYFUNCTION("""COMPUTED_VALUE"""),"March")</f>
        <v>March</v>
      </c>
      <c r="C35" s="3">
        <f>IFERROR(__xludf.DUMMYFUNCTION("""COMPUTED_VALUE"""),702971.0)</f>
        <v>702971</v>
      </c>
      <c r="D35" s="2" t="str">
        <f>IFERROR(__xludf.DUMMYFUNCTION("""COMPUTED_VALUE"""),"DB1")</f>
        <v>DB1</v>
      </c>
      <c r="E35" s="2" t="str">
        <f>IFERROR(__xludf.DUMMYFUNCTION("""COMPUTED_VALUE"""),"Imported from file Digizag.xlsx")</f>
        <v>Imported from file Digizag.xlsx</v>
      </c>
      <c r="F35" s="2" t="str">
        <f>IFERROR(__xludf.DUMMYFUNCTION("""COMPUTED_VALUE"""),"VCX545027")</f>
        <v>VCX545027</v>
      </c>
      <c r="G35" s="2" t="str">
        <f>IFERROR(__xludf.DUMMYFUNCTION("""COMPUTED_VALUE"""),"Kingdom of Saudi Arabia")</f>
        <v>Kingdom of Saudi Arabia</v>
      </c>
      <c r="H35" s="4">
        <f>IFERROR(__xludf.DUMMYFUNCTION("""COMPUTED_VALUE"""),231.28)</f>
        <v>231.28</v>
      </c>
      <c r="I35" s="3">
        <f>IFERROR(__xludf.DUMMYFUNCTION("""COMPUTED_VALUE"""),0.0)</f>
        <v>0</v>
      </c>
      <c r="J35" s="4">
        <f>IFERROR(__xludf.DUMMYFUNCTION("""COMPUTED_VALUE"""),23.12)</f>
        <v>23.12</v>
      </c>
      <c r="K35" s="2"/>
      <c r="L35" s="2" t="str">
        <f>IFERROR(__xludf.DUMMYFUNCTION("""COMPUTED_VALUE"""),"Delivered")</f>
        <v>Delivered</v>
      </c>
      <c r="M35" s="2" t="str">
        <f>IFERROR(__xludf.DUMMYFUNCTION("""COMPUTED_VALUE"""),"SR")</f>
        <v>SR</v>
      </c>
      <c r="N35" s="2" t="str">
        <f>IFERROR(__xludf.DUMMYFUNCTION("""COMPUTED_VALUE"""),"Credit, Debit, Apple Pay")</f>
        <v>Credit, Debit, Apple Pay</v>
      </c>
      <c r="O35" s="4">
        <f>IFERROR(__xludf.DUMMYFUNCTION("""COMPUTED_VALUE"""),0.0)</f>
        <v>0</v>
      </c>
      <c r="P35" s="2">
        <f>IFERROR(__xludf.DUMMYFUNCTION("""COMPUTED_VALUE"""),12.0)</f>
        <v>12</v>
      </c>
      <c r="Q35" s="2">
        <f>IFERROR(__xludf.DUMMYFUNCTION("""COMPUTED_VALUE"""),3.0)</f>
        <v>3</v>
      </c>
      <c r="R35" s="2">
        <f>IFERROR(__xludf.DUMMYFUNCTION("""COMPUTED_VALUE"""),2025.0)</f>
        <v>2025</v>
      </c>
      <c r="S35" s="2" t="str">
        <f>IFERROR(__xludf.DUMMYFUNCTION("""COMPUTED_VALUE"""),"Digizag")</f>
        <v>Digizag</v>
      </c>
      <c r="T35" s="2" t="str">
        <f>IFERROR(__xludf.DUMMYFUNCTION("""COMPUTED_VALUE"""),"Digizag")</f>
        <v>Digizag</v>
      </c>
      <c r="U35" s="5">
        <f>IFERROR(__xludf.DUMMYFUNCTION("""COMPUTED_VALUE"""),61.669897518880006)</f>
        <v>61.66989752</v>
      </c>
      <c r="V35" s="2"/>
      <c r="W35" s="2"/>
      <c r="X35" s="2"/>
      <c r="Y35" s="2"/>
      <c r="Z35" s="2"/>
    </row>
    <row r="36">
      <c r="A36" s="6">
        <f>IFERROR(__xludf.DUMMYFUNCTION("""COMPUTED_VALUE"""),45728.77849537037)</f>
        <v>45728.7785</v>
      </c>
      <c r="B36" s="2" t="str">
        <f>IFERROR(__xludf.DUMMYFUNCTION("""COMPUTED_VALUE"""),"March")</f>
        <v>March</v>
      </c>
      <c r="C36" s="3">
        <f>IFERROR(__xludf.DUMMYFUNCTION("""COMPUTED_VALUE"""),229175.0)</f>
        <v>229175</v>
      </c>
      <c r="D36" s="2" t="str">
        <f>IFERROR(__xludf.DUMMYFUNCTION("""COMPUTED_VALUE"""),"MIMI44")</f>
        <v>MIMI44</v>
      </c>
      <c r="E36" s="2" t="str">
        <f>IFERROR(__xludf.DUMMYFUNCTION("""COMPUTED_VALUE"""),"Imported from file DigiZag Codes 25Feb25.xlsx")</f>
        <v>Imported from file DigiZag Codes 25Feb25.xlsx</v>
      </c>
      <c r="F36" s="2" t="str">
        <f>IFERROR(__xludf.DUMMYFUNCTION("""COMPUTED_VALUE"""),"HYM104917")</f>
        <v>HYM104917</v>
      </c>
      <c r="G36" s="2" t="str">
        <f>IFERROR(__xludf.DUMMYFUNCTION("""COMPUTED_VALUE"""),"Kuwait")</f>
        <v>Kuwait</v>
      </c>
      <c r="H36" s="4">
        <f>IFERROR(__xludf.DUMMYFUNCTION("""COMPUTED_VALUE"""),15.25)</f>
        <v>15.25</v>
      </c>
      <c r="I36" s="3">
        <f>IFERROR(__xludf.DUMMYFUNCTION("""COMPUTED_VALUE"""),0.0)</f>
        <v>0</v>
      </c>
      <c r="J36" s="4">
        <f>IFERROR(__xludf.DUMMYFUNCTION("""COMPUTED_VALUE"""),1.525)</f>
        <v>1.525</v>
      </c>
      <c r="K36" s="2"/>
      <c r="L36" s="2" t="str">
        <f>IFERROR(__xludf.DUMMYFUNCTION("""COMPUTED_VALUE"""),"Delivered")</f>
        <v>Delivered</v>
      </c>
      <c r="M36" s="2" t="str">
        <f>IFERROR(__xludf.DUMMYFUNCTION("""COMPUTED_VALUE"""),"KD")</f>
        <v>KD</v>
      </c>
      <c r="N36" s="2" t="str">
        <f>IFERROR(__xludf.DUMMYFUNCTION("""COMPUTED_VALUE"""),"Credit, Debit, Knet")</f>
        <v>Credit, Debit, Knet</v>
      </c>
      <c r="O36" s="4">
        <f>IFERROR(__xludf.DUMMYFUNCTION("""COMPUTED_VALUE"""),0.0)</f>
        <v>0</v>
      </c>
      <c r="P36" s="2">
        <f>IFERROR(__xludf.DUMMYFUNCTION("""COMPUTED_VALUE"""),12.0)</f>
        <v>12</v>
      </c>
      <c r="Q36" s="2">
        <f>IFERROR(__xludf.DUMMYFUNCTION("""COMPUTED_VALUE"""),3.0)</f>
        <v>3</v>
      </c>
      <c r="R36" s="2">
        <f>IFERROR(__xludf.DUMMYFUNCTION("""COMPUTED_VALUE"""),2025.0)</f>
        <v>2025</v>
      </c>
      <c r="S36" s="2" t="str">
        <f>IFERROR(__xludf.DUMMYFUNCTION("""COMPUTED_VALUE"""),"Digizag")</f>
        <v>Digizag</v>
      </c>
      <c r="T36" s="2" t="str">
        <f>IFERROR(__xludf.DUMMYFUNCTION("""COMPUTED_VALUE"""),"Digizag")</f>
        <v>Digizag</v>
      </c>
      <c r="U36" s="5">
        <f>IFERROR(__xludf.DUMMYFUNCTION("""COMPUTED_VALUE"""),49.724455)</f>
        <v>49.724455</v>
      </c>
      <c r="V36" s="2"/>
      <c r="W36" s="2"/>
      <c r="X36" s="2"/>
      <c r="Y36" s="2"/>
      <c r="Z36" s="2"/>
    </row>
    <row r="37">
      <c r="A37" s="6">
        <f>IFERROR(__xludf.DUMMYFUNCTION("""COMPUTED_VALUE"""),45728.81733796296)</f>
        <v>45728.81734</v>
      </c>
      <c r="B37" s="2" t="str">
        <f>IFERROR(__xludf.DUMMYFUNCTION("""COMPUTED_VALUE"""),"March")</f>
        <v>March</v>
      </c>
      <c r="C37" s="3">
        <f>IFERROR(__xludf.DUMMYFUNCTION("""COMPUTED_VALUE"""),703120.0)</f>
        <v>703120</v>
      </c>
      <c r="D37" s="2" t="str">
        <f>IFERROR(__xludf.DUMMYFUNCTION("""COMPUTED_VALUE"""),"MNN16")</f>
        <v>MNN16</v>
      </c>
      <c r="E37" s="2" t="str">
        <f>IFERROR(__xludf.DUMMYFUNCTION("""COMPUTED_VALUE"""),"Imported from file DigiZag Codes 25Feb25.xlsx")</f>
        <v>Imported from file DigiZag Codes 25Feb25.xlsx</v>
      </c>
      <c r="F37" s="2" t="str">
        <f>IFERROR(__xludf.DUMMYFUNCTION("""COMPUTED_VALUE"""),"WXR190217")</f>
        <v>WXR190217</v>
      </c>
      <c r="G37" s="2" t="str">
        <f>IFERROR(__xludf.DUMMYFUNCTION("""COMPUTED_VALUE"""),"Bahrain")</f>
        <v>Bahrain</v>
      </c>
      <c r="H37" s="4">
        <f>IFERROR(__xludf.DUMMYFUNCTION("""COMPUTED_VALUE"""),22.93)</f>
        <v>22.93</v>
      </c>
      <c r="I37" s="3">
        <f>IFERROR(__xludf.DUMMYFUNCTION("""COMPUTED_VALUE"""),0.0)</f>
        <v>0</v>
      </c>
      <c r="J37" s="4">
        <f>IFERROR(__xludf.DUMMYFUNCTION("""COMPUTED_VALUE"""),2.29)</f>
        <v>2.29</v>
      </c>
      <c r="K37" s="2"/>
      <c r="L37" s="2" t="str">
        <f>IFERROR(__xludf.DUMMYFUNCTION("""COMPUTED_VALUE"""),"Delivered")</f>
        <v>Delivered</v>
      </c>
      <c r="M37" s="2" t="str">
        <f>IFERROR(__xludf.DUMMYFUNCTION("""COMPUTED_VALUE"""),"BHD")</f>
        <v>BHD</v>
      </c>
      <c r="N37" s="2" t="str">
        <f>IFERROR(__xludf.DUMMYFUNCTION("""COMPUTED_VALUE"""),"Cash")</f>
        <v>Cash</v>
      </c>
      <c r="O37" s="4">
        <f>IFERROR(__xludf.DUMMYFUNCTION("""COMPUTED_VALUE"""),0.0)</f>
        <v>0</v>
      </c>
      <c r="P37" s="2">
        <f>IFERROR(__xludf.DUMMYFUNCTION("""COMPUTED_VALUE"""),12.0)</f>
        <v>12</v>
      </c>
      <c r="Q37" s="2">
        <f>IFERROR(__xludf.DUMMYFUNCTION("""COMPUTED_VALUE"""),3.0)</f>
        <v>3</v>
      </c>
      <c r="R37" s="2">
        <f>IFERROR(__xludf.DUMMYFUNCTION("""COMPUTED_VALUE"""),2025.0)</f>
        <v>2025</v>
      </c>
      <c r="S37" s="2" t="str">
        <f>IFERROR(__xludf.DUMMYFUNCTION("""COMPUTED_VALUE"""),"Digizag")</f>
        <v>Digizag</v>
      </c>
      <c r="T37" s="2" t="str">
        <f>IFERROR(__xludf.DUMMYFUNCTION("""COMPUTED_VALUE"""),"Digizag")</f>
        <v>Digizag</v>
      </c>
      <c r="U37" s="5">
        <f>IFERROR(__xludf.DUMMYFUNCTION("""COMPUTED_VALUE"""),60.83138681)</f>
        <v>60.83138681</v>
      </c>
      <c r="V37" s="2"/>
      <c r="W37" s="2"/>
      <c r="X37" s="2"/>
      <c r="Y37" s="2"/>
      <c r="Z37" s="2"/>
    </row>
    <row r="38">
      <c r="A38" s="6">
        <f>IFERROR(__xludf.DUMMYFUNCTION("""COMPUTED_VALUE"""),45729.3262037037)</f>
        <v>45729.3262</v>
      </c>
      <c r="B38" s="2" t="str">
        <f>IFERROR(__xludf.DUMMYFUNCTION("""COMPUTED_VALUE"""),"March")</f>
        <v>March</v>
      </c>
      <c r="C38" s="3">
        <f>IFERROR(__xludf.DUMMYFUNCTION("""COMPUTED_VALUE"""),34200.0)</f>
        <v>34200</v>
      </c>
      <c r="D38" s="2" t="str">
        <f>IFERROR(__xludf.DUMMYFUNCTION("""COMPUTED_VALUE"""),"MIMI44")</f>
        <v>MIMI44</v>
      </c>
      <c r="E38" s="2" t="str">
        <f>IFERROR(__xludf.DUMMYFUNCTION("""COMPUTED_VALUE"""),"Imported from file DigiZag Codes 25Feb25.xlsx")</f>
        <v>Imported from file DigiZag Codes 25Feb25.xlsx</v>
      </c>
      <c r="F38" s="2" t="str">
        <f>IFERROR(__xludf.DUMMYFUNCTION("""COMPUTED_VALUE"""),"ZLV359982")</f>
        <v>ZLV359982</v>
      </c>
      <c r="G38" s="2" t="str">
        <f>IFERROR(__xludf.DUMMYFUNCTION("""COMPUTED_VALUE"""),"Kuwait")</f>
        <v>Kuwait</v>
      </c>
      <c r="H38" s="4">
        <f>IFERROR(__xludf.DUMMYFUNCTION("""COMPUTED_VALUE"""),20.65)</f>
        <v>20.65</v>
      </c>
      <c r="I38" s="3">
        <f>IFERROR(__xludf.DUMMYFUNCTION("""COMPUTED_VALUE"""),0.0)</f>
        <v>0</v>
      </c>
      <c r="J38" s="4">
        <f>IFERROR(__xludf.DUMMYFUNCTION("""COMPUTED_VALUE"""),2.065)</f>
        <v>2.065</v>
      </c>
      <c r="K38" s="2"/>
      <c r="L38" s="2" t="str">
        <f>IFERROR(__xludf.DUMMYFUNCTION("""COMPUTED_VALUE"""),"Delivered")</f>
        <v>Delivered</v>
      </c>
      <c r="M38" s="2" t="str">
        <f>IFERROR(__xludf.DUMMYFUNCTION("""COMPUTED_VALUE"""),"KD")</f>
        <v>KD</v>
      </c>
      <c r="N38" s="2" t="str">
        <f>IFERROR(__xludf.DUMMYFUNCTION("""COMPUTED_VALUE"""),"Credit, Debit, Knet")</f>
        <v>Credit, Debit, Knet</v>
      </c>
      <c r="O38" s="4">
        <f>IFERROR(__xludf.DUMMYFUNCTION("""COMPUTED_VALUE"""),0.0)</f>
        <v>0</v>
      </c>
      <c r="P38" s="2">
        <f>IFERROR(__xludf.DUMMYFUNCTION("""COMPUTED_VALUE"""),13.0)</f>
        <v>13</v>
      </c>
      <c r="Q38" s="2">
        <f>IFERROR(__xludf.DUMMYFUNCTION("""COMPUTED_VALUE"""),3.0)</f>
        <v>3</v>
      </c>
      <c r="R38" s="2">
        <f>IFERROR(__xludf.DUMMYFUNCTION("""COMPUTED_VALUE"""),2025.0)</f>
        <v>2025</v>
      </c>
      <c r="S38" s="2" t="str">
        <f>IFERROR(__xludf.DUMMYFUNCTION("""COMPUTED_VALUE"""),"Digizag")</f>
        <v>Digizag</v>
      </c>
      <c r="T38" s="2" t="str">
        <f>IFERROR(__xludf.DUMMYFUNCTION("""COMPUTED_VALUE"""),"Digizag")</f>
        <v>Digizag</v>
      </c>
      <c r="U38" s="5">
        <f>IFERROR(__xludf.DUMMYFUNCTION("""COMPUTED_VALUE"""),67.331803)</f>
        <v>67.331803</v>
      </c>
      <c r="V38" s="2"/>
      <c r="W38" s="2"/>
      <c r="X38" s="2"/>
      <c r="Y38" s="2"/>
      <c r="Z38" s="2"/>
    </row>
    <row r="39">
      <c r="A39" s="6">
        <f>IFERROR(__xludf.DUMMYFUNCTION("""COMPUTED_VALUE"""),45729.342199074075)</f>
        <v>45729.3422</v>
      </c>
      <c r="B39" s="2" t="str">
        <f>IFERROR(__xludf.DUMMYFUNCTION("""COMPUTED_VALUE"""),"March")</f>
        <v>March</v>
      </c>
      <c r="C39" s="3">
        <f>IFERROR(__xludf.DUMMYFUNCTION("""COMPUTED_VALUE"""),702215.0)</f>
        <v>702215</v>
      </c>
      <c r="D39" s="2" t="str">
        <f>IFERROR(__xludf.DUMMYFUNCTION("""COMPUTED_VALUE"""),"DB1")</f>
        <v>DB1</v>
      </c>
      <c r="E39" s="2" t="str">
        <f>IFERROR(__xludf.DUMMYFUNCTION("""COMPUTED_VALUE"""),"Imported from file Digizag.xlsx")</f>
        <v>Imported from file Digizag.xlsx</v>
      </c>
      <c r="F39" s="2" t="str">
        <f>IFERROR(__xludf.DUMMYFUNCTION("""COMPUTED_VALUE"""),"HNG656860")</f>
        <v>HNG656860</v>
      </c>
      <c r="G39" s="2" t="str">
        <f>IFERROR(__xludf.DUMMYFUNCTION("""COMPUTED_VALUE"""),"Kuwait")</f>
        <v>Kuwait</v>
      </c>
      <c r="H39" s="4">
        <f>IFERROR(__xludf.DUMMYFUNCTION("""COMPUTED_VALUE"""),8.17)</f>
        <v>8.17</v>
      </c>
      <c r="I39" s="3">
        <f>IFERROR(__xludf.DUMMYFUNCTION("""COMPUTED_VALUE"""),0.0)</f>
        <v>0</v>
      </c>
      <c r="J39" s="4">
        <f>IFERROR(__xludf.DUMMYFUNCTION("""COMPUTED_VALUE"""),0.817)</f>
        <v>0.817</v>
      </c>
      <c r="K39" s="2"/>
      <c r="L39" s="2" t="str">
        <f>IFERROR(__xludf.DUMMYFUNCTION("""COMPUTED_VALUE"""),"Delivered")</f>
        <v>Delivered</v>
      </c>
      <c r="M39" s="2" t="str">
        <f>IFERROR(__xludf.DUMMYFUNCTION("""COMPUTED_VALUE"""),"KD")</f>
        <v>KD</v>
      </c>
      <c r="N39" s="2" t="str">
        <f>IFERROR(__xludf.DUMMYFUNCTION("""COMPUTED_VALUE"""),"Credit, Debit, Knet")</f>
        <v>Credit, Debit, Knet</v>
      </c>
      <c r="O39" s="4">
        <f>IFERROR(__xludf.DUMMYFUNCTION("""COMPUTED_VALUE"""),0.0)</f>
        <v>0</v>
      </c>
      <c r="P39" s="2">
        <f>IFERROR(__xludf.DUMMYFUNCTION("""COMPUTED_VALUE"""),13.0)</f>
        <v>13</v>
      </c>
      <c r="Q39" s="2">
        <f>IFERROR(__xludf.DUMMYFUNCTION("""COMPUTED_VALUE"""),3.0)</f>
        <v>3</v>
      </c>
      <c r="R39" s="2">
        <f>IFERROR(__xludf.DUMMYFUNCTION("""COMPUTED_VALUE"""),2025.0)</f>
        <v>2025</v>
      </c>
      <c r="S39" s="2" t="str">
        <f>IFERROR(__xludf.DUMMYFUNCTION("""COMPUTED_VALUE"""),"Digizag")</f>
        <v>Digizag</v>
      </c>
      <c r="T39" s="2" t="str">
        <f>IFERROR(__xludf.DUMMYFUNCTION("""COMPUTED_VALUE"""),"Digizag")</f>
        <v>Digizag</v>
      </c>
      <c r="U39" s="5">
        <f>IFERROR(__xludf.DUMMYFUNCTION("""COMPUTED_VALUE"""),26.6392654)</f>
        <v>26.6392654</v>
      </c>
      <c r="V39" s="2"/>
      <c r="W39" s="2"/>
      <c r="X39" s="2"/>
      <c r="Y39" s="2"/>
      <c r="Z39" s="2"/>
    </row>
    <row r="40">
      <c r="A40" s="6">
        <f>IFERROR(__xludf.DUMMYFUNCTION("""COMPUTED_VALUE"""),45729.40993055555)</f>
        <v>45729.40993</v>
      </c>
      <c r="B40" s="2" t="str">
        <f>IFERROR(__xludf.DUMMYFUNCTION("""COMPUTED_VALUE"""),"March")</f>
        <v>March</v>
      </c>
      <c r="C40" s="3">
        <f>IFERROR(__xludf.DUMMYFUNCTION("""COMPUTED_VALUE"""),146728.0)</f>
        <v>146728</v>
      </c>
      <c r="D40" s="2" t="str">
        <f>IFERROR(__xludf.DUMMYFUNCTION("""COMPUTED_VALUE"""),"DB1")</f>
        <v>DB1</v>
      </c>
      <c r="E40" s="2" t="str">
        <f>IFERROR(__xludf.DUMMYFUNCTION("""COMPUTED_VALUE"""),"Imported from file Digizag.xlsx")</f>
        <v>Imported from file Digizag.xlsx</v>
      </c>
      <c r="F40" s="2" t="str">
        <f>IFERROR(__xludf.DUMMYFUNCTION("""COMPUTED_VALUE"""),"TUM709755")</f>
        <v>TUM709755</v>
      </c>
      <c r="G40" s="2" t="str">
        <f>IFERROR(__xludf.DUMMYFUNCTION("""COMPUTED_VALUE"""),"Kingdom of Saudi Arabia")</f>
        <v>Kingdom of Saudi Arabia</v>
      </c>
      <c r="H40" s="4">
        <f>IFERROR(__xludf.DUMMYFUNCTION("""COMPUTED_VALUE"""),484.71)</f>
        <v>484.71</v>
      </c>
      <c r="I40" s="3">
        <f>IFERROR(__xludf.DUMMYFUNCTION("""COMPUTED_VALUE"""),0.0)</f>
        <v>0</v>
      </c>
      <c r="J40" s="4">
        <f>IFERROR(__xludf.DUMMYFUNCTION("""COMPUTED_VALUE"""),48.46)</f>
        <v>48.46</v>
      </c>
      <c r="K40" s="2"/>
      <c r="L40" s="2" t="str">
        <f>IFERROR(__xludf.DUMMYFUNCTION("""COMPUTED_VALUE"""),"Delivered")</f>
        <v>Delivered</v>
      </c>
      <c r="M40" s="2" t="str">
        <f>IFERROR(__xludf.DUMMYFUNCTION("""COMPUTED_VALUE"""),"SR")</f>
        <v>SR</v>
      </c>
      <c r="N40" s="2" t="str">
        <f>IFERROR(__xludf.DUMMYFUNCTION("""COMPUTED_VALUE"""),"Credit, Debit, Apple Pay")</f>
        <v>Credit, Debit, Apple Pay</v>
      </c>
      <c r="O40" s="4">
        <f>IFERROR(__xludf.DUMMYFUNCTION("""COMPUTED_VALUE"""),0.0)</f>
        <v>0</v>
      </c>
      <c r="P40" s="2">
        <f>IFERROR(__xludf.DUMMYFUNCTION("""COMPUTED_VALUE"""),13.0)</f>
        <v>13</v>
      </c>
      <c r="Q40" s="2">
        <f>IFERROR(__xludf.DUMMYFUNCTION("""COMPUTED_VALUE"""),3.0)</f>
        <v>3</v>
      </c>
      <c r="R40" s="2">
        <f>IFERROR(__xludf.DUMMYFUNCTION("""COMPUTED_VALUE"""),2025.0)</f>
        <v>2025</v>
      </c>
      <c r="S40" s="2" t="str">
        <f>IFERROR(__xludf.DUMMYFUNCTION("""COMPUTED_VALUE"""),"Digizag")</f>
        <v>Digizag</v>
      </c>
      <c r="T40" s="2" t="str">
        <f>IFERROR(__xludf.DUMMYFUNCTION("""COMPUTED_VALUE"""),"Digizag")</f>
        <v>Digizag</v>
      </c>
      <c r="U40" s="5">
        <f>IFERROR(__xludf.DUMMYFUNCTION("""COMPUTED_VALUE"""),129.24600495666002)</f>
        <v>129.246005</v>
      </c>
      <c r="V40" s="2"/>
      <c r="W40" s="2"/>
      <c r="X40" s="2"/>
      <c r="Y40" s="2"/>
      <c r="Z40" s="2"/>
    </row>
    <row r="41">
      <c r="A41" s="6">
        <f>IFERROR(__xludf.DUMMYFUNCTION("""COMPUTED_VALUE"""),45729.73924768518)</f>
        <v>45729.73925</v>
      </c>
      <c r="B41" s="2" t="str">
        <f>IFERROR(__xludf.DUMMYFUNCTION("""COMPUTED_VALUE"""),"March")</f>
        <v>March</v>
      </c>
      <c r="C41" s="3">
        <f>IFERROR(__xludf.DUMMYFUNCTION("""COMPUTED_VALUE"""),11742.0)</f>
        <v>11742</v>
      </c>
      <c r="D41" s="2" t="str">
        <f>IFERROR(__xludf.DUMMYFUNCTION("""COMPUTED_VALUE"""),"DB1")</f>
        <v>DB1</v>
      </c>
      <c r="E41" s="2" t="str">
        <f>IFERROR(__xludf.DUMMYFUNCTION("""COMPUTED_VALUE"""),"Imported from file Digizag.xlsx")</f>
        <v>Imported from file Digizag.xlsx</v>
      </c>
      <c r="F41" s="2" t="str">
        <f>IFERROR(__xludf.DUMMYFUNCTION("""COMPUTED_VALUE"""),"UTJ542814")</f>
        <v>UTJ542814</v>
      </c>
      <c r="G41" s="2" t="str">
        <f>IFERROR(__xludf.DUMMYFUNCTION("""COMPUTED_VALUE"""),"Kuwait")</f>
        <v>Kuwait</v>
      </c>
      <c r="H41" s="4">
        <f>IFERROR(__xludf.DUMMYFUNCTION("""COMPUTED_VALUE"""),23.6)</f>
        <v>23.6</v>
      </c>
      <c r="I41" s="3">
        <f>IFERROR(__xludf.DUMMYFUNCTION("""COMPUTED_VALUE"""),0.0)</f>
        <v>0</v>
      </c>
      <c r="J41" s="4">
        <f>IFERROR(__xludf.DUMMYFUNCTION("""COMPUTED_VALUE"""),2.36)</f>
        <v>2.36</v>
      </c>
      <c r="K41" s="2"/>
      <c r="L41" s="2" t="str">
        <f>IFERROR(__xludf.DUMMYFUNCTION("""COMPUTED_VALUE"""),"Delivered")</f>
        <v>Delivered</v>
      </c>
      <c r="M41" s="2" t="str">
        <f>IFERROR(__xludf.DUMMYFUNCTION("""COMPUTED_VALUE"""),"KD")</f>
        <v>KD</v>
      </c>
      <c r="N41" s="2" t="str">
        <f>IFERROR(__xludf.DUMMYFUNCTION("""COMPUTED_VALUE"""),"Credit, Debit, Knet")</f>
        <v>Credit, Debit, Knet</v>
      </c>
      <c r="O41" s="4">
        <f>IFERROR(__xludf.DUMMYFUNCTION("""COMPUTED_VALUE"""),0.0)</f>
        <v>0</v>
      </c>
      <c r="P41" s="2">
        <f>IFERROR(__xludf.DUMMYFUNCTION("""COMPUTED_VALUE"""),13.0)</f>
        <v>13</v>
      </c>
      <c r="Q41" s="2">
        <f>IFERROR(__xludf.DUMMYFUNCTION("""COMPUTED_VALUE"""),3.0)</f>
        <v>3</v>
      </c>
      <c r="R41" s="2">
        <f>IFERROR(__xludf.DUMMYFUNCTION("""COMPUTED_VALUE"""),2025.0)</f>
        <v>2025</v>
      </c>
      <c r="S41" s="2" t="str">
        <f>IFERROR(__xludf.DUMMYFUNCTION("""COMPUTED_VALUE"""),"Digizag")</f>
        <v>Digizag</v>
      </c>
      <c r="T41" s="2" t="str">
        <f>IFERROR(__xludf.DUMMYFUNCTION("""COMPUTED_VALUE"""),"Digizag")</f>
        <v>Digizag</v>
      </c>
      <c r="U41" s="5">
        <f>IFERROR(__xludf.DUMMYFUNCTION("""COMPUTED_VALUE"""),76.950632)</f>
        <v>76.950632</v>
      </c>
      <c r="V41" s="2"/>
      <c r="W41" s="2"/>
      <c r="X41" s="2"/>
      <c r="Y41" s="2"/>
      <c r="Z41" s="2"/>
    </row>
    <row r="42">
      <c r="A42" s="6">
        <f>IFERROR(__xludf.DUMMYFUNCTION("""COMPUTED_VALUE"""),45729.95770833333)</f>
        <v>45729.95771</v>
      </c>
      <c r="B42" s="2" t="str">
        <f>IFERROR(__xludf.DUMMYFUNCTION("""COMPUTED_VALUE"""),"March")</f>
        <v>March</v>
      </c>
      <c r="C42" s="3">
        <f>IFERROR(__xludf.DUMMYFUNCTION("""COMPUTED_VALUE"""),703676.0)</f>
        <v>703676</v>
      </c>
      <c r="D42" s="2" t="str">
        <f>IFERROR(__xludf.DUMMYFUNCTION("""COMPUTED_VALUE"""),"MIMI44")</f>
        <v>MIMI44</v>
      </c>
      <c r="E42" s="2" t="str">
        <f>IFERROR(__xludf.DUMMYFUNCTION("""COMPUTED_VALUE"""),"Imported from file DigiZag Codes 25Feb25.xlsx")</f>
        <v>Imported from file DigiZag Codes 25Feb25.xlsx</v>
      </c>
      <c r="F42" s="2" t="str">
        <f>IFERROR(__xludf.DUMMYFUNCTION("""COMPUTED_VALUE"""),"VWK605468")</f>
        <v>VWK605468</v>
      </c>
      <c r="G42" s="2" t="str">
        <f>IFERROR(__xludf.DUMMYFUNCTION("""COMPUTED_VALUE"""),"Kuwait")</f>
        <v>Kuwait</v>
      </c>
      <c r="H42" s="4">
        <f>IFERROR(__xludf.DUMMYFUNCTION("""COMPUTED_VALUE"""),9.95)</f>
        <v>9.95</v>
      </c>
      <c r="I42" s="3">
        <f>IFERROR(__xludf.DUMMYFUNCTION("""COMPUTED_VALUE"""),0.0)</f>
        <v>0</v>
      </c>
      <c r="J42" s="4">
        <f>IFERROR(__xludf.DUMMYFUNCTION("""COMPUTED_VALUE"""),0.995)</f>
        <v>0.995</v>
      </c>
      <c r="K42" s="2"/>
      <c r="L42" s="2" t="str">
        <f>IFERROR(__xludf.DUMMYFUNCTION("""COMPUTED_VALUE"""),"Delivered")</f>
        <v>Delivered</v>
      </c>
      <c r="M42" s="2" t="str">
        <f>IFERROR(__xludf.DUMMYFUNCTION("""COMPUTED_VALUE"""),"KD")</f>
        <v>KD</v>
      </c>
      <c r="N42" s="2" t="str">
        <f>IFERROR(__xludf.DUMMYFUNCTION("""COMPUTED_VALUE"""),"Credit, Debit, Knet")</f>
        <v>Credit, Debit, Knet</v>
      </c>
      <c r="O42" s="4">
        <f>IFERROR(__xludf.DUMMYFUNCTION("""COMPUTED_VALUE"""),0.0)</f>
        <v>0</v>
      </c>
      <c r="P42" s="2">
        <f>IFERROR(__xludf.DUMMYFUNCTION("""COMPUTED_VALUE"""),13.0)</f>
        <v>13</v>
      </c>
      <c r="Q42" s="2">
        <f>IFERROR(__xludf.DUMMYFUNCTION("""COMPUTED_VALUE"""),3.0)</f>
        <v>3</v>
      </c>
      <c r="R42" s="2">
        <f>IFERROR(__xludf.DUMMYFUNCTION("""COMPUTED_VALUE"""),2025.0)</f>
        <v>2025</v>
      </c>
      <c r="S42" s="2" t="str">
        <f>IFERROR(__xludf.DUMMYFUNCTION("""COMPUTED_VALUE"""),"Digizag")</f>
        <v>Digizag</v>
      </c>
      <c r="T42" s="2" t="str">
        <f>IFERROR(__xludf.DUMMYFUNCTION("""COMPUTED_VALUE"""),"Digizag")</f>
        <v>Digizag</v>
      </c>
      <c r="U42" s="5">
        <f>IFERROR(__xludf.DUMMYFUNCTION("""COMPUTED_VALUE"""),32.443169)</f>
        <v>32.443169</v>
      </c>
      <c r="V42" s="2"/>
      <c r="W42" s="2"/>
      <c r="X42" s="2"/>
      <c r="Y42" s="2"/>
      <c r="Z42" s="2"/>
    </row>
    <row r="43">
      <c r="A43" s="6">
        <f>IFERROR(__xludf.DUMMYFUNCTION("""COMPUTED_VALUE"""),45729.994687499995)</f>
        <v>45729.99469</v>
      </c>
      <c r="B43" s="2" t="str">
        <f>IFERROR(__xludf.DUMMYFUNCTION("""COMPUTED_VALUE"""),"March")</f>
        <v>March</v>
      </c>
      <c r="C43" s="3">
        <f>IFERROR(__xludf.DUMMYFUNCTION("""COMPUTED_VALUE"""),211561.0)</f>
        <v>211561</v>
      </c>
      <c r="D43" s="2" t="str">
        <f>IFERROR(__xludf.DUMMYFUNCTION("""COMPUTED_VALUE"""),"DB3")</f>
        <v>DB3</v>
      </c>
      <c r="E43" s="2" t="str">
        <f>IFERROR(__xludf.DUMMYFUNCTION("""COMPUTED_VALUE"""),"Imported from file Digizag.xlsx")</f>
        <v>Imported from file Digizag.xlsx</v>
      </c>
      <c r="F43" s="2" t="str">
        <f>IFERROR(__xludf.DUMMYFUNCTION("""COMPUTED_VALUE"""),"RPY369663")</f>
        <v>RPY369663</v>
      </c>
      <c r="G43" s="2" t="str">
        <f>IFERROR(__xludf.DUMMYFUNCTION("""COMPUTED_VALUE"""),"Kingdom of Saudi Arabia")</f>
        <v>Kingdom of Saudi Arabia</v>
      </c>
      <c r="H43" s="4">
        <f>IFERROR(__xludf.DUMMYFUNCTION("""COMPUTED_VALUE"""),206.0)</f>
        <v>206</v>
      </c>
      <c r="I43" s="3">
        <f>IFERROR(__xludf.DUMMYFUNCTION("""COMPUTED_VALUE"""),0.0)</f>
        <v>0</v>
      </c>
      <c r="J43" s="4">
        <f>IFERROR(__xludf.DUMMYFUNCTION("""COMPUTED_VALUE"""),20.6)</f>
        <v>20.6</v>
      </c>
      <c r="K43" s="2"/>
      <c r="L43" s="2" t="str">
        <f>IFERROR(__xludf.DUMMYFUNCTION("""COMPUTED_VALUE"""),"Delivered")</f>
        <v>Delivered</v>
      </c>
      <c r="M43" s="2" t="str">
        <f>IFERROR(__xludf.DUMMYFUNCTION("""COMPUTED_VALUE"""),"SR")</f>
        <v>SR</v>
      </c>
      <c r="N43" s="2" t="str">
        <f>IFERROR(__xludf.DUMMYFUNCTION("""COMPUTED_VALUE"""),"Credit, Debit, Apple Pay")</f>
        <v>Credit, Debit, Apple Pay</v>
      </c>
      <c r="O43" s="4">
        <f>IFERROR(__xludf.DUMMYFUNCTION("""COMPUTED_VALUE"""),0.0)</f>
        <v>0</v>
      </c>
      <c r="P43" s="2">
        <f>IFERROR(__xludf.DUMMYFUNCTION("""COMPUTED_VALUE"""),13.0)</f>
        <v>13</v>
      </c>
      <c r="Q43" s="2">
        <f>IFERROR(__xludf.DUMMYFUNCTION("""COMPUTED_VALUE"""),3.0)</f>
        <v>3</v>
      </c>
      <c r="R43" s="2">
        <f>IFERROR(__xludf.DUMMYFUNCTION("""COMPUTED_VALUE"""),2025.0)</f>
        <v>2025</v>
      </c>
      <c r="S43" s="2" t="str">
        <f>IFERROR(__xludf.DUMMYFUNCTION("""COMPUTED_VALUE"""),"Digizag")</f>
        <v>Digizag</v>
      </c>
      <c r="T43" s="2" t="str">
        <f>IFERROR(__xludf.DUMMYFUNCTION("""COMPUTED_VALUE"""),"Digizag")</f>
        <v>Digizag</v>
      </c>
      <c r="U43" s="5">
        <f>IFERROR(__xludf.DUMMYFUNCTION("""COMPUTED_VALUE"""),54.929085476000004)</f>
        <v>54.92908548</v>
      </c>
      <c r="V43" s="2"/>
      <c r="W43" s="2"/>
      <c r="X43" s="2"/>
      <c r="Y43" s="2"/>
      <c r="Z43" s="2"/>
    </row>
    <row r="44">
      <c r="A44" s="6">
        <f>IFERROR(__xludf.DUMMYFUNCTION("""COMPUTED_VALUE"""),45730.24560185185)</f>
        <v>45730.2456</v>
      </c>
      <c r="B44" s="2" t="str">
        <f>IFERROR(__xludf.DUMMYFUNCTION("""COMPUTED_VALUE"""),"March")</f>
        <v>March</v>
      </c>
      <c r="C44" s="3">
        <f>IFERROR(__xludf.DUMMYFUNCTION("""COMPUTED_VALUE"""),5848.0)</f>
        <v>5848</v>
      </c>
      <c r="D44" s="2" t="str">
        <f>IFERROR(__xludf.DUMMYFUNCTION("""COMPUTED_VALUE"""),"MIMI44")</f>
        <v>MIMI44</v>
      </c>
      <c r="E44" s="2" t="str">
        <f>IFERROR(__xludf.DUMMYFUNCTION("""COMPUTED_VALUE"""),"Imported from file DigiZag Codes 25Feb25.xlsx")</f>
        <v>Imported from file DigiZag Codes 25Feb25.xlsx</v>
      </c>
      <c r="F44" s="2" t="str">
        <f>IFERROR(__xludf.DUMMYFUNCTION("""COMPUTED_VALUE"""),"JJU379037")</f>
        <v>JJU379037</v>
      </c>
      <c r="G44" s="2" t="str">
        <f>IFERROR(__xludf.DUMMYFUNCTION("""COMPUTED_VALUE"""),"UAE")</f>
        <v>UAE</v>
      </c>
      <c r="H44" s="4">
        <f>IFERROR(__xludf.DUMMYFUNCTION("""COMPUTED_VALUE"""),284.33)</f>
        <v>284.33</v>
      </c>
      <c r="I44" s="3">
        <f>IFERROR(__xludf.DUMMYFUNCTION("""COMPUTED_VALUE"""),0.0)</f>
        <v>0</v>
      </c>
      <c r="J44" s="4">
        <f>IFERROR(__xludf.DUMMYFUNCTION("""COMPUTED_VALUE"""),28.43)</f>
        <v>28.43</v>
      </c>
      <c r="K44" s="2"/>
      <c r="L44" s="2" t="str">
        <f>IFERROR(__xludf.DUMMYFUNCTION("""COMPUTED_VALUE"""),"Delivered")</f>
        <v>Delivered</v>
      </c>
      <c r="M44" s="2" t="str">
        <f>IFERROR(__xludf.DUMMYFUNCTION("""COMPUTED_VALUE"""),"AED")</f>
        <v>AED</v>
      </c>
      <c r="N44" s="2" t="str">
        <f>IFERROR(__xludf.DUMMYFUNCTION("""COMPUTED_VALUE"""),"Credit, Debit , Apple Pay")</f>
        <v>Credit, Debit , Apple Pay</v>
      </c>
      <c r="O44" s="4">
        <f>IFERROR(__xludf.DUMMYFUNCTION("""COMPUTED_VALUE"""),0.0)</f>
        <v>0</v>
      </c>
      <c r="P44" s="2">
        <f>IFERROR(__xludf.DUMMYFUNCTION("""COMPUTED_VALUE"""),14.0)</f>
        <v>14</v>
      </c>
      <c r="Q44" s="2">
        <f>IFERROR(__xludf.DUMMYFUNCTION("""COMPUTED_VALUE"""),3.0)</f>
        <v>3</v>
      </c>
      <c r="R44" s="2">
        <f>IFERROR(__xludf.DUMMYFUNCTION("""COMPUTED_VALUE"""),2025.0)</f>
        <v>2025</v>
      </c>
      <c r="S44" s="2" t="str">
        <f>IFERROR(__xludf.DUMMYFUNCTION("""COMPUTED_VALUE"""),"Digizag")</f>
        <v>Digizag</v>
      </c>
      <c r="T44" s="2" t="str">
        <f>IFERROR(__xludf.DUMMYFUNCTION("""COMPUTED_VALUE"""),"Digizag")</f>
        <v>Digizag</v>
      </c>
      <c r="U44" s="5">
        <f>IFERROR(__xludf.DUMMYFUNCTION("""COMPUTED_VALUE"""),77.42137519773999)</f>
        <v>77.4213752</v>
      </c>
      <c r="V44" s="2"/>
      <c r="W44" s="2"/>
      <c r="X44" s="2"/>
      <c r="Y44" s="2"/>
      <c r="Z44" s="2"/>
    </row>
    <row r="45">
      <c r="A45" s="6">
        <f>IFERROR(__xludf.DUMMYFUNCTION("""COMPUTED_VALUE"""),45730.33018518519)</f>
        <v>45730.33019</v>
      </c>
      <c r="B45" s="2" t="str">
        <f>IFERROR(__xludf.DUMMYFUNCTION("""COMPUTED_VALUE"""),"March")</f>
        <v>March</v>
      </c>
      <c r="C45" s="3">
        <f>IFERROR(__xludf.DUMMYFUNCTION("""COMPUTED_VALUE"""),703787.0)</f>
        <v>703787</v>
      </c>
      <c r="D45" s="2" t="str">
        <f>IFERROR(__xludf.DUMMYFUNCTION("""COMPUTED_VALUE"""),"MIMI44")</f>
        <v>MIMI44</v>
      </c>
      <c r="E45" s="2" t="str">
        <f>IFERROR(__xludf.DUMMYFUNCTION("""COMPUTED_VALUE"""),"Imported from file DigiZag Codes 25Feb25.xlsx")</f>
        <v>Imported from file DigiZag Codes 25Feb25.xlsx</v>
      </c>
      <c r="F45" s="2" t="str">
        <f>IFERROR(__xludf.DUMMYFUNCTION("""COMPUTED_VALUE"""),"QHD343678")</f>
        <v>QHD343678</v>
      </c>
      <c r="G45" s="2" t="str">
        <f>IFERROR(__xludf.DUMMYFUNCTION("""COMPUTED_VALUE"""),"UAE")</f>
        <v>UAE</v>
      </c>
      <c r="H45" s="4">
        <f>IFERROR(__xludf.DUMMYFUNCTION("""COMPUTED_VALUE"""),420.0)</f>
        <v>420</v>
      </c>
      <c r="I45" s="3">
        <f>IFERROR(__xludf.DUMMYFUNCTION("""COMPUTED_VALUE"""),0.0)</f>
        <v>0</v>
      </c>
      <c r="J45" s="4">
        <f>IFERROR(__xludf.DUMMYFUNCTION("""COMPUTED_VALUE"""),42.0)</f>
        <v>42</v>
      </c>
      <c r="K45" s="2"/>
      <c r="L45" s="2" t="str">
        <f>IFERROR(__xludf.DUMMYFUNCTION("""COMPUTED_VALUE"""),"Delivered")</f>
        <v>Delivered</v>
      </c>
      <c r="M45" s="2" t="str">
        <f>IFERROR(__xludf.DUMMYFUNCTION("""COMPUTED_VALUE"""),"AED")</f>
        <v>AED</v>
      </c>
      <c r="N45" s="2" t="str">
        <f>IFERROR(__xludf.DUMMYFUNCTION("""COMPUTED_VALUE"""),"Tamara: split in 3, interest-free")</f>
        <v>Tamara: split in 3, interest-free</v>
      </c>
      <c r="O45" s="4">
        <f>IFERROR(__xludf.DUMMYFUNCTION("""COMPUTED_VALUE"""),0.0)</f>
        <v>0</v>
      </c>
      <c r="P45" s="2">
        <f>IFERROR(__xludf.DUMMYFUNCTION("""COMPUTED_VALUE"""),14.0)</f>
        <v>14</v>
      </c>
      <c r="Q45" s="2">
        <f>IFERROR(__xludf.DUMMYFUNCTION("""COMPUTED_VALUE"""),3.0)</f>
        <v>3</v>
      </c>
      <c r="R45" s="2">
        <f>IFERROR(__xludf.DUMMYFUNCTION("""COMPUTED_VALUE"""),2025.0)</f>
        <v>2025</v>
      </c>
      <c r="S45" s="2" t="str">
        <f>IFERROR(__xludf.DUMMYFUNCTION("""COMPUTED_VALUE"""),"Digizag")</f>
        <v>Digizag</v>
      </c>
      <c r="T45" s="2" t="str">
        <f>IFERROR(__xludf.DUMMYFUNCTION("""COMPUTED_VALUE"""),"Digizag")</f>
        <v>Digizag</v>
      </c>
      <c r="U45" s="5">
        <f>IFERROR(__xludf.DUMMYFUNCTION("""COMPUTED_VALUE"""),114.36351275999999)</f>
        <v>114.3635128</v>
      </c>
      <c r="V45" s="2"/>
      <c r="W45" s="2"/>
      <c r="X45" s="2"/>
      <c r="Y45" s="2"/>
      <c r="Z45" s="2"/>
    </row>
    <row r="46">
      <c r="A46" s="6">
        <f>IFERROR(__xludf.DUMMYFUNCTION("""COMPUTED_VALUE"""),45730.353217592594)</f>
        <v>45730.35322</v>
      </c>
      <c r="B46" s="2" t="str">
        <f>IFERROR(__xludf.DUMMYFUNCTION("""COMPUTED_VALUE"""),"March")</f>
        <v>March</v>
      </c>
      <c r="C46" s="3">
        <f>IFERROR(__xludf.DUMMYFUNCTION("""COMPUTED_VALUE"""),360454.0)</f>
        <v>360454</v>
      </c>
      <c r="D46" s="2" t="str">
        <f>IFERROR(__xludf.DUMMYFUNCTION("""COMPUTED_VALUE"""),"MIMI44")</f>
        <v>MIMI44</v>
      </c>
      <c r="E46" s="2" t="str">
        <f>IFERROR(__xludf.DUMMYFUNCTION("""COMPUTED_VALUE"""),"Imported from file DigiZag Codes 25Feb25.xlsx")</f>
        <v>Imported from file DigiZag Codes 25Feb25.xlsx</v>
      </c>
      <c r="F46" s="2" t="str">
        <f>IFERROR(__xludf.DUMMYFUNCTION("""COMPUTED_VALUE"""),"MCA605189")</f>
        <v>MCA605189</v>
      </c>
      <c r="G46" s="2" t="str">
        <f>IFERROR(__xludf.DUMMYFUNCTION("""COMPUTED_VALUE"""),"Kuwait")</f>
        <v>Kuwait</v>
      </c>
      <c r="H46" s="4">
        <f>IFERROR(__xludf.DUMMYFUNCTION("""COMPUTED_VALUE"""),37.8)</f>
        <v>37.8</v>
      </c>
      <c r="I46" s="3">
        <f>IFERROR(__xludf.DUMMYFUNCTION("""COMPUTED_VALUE"""),0.0)</f>
        <v>0</v>
      </c>
      <c r="J46" s="4">
        <f>IFERROR(__xludf.DUMMYFUNCTION("""COMPUTED_VALUE"""),3.78)</f>
        <v>3.78</v>
      </c>
      <c r="K46" s="2"/>
      <c r="L46" s="2" t="str">
        <f>IFERROR(__xludf.DUMMYFUNCTION("""COMPUTED_VALUE"""),"Delivered")</f>
        <v>Delivered</v>
      </c>
      <c r="M46" s="2" t="str">
        <f>IFERROR(__xludf.DUMMYFUNCTION("""COMPUTED_VALUE"""),"KD")</f>
        <v>KD</v>
      </c>
      <c r="N46" s="2" t="str">
        <f>IFERROR(__xludf.DUMMYFUNCTION("""COMPUTED_VALUE"""),"Credit, Debit, Knet")</f>
        <v>Credit, Debit, Knet</v>
      </c>
      <c r="O46" s="4">
        <f>IFERROR(__xludf.DUMMYFUNCTION("""COMPUTED_VALUE"""),0.0)</f>
        <v>0</v>
      </c>
      <c r="P46" s="2">
        <f>IFERROR(__xludf.DUMMYFUNCTION("""COMPUTED_VALUE"""),14.0)</f>
        <v>14</v>
      </c>
      <c r="Q46" s="2">
        <f>IFERROR(__xludf.DUMMYFUNCTION("""COMPUTED_VALUE"""),3.0)</f>
        <v>3</v>
      </c>
      <c r="R46" s="2">
        <f>IFERROR(__xludf.DUMMYFUNCTION("""COMPUTED_VALUE"""),2025.0)</f>
        <v>2025</v>
      </c>
      <c r="S46" s="2" t="str">
        <f>IFERROR(__xludf.DUMMYFUNCTION("""COMPUTED_VALUE"""),"Digizag")</f>
        <v>Digizag</v>
      </c>
      <c r="T46" s="2" t="str">
        <f>IFERROR(__xludf.DUMMYFUNCTION("""COMPUTED_VALUE"""),"Digizag")</f>
        <v>Digizag</v>
      </c>
      <c r="U46" s="5">
        <f>IFERROR(__xludf.DUMMYFUNCTION("""COMPUTED_VALUE"""),123.25143599999998)</f>
        <v>123.251436</v>
      </c>
      <c r="V46" s="2"/>
      <c r="W46" s="2"/>
      <c r="X46" s="2"/>
      <c r="Y46" s="2"/>
      <c r="Z46" s="2"/>
    </row>
    <row r="47">
      <c r="A47" s="6">
        <f>IFERROR(__xludf.DUMMYFUNCTION("""COMPUTED_VALUE"""),45730.364224537036)</f>
        <v>45730.36422</v>
      </c>
      <c r="B47" s="2" t="str">
        <f>IFERROR(__xludf.DUMMYFUNCTION("""COMPUTED_VALUE"""),"March")</f>
        <v>March</v>
      </c>
      <c r="C47" s="3">
        <f>IFERROR(__xludf.DUMMYFUNCTION("""COMPUTED_VALUE"""),500892.0)</f>
        <v>500892</v>
      </c>
      <c r="D47" s="2" t="str">
        <f>IFERROR(__xludf.DUMMYFUNCTION("""COMPUTED_VALUE"""),"MIMI44")</f>
        <v>MIMI44</v>
      </c>
      <c r="E47" s="2" t="str">
        <f>IFERROR(__xludf.DUMMYFUNCTION("""COMPUTED_VALUE"""),"Imported from file DigiZag Codes 25Feb25.xlsx")</f>
        <v>Imported from file DigiZag Codes 25Feb25.xlsx</v>
      </c>
      <c r="F47" s="2" t="str">
        <f>IFERROR(__xludf.DUMMYFUNCTION("""COMPUTED_VALUE"""),"MPZ687874")</f>
        <v>MPZ687874</v>
      </c>
      <c r="G47" s="2" t="str">
        <f>IFERROR(__xludf.DUMMYFUNCTION("""COMPUTED_VALUE"""),"UAE")</f>
        <v>UAE</v>
      </c>
      <c r="H47" s="4">
        <f>IFERROR(__xludf.DUMMYFUNCTION("""COMPUTED_VALUE"""),211.0)</f>
        <v>211</v>
      </c>
      <c r="I47" s="3">
        <f>IFERROR(__xludf.DUMMYFUNCTION("""COMPUTED_VALUE"""),0.0)</f>
        <v>0</v>
      </c>
      <c r="J47" s="4">
        <f>IFERROR(__xludf.DUMMYFUNCTION("""COMPUTED_VALUE"""),21.1)</f>
        <v>21.1</v>
      </c>
      <c r="K47" s="2"/>
      <c r="L47" s="2" t="str">
        <f>IFERROR(__xludf.DUMMYFUNCTION("""COMPUTED_VALUE"""),"Delivered")</f>
        <v>Delivered</v>
      </c>
      <c r="M47" s="2" t="str">
        <f>IFERROR(__xludf.DUMMYFUNCTION("""COMPUTED_VALUE"""),"AED")</f>
        <v>AED</v>
      </c>
      <c r="N47" s="2" t="str">
        <f>IFERROR(__xludf.DUMMYFUNCTION("""COMPUTED_VALUE"""),"Credit, Debit , Apple Pay")</f>
        <v>Credit, Debit , Apple Pay</v>
      </c>
      <c r="O47" s="4">
        <f>IFERROR(__xludf.DUMMYFUNCTION("""COMPUTED_VALUE"""),0.0)</f>
        <v>0</v>
      </c>
      <c r="P47" s="2">
        <f>IFERROR(__xludf.DUMMYFUNCTION("""COMPUTED_VALUE"""),14.0)</f>
        <v>14</v>
      </c>
      <c r="Q47" s="2">
        <f>IFERROR(__xludf.DUMMYFUNCTION("""COMPUTED_VALUE"""),3.0)</f>
        <v>3</v>
      </c>
      <c r="R47" s="2">
        <f>IFERROR(__xludf.DUMMYFUNCTION("""COMPUTED_VALUE"""),2025.0)</f>
        <v>2025</v>
      </c>
      <c r="S47" s="2" t="str">
        <f>IFERROR(__xludf.DUMMYFUNCTION("""COMPUTED_VALUE"""),"Digizag")</f>
        <v>Digizag</v>
      </c>
      <c r="T47" s="2" t="str">
        <f>IFERROR(__xludf.DUMMYFUNCTION("""COMPUTED_VALUE"""),"Digizag")</f>
        <v>Digizag</v>
      </c>
      <c r="U47" s="5">
        <f>IFERROR(__xludf.DUMMYFUNCTION("""COMPUTED_VALUE"""),57.454050458)</f>
        <v>57.45405046</v>
      </c>
      <c r="V47" s="2"/>
      <c r="W47" s="2"/>
      <c r="X47" s="2"/>
      <c r="Y47" s="2"/>
      <c r="Z47" s="2"/>
    </row>
    <row r="48">
      <c r="A48" s="6">
        <f>IFERROR(__xludf.DUMMYFUNCTION("""COMPUTED_VALUE"""),45730.479791666665)</f>
        <v>45730.47979</v>
      </c>
      <c r="B48" s="2" t="str">
        <f>IFERROR(__xludf.DUMMYFUNCTION("""COMPUTED_VALUE"""),"March")</f>
        <v>March</v>
      </c>
      <c r="C48" s="3">
        <f>IFERROR(__xludf.DUMMYFUNCTION("""COMPUTED_VALUE"""),5701.0)</f>
        <v>5701</v>
      </c>
      <c r="D48" s="2" t="str">
        <f>IFERROR(__xludf.DUMMYFUNCTION("""COMPUTED_VALUE"""),"MIMI44")</f>
        <v>MIMI44</v>
      </c>
      <c r="E48" s="2" t="str">
        <f>IFERROR(__xludf.DUMMYFUNCTION("""COMPUTED_VALUE"""),"Imported from file DigiZag Codes 25Feb25.xlsx")</f>
        <v>Imported from file DigiZag Codes 25Feb25.xlsx</v>
      </c>
      <c r="F48" s="2" t="str">
        <f>IFERROR(__xludf.DUMMYFUNCTION("""COMPUTED_VALUE"""),"VYT127092")</f>
        <v>VYT127092</v>
      </c>
      <c r="G48" s="2" t="str">
        <f>IFERROR(__xludf.DUMMYFUNCTION("""COMPUTED_VALUE"""),"Kuwait")</f>
        <v>Kuwait</v>
      </c>
      <c r="H48" s="4">
        <f>IFERROR(__xludf.DUMMYFUNCTION("""COMPUTED_VALUE"""),44.75)</f>
        <v>44.75</v>
      </c>
      <c r="I48" s="3">
        <f>IFERROR(__xludf.DUMMYFUNCTION("""COMPUTED_VALUE"""),0.0)</f>
        <v>0</v>
      </c>
      <c r="J48" s="4">
        <f>IFERROR(__xludf.DUMMYFUNCTION("""COMPUTED_VALUE"""),4.475)</f>
        <v>4.475</v>
      </c>
      <c r="K48" s="2"/>
      <c r="L48" s="2" t="str">
        <f>IFERROR(__xludf.DUMMYFUNCTION("""COMPUTED_VALUE"""),"Delivered")</f>
        <v>Delivered</v>
      </c>
      <c r="M48" s="2" t="str">
        <f>IFERROR(__xludf.DUMMYFUNCTION("""COMPUTED_VALUE"""),"KD")</f>
        <v>KD</v>
      </c>
      <c r="N48" s="2" t="str">
        <f>IFERROR(__xludf.DUMMYFUNCTION("""COMPUTED_VALUE"""),"Credit, Debit, Knet")</f>
        <v>Credit, Debit, Knet</v>
      </c>
      <c r="O48" s="4">
        <f>IFERROR(__xludf.DUMMYFUNCTION("""COMPUTED_VALUE"""),0.0)</f>
        <v>0</v>
      </c>
      <c r="P48" s="2">
        <f>IFERROR(__xludf.DUMMYFUNCTION("""COMPUTED_VALUE"""),14.0)</f>
        <v>14</v>
      </c>
      <c r="Q48" s="2">
        <f>IFERROR(__xludf.DUMMYFUNCTION("""COMPUTED_VALUE"""),3.0)</f>
        <v>3</v>
      </c>
      <c r="R48" s="2">
        <f>IFERROR(__xludf.DUMMYFUNCTION("""COMPUTED_VALUE"""),2025.0)</f>
        <v>2025</v>
      </c>
      <c r="S48" s="2" t="str">
        <f>IFERROR(__xludf.DUMMYFUNCTION("""COMPUTED_VALUE"""),"Digizag")</f>
        <v>Digizag</v>
      </c>
      <c r="T48" s="2" t="str">
        <f>IFERROR(__xludf.DUMMYFUNCTION("""COMPUTED_VALUE"""),"Digizag")</f>
        <v>Digizag</v>
      </c>
      <c r="U48" s="5">
        <f>IFERROR(__xludf.DUMMYFUNCTION("""COMPUTED_VALUE"""),145.912745)</f>
        <v>145.912745</v>
      </c>
      <c r="V48" s="2"/>
      <c r="W48" s="2"/>
      <c r="X48" s="2"/>
      <c r="Y48" s="2"/>
      <c r="Z48" s="2"/>
    </row>
    <row r="49">
      <c r="A49" s="6">
        <f>IFERROR(__xludf.DUMMYFUNCTION("""COMPUTED_VALUE"""),45730.48793981481)</f>
        <v>45730.48794</v>
      </c>
      <c r="B49" s="2" t="str">
        <f>IFERROR(__xludf.DUMMYFUNCTION("""COMPUTED_VALUE"""),"March")</f>
        <v>March</v>
      </c>
      <c r="C49" s="3">
        <f>IFERROR(__xludf.DUMMYFUNCTION("""COMPUTED_VALUE"""),4869.0)</f>
        <v>4869</v>
      </c>
      <c r="D49" s="2" t="str">
        <f>IFERROR(__xludf.DUMMYFUNCTION("""COMPUTED_VALUE"""),"MIMI44")</f>
        <v>MIMI44</v>
      </c>
      <c r="E49" s="2" t="str">
        <f>IFERROR(__xludf.DUMMYFUNCTION("""COMPUTED_VALUE"""),"Imported from file DigiZag Codes 25Feb25.xlsx")</f>
        <v>Imported from file DigiZag Codes 25Feb25.xlsx</v>
      </c>
      <c r="F49" s="2" t="str">
        <f>IFERROR(__xludf.DUMMYFUNCTION("""COMPUTED_VALUE"""),"SKP982811")</f>
        <v>SKP982811</v>
      </c>
      <c r="G49" s="2" t="str">
        <f>IFERROR(__xludf.DUMMYFUNCTION("""COMPUTED_VALUE"""),"Kuwait")</f>
        <v>Kuwait</v>
      </c>
      <c r="H49" s="4">
        <f>IFERROR(__xludf.DUMMYFUNCTION("""COMPUTED_VALUE"""),14.45)</f>
        <v>14.45</v>
      </c>
      <c r="I49" s="3">
        <f>IFERROR(__xludf.DUMMYFUNCTION("""COMPUTED_VALUE"""),0.0)</f>
        <v>0</v>
      </c>
      <c r="J49" s="4">
        <f>IFERROR(__xludf.DUMMYFUNCTION("""COMPUTED_VALUE"""),1.445)</f>
        <v>1.445</v>
      </c>
      <c r="K49" s="2"/>
      <c r="L49" s="2" t="str">
        <f>IFERROR(__xludf.DUMMYFUNCTION("""COMPUTED_VALUE"""),"Delivered")</f>
        <v>Delivered</v>
      </c>
      <c r="M49" s="2" t="str">
        <f>IFERROR(__xludf.DUMMYFUNCTION("""COMPUTED_VALUE"""),"KD")</f>
        <v>KD</v>
      </c>
      <c r="N49" s="2" t="str">
        <f>IFERROR(__xludf.DUMMYFUNCTION("""COMPUTED_VALUE"""),"Credit, Debit, Knet")</f>
        <v>Credit, Debit, Knet</v>
      </c>
      <c r="O49" s="4">
        <f>IFERROR(__xludf.DUMMYFUNCTION("""COMPUTED_VALUE"""),0.0)</f>
        <v>0</v>
      </c>
      <c r="P49" s="2">
        <f>IFERROR(__xludf.DUMMYFUNCTION("""COMPUTED_VALUE"""),14.0)</f>
        <v>14</v>
      </c>
      <c r="Q49" s="2">
        <f>IFERROR(__xludf.DUMMYFUNCTION("""COMPUTED_VALUE"""),3.0)</f>
        <v>3</v>
      </c>
      <c r="R49" s="2">
        <f>IFERROR(__xludf.DUMMYFUNCTION("""COMPUTED_VALUE"""),2025.0)</f>
        <v>2025</v>
      </c>
      <c r="S49" s="2" t="str">
        <f>IFERROR(__xludf.DUMMYFUNCTION("""COMPUTED_VALUE"""),"Digizag")</f>
        <v>Digizag</v>
      </c>
      <c r="T49" s="2" t="str">
        <f>IFERROR(__xludf.DUMMYFUNCTION("""COMPUTED_VALUE"""),"Digizag")</f>
        <v>Digizag</v>
      </c>
      <c r="U49" s="5">
        <f>IFERROR(__xludf.DUMMYFUNCTION("""COMPUTED_VALUE"""),47.115959)</f>
        <v>47.115959</v>
      </c>
      <c r="V49" s="2"/>
      <c r="W49" s="2"/>
      <c r="X49" s="2"/>
      <c r="Y49" s="2"/>
      <c r="Z49" s="2"/>
    </row>
    <row r="50">
      <c r="A50" s="6">
        <f>IFERROR(__xludf.DUMMYFUNCTION("""COMPUTED_VALUE"""),45730.53798611111)</f>
        <v>45730.53799</v>
      </c>
      <c r="B50" s="2" t="str">
        <f>IFERROR(__xludf.DUMMYFUNCTION("""COMPUTED_VALUE"""),"March")</f>
        <v>March</v>
      </c>
      <c r="C50" s="3">
        <f>IFERROR(__xludf.DUMMYFUNCTION("""COMPUTED_VALUE"""),703890.0)</f>
        <v>703890</v>
      </c>
      <c r="D50" s="2" t="str">
        <f>IFERROR(__xludf.DUMMYFUNCTION("""COMPUTED_VALUE"""),"DB3")</f>
        <v>DB3</v>
      </c>
      <c r="E50" s="2" t="str">
        <f>IFERROR(__xludf.DUMMYFUNCTION("""COMPUTED_VALUE"""),"Imported from file Digizag.xlsx")</f>
        <v>Imported from file Digizag.xlsx</v>
      </c>
      <c r="F50" s="2" t="str">
        <f>IFERROR(__xludf.DUMMYFUNCTION("""COMPUTED_VALUE"""),"TEW862234")</f>
        <v>TEW862234</v>
      </c>
      <c r="G50" s="2" t="str">
        <f>IFERROR(__xludf.DUMMYFUNCTION("""COMPUTED_VALUE"""),"Kuwait")</f>
        <v>Kuwait</v>
      </c>
      <c r="H50" s="4">
        <f>IFERROR(__xludf.DUMMYFUNCTION("""COMPUTED_VALUE"""),20.5)</f>
        <v>20.5</v>
      </c>
      <c r="I50" s="3">
        <f>IFERROR(__xludf.DUMMYFUNCTION("""COMPUTED_VALUE"""),0.0)</f>
        <v>0</v>
      </c>
      <c r="J50" s="4">
        <f>IFERROR(__xludf.DUMMYFUNCTION("""COMPUTED_VALUE"""),2.05)</f>
        <v>2.05</v>
      </c>
      <c r="K50" s="2"/>
      <c r="L50" s="2" t="str">
        <f>IFERROR(__xludf.DUMMYFUNCTION("""COMPUTED_VALUE"""),"Delivered")</f>
        <v>Delivered</v>
      </c>
      <c r="M50" s="2" t="str">
        <f>IFERROR(__xludf.DUMMYFUNCTION("""COMPUTED_VALUE"""),"KD")</f>
        <v>KD</v>
      </c>
      <c r="N50" s="2" t="str">
        <f>IFERROR(__xludf.DUMMYFUNCTION("""COMPUTED_VALUE"""),"Credit, Debit, Knet")</f>
        <v>Credit, Debit, Knet</v>
      </c>
      <c r="O50" s="4">
        <f>IFERROR(__xludf.DUMMYFUNCTION("""COMPUTED_VALUE"""),0.0)</f>
        <v>0</v>
      </c>
      <c r="P50" s="2">
        <f>IFERROR(__xludf.DUMMYFUNCTION("""COMPUTED_VALUE"""),14.0)</f>
        <v>14</v>
      </c>
      <c r="Q50" s="2">
        <f>IFERROR(__xludf.DUMMYFUNCTION("""COMPUTED_VALUE"""),3.0)</f>
        <v>3</v>
      </c>
      <c r="R50" s="2">
        <f>IFERROR(__xludf.DUMMYFUNCTION("""COMPUTED_VALUE"""),2025.0)</f>
        <v>2025</v>
      </c>
      <c r="S50" s="2" t="str">
        <f>IFERROR(__xludf.DUMMYFUNCTION("""COMPUTED_VALUE"""),"Digizag")</f>
        <v>Digizag</v>
      </c>
      <c r="T50" s="2" t="str">
        <f>IFERROR(__xludf.DUMMYFUNCTION("""COMPUTED_VALUE"""),"Digizag")</f>
        <v>Digizag</v>
      </c>
      <c r="U50" s="5">
        <f>IFERROR(__xludf.DUMMYFUNCTION("""COMPUTED_VALUE"""),66.84271)</f>
        <v>66.84271</v>
      </c>
      <c r="V50" s="2"/>
      <c r="W50" s="2"/>
      <c r="X50" s="2"/>
      <c r="Y50" s="2"/>
      <c r="Z50" s="2"/>
    </row>
    <row r="51">
      <c r="A51" s="6">
        <f>IFERROR(__xludf.DUMMYFUNCTION("""COMPUTED_VALUE"""),45730.67097222222)</f>
        <v>45730.67097</v>
      </c>
      <c r="B51" s="2" t="str">
        <f>IFERROR(__xludf.DUMMYFUNCTION("""COMPUTED_VALUE"""),"March")</f>
        <v>March</v>
      </c>
      <c r="C51" s="3">
        <f>IFERROR(__xludf.DUMMYFUNCTION("""COMPUTED_VALUE"""),75045.0)</f>
        <v>75045</v>
      </c>
      <c r="D51" s="2" t="str">
        <f>IFERROR(__xludf.DUMMYFUNCTION("""COMPUTED_VALUE"""),"DB3")</f>
        <v>DB3</v>
      </c>
      <c r="E51" s="2" t="str">
        <f>IFERROR(__xludf.DUMMYFUNCTION("""COMPUTED_VALUE"""),"Imported from file Digizag.xlsx")</f>
        <v>Imported from file Digizag.xlsx</v>
      </c>
      <c r="F51" s="2" t="str">
        <f>IFERROR(__xludf.DUMMYFUNCTION("""COMPUTED_VALUE"""),"VAN431236")</f>
        <v>VAN431236</v>
      </c>
      <c r="G51" s="2" t="str">
        <f>IFERROR(__xludf.DUMMYFUNCTION("""COMPUTED_VALUE"""),"Kingdom of Saudi Arabia")</f>
        <v>Kingdom of Saudi Arabia</v>
      </c>
      <c r="H51" s="4">
        <f>IFERROR(__xludf.DUMMYFUNCTION("""COMPUTED_VALUE"""),198.09)</f>
        <v>198.09</v>
      </c>
      <c r="I51" s="3">
        <f>IFERROR(__xludf.DUMMYFUNCTION("""COMPUTED_VALUE"""),0.0)</f>
        <v>0</v>
      </c>
      <c r="J51" s="4">
        <f>IFERROR(__xludf.DUMMYFUNCTION("""COMPUTED_VALUE"""),19.8)</f>
        <v>19.8</v>
      </c>
      <c r="K51" s="2"/>
      <c r="L51" s="2" t="str">
        <f>IFERROR(__xludf.DUMMYFUNCTION("""COMPUTED_VALUE"""),"Delivered")</f>
        <v>Delivered</v>
      </c>
      <c r="M51" s="2" t="str">
        <f>IFERROR(__xludf.DUMMYFUNCTION("""COMPUTED_VALUE"""),"SR")</f>
        <v>SR</v>
      </c>
      <c r="N51" s="2" t="str">
        <f>IFERROR(__xludf.DUMMYFUNCTION("""COMPUTED_VALUE"""),"Credit, Debit, Apple Pay")</f>
        <v>Credit, Debit, Apple Pay</v>
      </c>
      <c r="O51" s="4">
        <f>IFERROR(__xludf.DUMMYFUNCTION("""COMPUTED_VALUE"""),0.0)</f>
        <v>0</v>
      </c>
      <c r="P51" s="2">
        <f>IFERROR(__xludf.DUMMYFUNCTION("""COMPUTED_VALUE"""),14.0)</f>
        <v>14</v>
      </c>
      <c r="Q51" s="2">
        <f>IFERROR(__xludf.DUMMYFUNCTION("""COMPUTED_VALUE"""),3.0)</f>
        <v>3</v>
      </c>
      <c r="R51" s="2">
        <f>IFERROR(__xludf.DUMMYFUNCTION("""COMPUTED_VALUE"""),2025.0)</f>
        <v>2025</v>
      </c>
      <c r="S51" s="2" t="str">
        <f>IFERROR(__xludf.DUMMYFUNCTION("""COMPUTED_VALUE"""),"Digizag")</f>
        <v>Digizag</v>
      </c>
      <c r="T51" s="2" t="str">
        <f>IFERROR(__xludf.DUMMYFUNCTION("""COMPUTED_VALUE"""),"Digizag")</f>
        <v>Digizag</v>
      </c>
      <c r="U51" s="5">
        <f>IFERROR(__xludf.DUMMYFUNCTION("""COMPUTED_VALUE"""),52.81991525214001)</f>
        <v>52.81991525</v>
      </c>
      <c r="V51" s="2"/>
      <c r="W51" s="2"/>
      <c r="X51" s="2"/>
      <c r="Y51" s="2"/>
      <c r="Z51" s="2"/>
    </row>
    <row r="52">
      <c r="A52" s="6">
        <f>IFERROR(__xludf.DUMMYFUNCTION("""COMPUTED_VALUE"""),45730.84758101852)</f>
        <v>45730.84758</v>
      </c>
      <c r="B52" s="2" t="str">
        <f>IFERROR(__xludf.DUMMYFUNCTION("""COMPUTED_VALUE"""),"March")</f>
        <v>March</v>
      </c>
      <c r="C52" s="3">
        <f>IFERROR(__xludf.DUMMYFUNCTION("""COMPUTED_VALUE"""),704077.0)</f>
        <v>704077</v>
      </c>
      <c r="D52" s="2" t="str">
        <f>IFERROR(__xludf.DUMMYFUNCTION("""COMPUTED_VALUE"""),"DB3")</f>
        <v>DB3</v>
      </c>
      <c r="E52" s="2" t="str">
        <f>IFERROR(__xludf.DUMMYFUNCTION("""COMPUTED_VALUE"""),"Imported from file Digizag.xlsx")</f>
        <v>Imported from file Digizag.xlsx</v>
      </c>
      <c r="F52" s="2" t="str">
        <f>IFERROR(__xludf.DUMMYFUNCTION("""COMPUTED_VALUE"""),"TZH721284")</f>
        <v>TZH721284</v>
      </c>
      <c r="G52" s="2" t="str">
        <f>IFERROR(__xludf.DUMMYFUNCTION("""COMPUTED_VALUE"""),"UAE")</f>
        <v>UAE</v>
      </c>
      <c r="H52" s="4">
        <f>IFERROR(__xludf.DUMMYFUNCTION("""COMPUTED_VALUE"""),193.0)</f>
        <v>193</v>
      </c>
      <c r="I52" s="3">
        <f>IFERROR(__xludf.DUMMYFUNCTION("""COMPUTED_VALUE"""),0.0)</f>
        <v>0</v>
      </c>
      <c r="J52" s="4">
        <f>IFERROR(__xludf.DUMMYFUNCTION("""COMPUTED_VALUE"""),19.3)</f>
        <v>19.3</v>
      </c>
      <c r="K52" s="2"/>
      <c r="L52" s="2" t="str">
        <f>IFERROR(__xludf.DUMMYFUNCTION("""COMPUTED_VALUE"""),"Delivered")</f>
        <v>Delivered</v>
      </c>
      <c r="M52" s="2" t="str">
        <f>IFERROR(__xludf.DUMMYFUNCTION("""COMPUTED_VALUE"""),"AED")</f>
        <v>AED</v>
      </c>
      <c r="N52" s="2" t="str">
        <f>IFERROR(__xludf.DUMMYFUNCTION("""COMPUTED_VALUE"""),"Credit, Debit , Apple Pay")</f>
        <v>Credit, Debit , Apple Pay</v>
      </c>
      <c r="O52" s="4">
        <f>IFERROR(__xludf.DUMMYFUNCTION("""COMPUTED_VALUE"""),0.0)</f>
        <v>0</v>
      </c>
      <c r="P52" s="2">
        <f>IFERROR(__xludf.DUMMYFUNCTION("""COMPUTED_VALUE"""),14.0)</f>
        <v>14</v>
      </c>
      <c r="Q52" s="2">
        <f>IFERROR(__xludf.DUMMYFUNCTION("""COMPUTED_VALUE"""),3.0)</f>
        <v>3</v>
      </c>
      <c r="R52" s="2">
        <f>IFERROR(__xludf.DUMMYFUNCTION("""COMPUTED_VALUE"""),2025.0)</f>
        <v>2025</v>
      </c>
      <c r="S52" s="2" t="str">
        <f>IFERROR(__xludf.DUMMYFUNCTION("""COMPUTED_VALUE"""),"Digizag")</f>
        <v>Digizag</v>
      </c>
      <c r="T52" s="2" t="str">
        <f>IFERROR(__xludf.DUMMYFUNCTION("""COMPUTED_VALUE"""),"Digizag")</f>
        <v>Digizag</v>
      </c>
      <c r="U52" s="5">
        <f>IFERROR(__xludf.DUMMYFUNCTION("""COMPUTED_VALUE"""),52.552757054)</f>
        <v>52.55275705</v>
      </c>
      <c r="V52" s="2"/>
      <c r="W52" s="2"/>
      <c r="X52" s="2"/>
      <c r="Y52" s="2"/>
      <c r="Z52" s="2"/>
    </row>
    <row r="53">
      <c r="A53" s="6">
        <f>IFERROR(__xludf.DUMMYFUNCTION("""COMPUTED_VALUE"""),45730.87645833333)</f>
        <v>45730.87646</v>
      </c>
      <c r="B53" s="2" t="str">
        <f>IFERROR(__xludf.DUMMYFUNCTION("""COMPUTED_VALUE"""),"March")</f>
        <v>March</v>
      </c>
      <c r="C53" s="3">
        <f>IFERROR(__xludf.DUMMYFUNCTION("""COMPUTED_VALUE"""),704093.0)</f>
        <v>704093</v>
      </c>
      <c r="D53" s="2" t="str">
        <f>IFERROR(__xludf.DUMMYFUNCTION("""COMPUTED_VALUE"""),"DB3")</f>
        <v>DB3</v>
      </c>
      <c r="E53" s="2" t="str">
        <f>IFERROR(__xludf.DUMMYFUNCTION("""COMPUTED_VALUE"""),"Imported from file Digizag.xlsx")</f>
        <v>Imported from file Digizag.xlsx</v>
      </c>
      <c r="F53" s="2" t="str">
        <f>IFERROR(__xludf.DUMMYFUNCTION("""COMPUTED_VALUE"""),"DWB154441")</f>
        <v>DWB154441</v>
      </c>
      <c r="G53" s="2" t="str">
        <f>IFERROR(__xludf.DUMMYFUNCTION("""COMPUTED_VALUE"""),"Kuwait")</f>
        <v>Kuwait</v>
      </c>
      <c r="H53" s="4">
        <f>IFERROR(__xludf.DUMMYFUNCTION("""COMPUTED_VALUE"""),8.91)</f>
        <v>8.91</v>
      </c>
      <c r="I53" s="3">
        <f>IFERROR(__xludf.DUMMYFUNCTION("""COMPUTED_VALUE"""),0.0)</f>
        <v>0</v>
      </c>
      <c r="J53" s="4">
        <f>IFERROR(__xludf.DUMMYFUNCTION("""COMPUTED_VALUE"""),0.891)</f>
        <v>0.891</v>
      </c>
      <c r="K53" s="2"/>
      <c r="L53" s="2" t="str">
        <f>IFERROR(__xludf.DUMMYFUNCTION("""COMPUTED_VALUE"""),"Delivered")</f>
        <v>Delivered</v>
      </c>
      <c r="M53" s="2" t="str">
        <f>IFERROR(__xludf.DUMMYFUNCTION("""COMPUTED_VALUE"""),"KD")</f>
        <v>KD</v>
      </c>
      <c r="N53" s="2" t="str">
        <f>IFERROR(__xludf.DUMMYFUNCTION("""COMPUTED_VALUE"""),"Credit, Debit, Knet")</f>
        <v>Credit, Debit, Knet</v>
      </c>
      <c r="O53" s="4">
        <f>IFERROR(__xludf.DUMMYFUNCTION("""COMPUTED_VALUE"""),0.0)</f>
        <v>0</v>
      </c>
      <c r="P53" s="2">
        <f>IFERROR(__xludf.DUMMYFUNCTION("""COMPUTED_VALUE"""),14.0)</f>
        <v>14</v>
      </c>
      <c r="Q53" s="2">
        <f>IFERROR(__xludf.DUMMYFUNCTION("""COMPUTED_VALUE"""),3.0)</f>
        <v>3</v>
      </c>
      <c r="R53" s="2">
        <f>IFERROR(__xludf.DUMMYFUNCTION("""COMPUTED_VALUE"""),2025.0)</f>
        <v>2025</v>
      </c>
      <c r="S53" s="2" t="str">
        <f>IFERROR(__xludf.DUMMYFUNCTION("""COMPUTED_VALUE"""),"Digizag")</f>
        <v>Digizag</v>
      </c>
      <c r="T53" s="2" t="str">
        <f>IFERROR(__xludf.DUMMYFUNCTION("""COMPUTED_VALUE"""),"Digizag")</f>
        <v>Digizag</v>
      </c>
      <c r="U53" s="5">
        <f>IFERROR(__xludf.DUMMYFUNCTION("""COMPUTED_VALUE"""),29.052124199999998)</f>
        <v>29.0521242</v>
      </c>
      <c r="V53" s="2"/>
      <c r="W53" s="2"/>
      <c r="X53" s="2"/>
      <c r="Y53" s="2"/>
      <c r="Z53" s="2"/>
    </row>
    <row r="54">
      <c r="A54" s="6">
        <f>IFERROR(__xludf.DUMMYFUNCTION("""COMPUTED_VALUE"""),45730.99600694444)</f>
        <v>45730.99601</v>
      </c>
      <c r="B54" s="2" t="str">
        <f>IFERROR(__xludf.DUMMYFUNCTION("""COMPUTED_VALUE"""),"March")</f>
        <v>March</v>
      </c>
      <c r="C54" s="3">
        <f>IFERROR(__xludf.DUMMYFUNCTION("""COMPUTED_VALUE"""),412168.0)</f>
        <v>412168</v>
      </c>
      <c r="D54" s="2" t="str">
        <f>IFERROR(__xludf.DUMMYFUNCTION("""COMPUTED_VALUE"""),"DB3")</f>
        <v>DB3</v>
      </c>
      <c r="E54" s="2" t="str">
        <f>IFERROR(__xludf.DUMMYFUNCTION("""COMPUTED_VALUE"""),"Imported from file Digizag.xlsx")</f>
        <v>Imported from file Digizag.xlsx</v>
      </c>
      <c r="F54" s="2" t="str">
        <f>IFERROR(__xludf.DUMMYFUNCTION("""COMPUTED_VALUE"""),"UHR946451")</f>
        <v>UHR946451</v>
      </c>
      <c r="G54" s="2" t="str">
        <f>IFERROR(__xludf.DUMMYFUNCTION("""COMPUTED_VALUE"""),"Kingdom of Saudi Arabia")</f>
        <v>Kingdom of Saudi Arabia</v>
      </c>
      <c r="H54" s="4">
        <f>IFERROR(__xludf.DUMMYFUNCTION("""COMPUTED_VALUE"""),161.74)</f>
        <v>161.74</v>
      </c>
      <c r="I54" s="3">
        <f>IFERROR(__xludf.DUMMYFUNCTION("""COMPUTED_VALUE"""),0.0)</f>
        <v>0</v>
      </c>
      <c r="J54" s="4">
        <f>IFERROR(__xludf.DUMMYFUNCTION("""COMPUTED_VALUE"""),16.16)</f>
        <v>16.16</v>
      </c>
      <c r="K54" s="2"/>
      <c r="L54" s="2" t="str">
        <f>IFERROR(__xludf.DUMMYFUNCTION("""COMPUTED_VALUE"""),"Delivered")</f>
        <v>Delivered</v>
      </c>
      <c r="M54" s="2" t="str">
        <f>IFERROR(__xludf.DUMMYFUNCTION("""COMPUTED_VALUE"""),"SR")</f>
        <v>SR</v>
      </c>
      <c r="N54" s="2" t="str">
        <f>IFERROR(__xludf.DUMMYFUNCTION("""COMPUTED_VALUE"""),"Credit, Debit, Apple Pay")</f>
        <v>Credit, Debit, Apple Pay</v>
      </c>
      <c r="O54" s="4">
        <f>IFERROR(__xludf.DUMMYFUNCTION("""COMPUTED_VALUE"""),0.0)</f>
        <v>0</v>
      </c>
      <c r="P54" s="2">
        <f>IFERROR(__xludf.DUMMYFUNCTION("""COMPUTED_VALUE"""),14.0)</f>
        <v>14</v>
      </c>
      <c r="Q54" s="2">
        <f>IFERROR(__xludf.DUMMYFUNCTION("""COMPUTED_VALUE"""),3.0)</f>
        <v>3</v>
      </c>
      <c r="R54" s="2">
        <f>IFERROR(__xludf.DUMMYFUNCTION("""COMPUTED_VALUE"""),2025.0)</f>
        <v>2025</v>
      </c>
      <c r="S54" s="2" t="str">
        <f>IFERROR(__xludf.DUMMYFUNCTION("""COMPUTED_VALUE"""),"Digizag")</f>
        <v>Digizag</v>
      </c>
      <c r="T54" s="2" t="str">
        <f>IFERROR(__xludf.DUMMYFUNCTION("""COMPUTED_VALUE"""),"Digizag")</f>
        <v>Digizag</v>
      </c>
      <c r="U54" s="5">
        <f>IFERROR(__xludf.DUMMYFUNCTION("""COMPUTED_VALUE"""),43.127331480040006)</f>
        <v>43.12733148</v>
      </c>
      <c r="V54" s="2"/>
      <c r="W54" s="2"/>
      <c r="X54" s="2"/>
      <c r="Y54" s="2"/>
      <c r="Z54" s="2"/>
    </row>
    <row r="55">
      <c r="A55" s="6">
        <f>IFERROR(__xludf.DUMMYFUNCTION("""COMPUTED_VALUE"""),45731.05462962963)</f>
        <v>45731.05463</v>
      </c>
      <c r="B55" s="2" t="str">
        <f>IFERROR(__xludf.DUMMYFUNCTION("""COMPUTED_VALUE"""),"March")</f>
        <v>March</v>
      </c>
      <c r="C55" s="3">
        <f>IFERROR(__xludf.DUMMYFUNCTION("""COMPUTED_VALUE"""),609285.0)</f>
        <v>609285</v>
      </c>
      <c r="D55" s="2" t="str">
        <f>IFERROR(__xludf.DUMMYFUNCTION("""COMPUTED_VALUE"""),"DB1")</f>
        <v>DB1</v>
      </c>
      <c r="E55" s="2" t="str">
        <f>IFERROR(__xludf.DUMMYFUNCTION("""COMPUTED_VALUE"""),"Imported from file Digizag.xlsx")</f>
        <v>Imported from file Digizag.xlsx</v>
      </c>
      <c r="F55" s="2" t="str">
        <f>IFERROR(__xludf.DUMMYFUNCTION("""COMPUTED_VALUE"""),"QSG911318")</f>
        <v>QSG911318</v>
      </c>
      <c r="G55" s="2" t="str">
        <f>IFERROR(__xludf.DUMMYFUNCTION("""COMPUTED_VALUE"""),"Kingdom of Saudi Arabia")</f>
        <v>Kingdom of Saudi Arabia</v>
      </c>
      <c r="H55" s="4">
        <f>IFERROR(__xludf.DUMMYFUNCTION("""COMPUTED_VALUE"""),303.0)</f>
        <v>303</v>
      </c>
      <c r="I55" s="3">
        <f>IFERROR(__xludf.DUMMYFUNCTION("""COMPUTED_VALUE"""),0.0)</f>
        <v>0</v>
      </c>
      <c r="J55" s="4">
        <f>IFERROR(__xludf.DUMMYFUNCTION("""COMPUTED_VALUE"""),30.3)</f>
        <v>30.3</v>
      </c>
      <c r="K55" s="2"/>
      <c r="L55" s="2" t="str">
        <f>IFERROR(__xludf.DUMMYFUNCTION("""COMPUTED_VALUE"""),"Delivered")</f>
        <v>Delivered</v>
      </c>
      <c r="M55" s="2" t="str">
        <f>IFERROR(__xludf.DUMMYFUNCTION("""COMPUTED_VALUE"""),"SR")</f>
        <v>SR</v>
      </c>
      <c r="N55" s="2" t="str">
        <f>IFERROR(__xludf.DUMMYFUNCTION("""COMPUTED_VALUE"""),"Credit, Debit, Apple Pay")</f>
        <v>Credit, Debit, Apple Pay</v>
      </c>
      <c r="O55" s="4">
        <f>IFERROR(__xludf.DUMMYFUNCTION("""COMPUTED_VALUE"""),0.0)</f>
        <v>0</v>
      </c>
      <c r="P55" s="2">
        <f>IFERROR(__xludf.DUMMYFUNCTION("""COMPUTED_VALUE"""),15.0)</f>
        <v>15</v>
      </c>
      <c r="Q55" s="2">
        <f>IFERROR(__xludf.DUMMYFUNCTION("""COMPUTED_VALUE"""),3.0)</f>
        <v>3</v>
      </c>
      <c r="R55" s="2">
        <f>IFERROR(__xludf.DUMMYFUNCTION("""COMPUTED_VALUE"""),2025.0)</f>
        <v>2025</v>
      </c>
      <c r="S55" s="2" t="str">
        <f>IFERROR(__xludf.DUMMYFUNCTION("""COMPUTED_VALUE"""),"Digizag")</f>
        <v>Digizag</v>
      </c>
      <c r="T55" s="2" t="str">
        <f>IFERROR(__xludf.DUMMYFUNCTION("""COMPUTED_VALUE"""),"Digizag")</f>
        <v>Digizag</v>
      </c>
      <c r="U55" s="5">
        <f>IFERROR(__xludf.DUMMYFUNCTION("""COMPUTED_VALUE"""),80.79375193800001)</f>
        <v>80.79375194</v>
      </c>
      <c r="V55" s="2"/>
      <c r="W55" s="2"/>
      <c r="X55" s="2"/>
      <c r="Y55" s="2"/>
      <c r="Z55" s="2"/>
    </row>
    <row r="56">
      <c r="A56" s="6">
        <f>IFERROR(__xludf.DUMMYFUNCTION("""COMPUTED_VALUE"""),45731.50324074074)</f>
        <v>45731.50324</v>
      </c>
      <c r="B56" s="2" t="str">
        <f>IFERROR(__xludf.DUMMYFUNCTION("""COMPUTED_VALUE"""),"March")</f>
        <v>March</v>
      </c>
      <c r="C56" s="3">
        <f>IFERROR(__xludf.DUMMYFUNCTION("""COMPUTED_VALUE"""),14143.0)</f>
        <v>14143</v>
      </c>
      <c r="D56" s="2" t="str">
        <f>IFERROR(__xludf.DUMMYFUNCTION("""COMPUTED_VALUE"""),"MIMI44")</f>
        <v>MIMI44</v>
      </c>
      <c r="E56" s="2" t="str">
        <f>IFERROR(__xludf.DUMMYFUNCTION("""COMPUTED_VALUE"""),"Imported from file DigiZag Codes 25Feb25.xlsx")</f>
        <v>Imported from file DigiZag Codes 25Feb25.xlsx</v>
      </c>
      <c r="F56" s="2" t="str">
        <f>IFERROR(__xludf.DUMMYFUNCTION("""COMPUTED_VALUE"""),"EJZ168977")</f>
        <v>EJZ168977</v>
      </c>
      <c r="G56" s="2" t="str">
        <f>IFERROR(__xludf.DUMMYFUNCTION("""COMPUTED_VALUE"""),"Kuwait")</f>
        <v>Kuwait</v>
      </c>
      <c r="H56" s="4">
        <f>IFERROR(__xludf.DUMMYFUNCTION("""COMPUTED_VALUE"""),4.5)</f>
        <v>4.5</v>
      </c>
      <c r="I56" s="3">
        <f>IFERROR(__xludf.DUMMYFUNCTION("""COMPUTED_VALUE"""),0.0)</f>
        <v>0</v>
      </c>
      <c r="J56" s="4">
        <f>IFERROR(__xludf.DUMMYFUNCTION("""COMPUTED_VALUE"""),0.45)</f>
        <v>0.45</v>
      </c>
      <c r="K56" s="2"/>
      <c r="L56" s="2" t="str">
        <f>IFERROR(__xludf.DUMMYFUNCTION("""COMPUTED_VALUE"""),"Delivered")</f>
        <v>Delivered</v>
      </c>
      <c r="M56" s="2" t="str">
        <f>IFERROR(__xludf.DUMMYFUNCTION("""COMPUTED_VALUE"""),"KD")</f>
        <v>KD</v>
      </c>
      <c r="N56" s="2" t="str">
        <f>IFERROR(__xludf.DUMMYFUNCTION("""COMPUTED_VALUE"""),"Credit, Debit, Knet")</f>
        <v>Credit, Debit, Knet</v>
      </c>
      <c r="O56" s="4">
        <f>IFERROR(__xludf.DUMMYFUNCTION("""COMPUTED_VALUE"""),0.0)</f>
        <v>0</v>
      </c>
      <c r="P56" s="2">
        <f>IFERROR(__xludf.DUMMYFUNCTION("""COMPUTED_VALUE"""),15.0)</f>
        <v>15</v>
      </c>
      <c r="Q56" s="2">
        <f>IFERROR(__xludf.DUMMYFUNCTION("""COMPUTED_VALUE"""),3.0)</f>
        <v>3</v>
      </c>
      <c r="R56" s="2">
        <f>IFERROR(__xludf.DUMMYFUNCTION("""COMPUTED_VALUE"""),2025.0)</f>
        <v>2025</v>
      </c>
      <c r="S56" s="2" t="str">
        <f>IFERROR(__xludf.DUMMYFUNCTION("""COMPUTED_VALUE"""),"Digizag")</f>
        <v>Digizag</v>
      </c>
      <c r="T56" s="2" t="str">
        <f>IFERROR(__xludf.DUMMYFUNCTION("""COMPUTED_VALUE"""),"Digizag")</f>
        <v>Digizag</v>
      </c>
      <c r="U56" s="5">
        <f>IFERROR(__xludf.DUMMYFUNCTION("""COMPUTED_VALUE"""),14.672789999999999)</f>
        <v>14.67279</v>
      </c>
      <c r="V56" s="2"/>
      <c r="W56" s="2"/>
      <c r="X56" s="2"/>
      <c r="Y56" s="2"/>
      <c r="Z56" s="2"/>
    </row>
    <row r="57">
      <c r="A57" s="6">
        <f>IFERROR(__xludf.DUMMYFUNCTION("""COMPUTED_VALUE"""),45731.63460648148)</f>
        <v>45731.63461</v>
      </c>
      <c r="B57" s="2" t="str">
        <f>IFERROR(__xludf.DUMMYFUNCTION("""COMPUTED_VALUE"""),"March")</f>
        <v>March</v>
      </c>
      <c r="C57" s="3">
        <f>IFERROR(__xludf.DUMMYFUNCTION("""COMPUTED_VALUE"""),562068.0)</f>
        <v>562068</v>
      </c>
      <c r="D57" s="2" t="str">
        <f>IFERROR(__xludf.DUMMYFUNCTION("""COMPUTED_VALUE"""),"DB3")</f>
        <v>DB3</v>
      </c>
      <c r="E57" s="2" t="str">
        <f>IFERROR(__xludf.DUMMYFUNCTION("""COMPUTED_VALUE"""),"Imported from file Digizag.xlsx")</f>
        <v>Imported from file Digizag.xlsx</v>
      </c>
      <c r="F57" s="2" t="str">
        <f>IFERROR(__xludf.DUMMYFUNCTION("""COMPUTED_VALUE"""),"UUP794478")</f>
        <v>UUP794478</v>
      </c>
      <c r="G57" s="2" t="str">
        <f>IFERROR(__xludf.DUMMYFUNCTION("""COMPUTED_VALUE"""),"Kingdom of Saudi Arabia")</f>
        <v>Kingdom of Saudi Arabia</v>
      </c>
      <c r="H57" s="4">
        <f>IFERROR(__xludf.DUMMYFUNCTION("""COMPUTED_VALUE"""),146.0)</f>
        <v>146</v>
      </c>
      <c r="I57" s="3">
        <f>IFERROR(__xludf.DUMMYFUNCTION("""COMPUTED_VALUE"""),0.0)</f>
        <v>0</v>
      </c>
      <c r="J57" s="4">
        <f>IFERROR(__xludf.DUMMYFUNCTION("""COMPUTED_VALUE"""),14.6)</f>
        <v>14.6</v>
      </c>
      <c r="K57" s="2"/>
      <c r="L57" s="2" t="str">
        <f>IFERROR(__xludf.DUMMYFUNCTION("""COMPUTED_VALUE"""),"Delivered")</f>
        <v>Delivered</v>
      </c>
      <c r="M57" s="2" t="str">
        <f>IFERROR(__xludf.DUMMYFUNCTION("""COMPUTED_VALUE"""),"SR")</f>
        <v>SR</v>
      </c>
      <c r="N57" s="2" t="str">
        <f>IFERROR(__xludf.DUMMYFUNCTION("""COMPUTED_VALUE"""),"Credit, Debit, Apple Pay")</f>
        <v>Credit, Debit, Apple Pay</v>
      </c>
      <c r="O57" s="4">
        <f>IFERROR(__xludf.DUMMYFUNCTION("""COMPUTED_VALUE"""),0.0)</f>
        <v>0</v>
      </c>
      <c r="P57" s="2">
        <f>IFERROR(__xludf.DUMMYFUNCTION("""COMPUTED_VALUE"""),15.0)</f>
        <v>15</v>
      </c>
      <c r="Q57" s="2">
        <f>IFERROR(__xludf.DUMMYFUNCTION("""COMPUTED_VALUE"""),3.0)</f>
        <v>3</v>
      </c>
      <c r="R57" s="2">
        <f>IFERROR(__xludf.DUMMYFUNCTION("""COMPUTED_VALUE"""),2025.0)</f>
        <v>2025</v>
      </c>
      <c r="S57" s="2" t="str">
        <f>IFERROR(__xludf.DUMMYFUNCTION("""COMPUTED_VALUE"""),"Digizag")</f>
        <v>Digizag</v>
      </c>
      <c r="T57" s="2" t="str">
        <f>IFERROR(__xludf.DUMMYFUNCTION("""COMPUTED_VALUE"""),"Digizag")</f>
        <v>Digizag</v>
      </c>
      <c r="U57" s="5">
        <f>IFERROR(__xludf.DUMMYFUNCTION("""COMPUTED_VALUE"""),38.930322716000006)</f>
        <v>38.93032272</v>
      </c>
      <c r="V57" s="2"/>
      <c r="W57" s="2"/>
      <c r="X57" s="2"/>
      <c r="Y57" s="2"/>
      <c r="Z57" s="2"/>
    </row>
    <row r="58">
      <c r="A58" s="6">
        <f>IFERROR(__xludf.DUMMYFUNCTION("""COMPUTED_VALUE"""),45731.636145833334)</f>
        <v>45731.63615</v>
      </c>
      <c r="B58" s="2" t="str">
        <f>IFERROR(__xludf.DUMMYFUNCTION("""COMPUTED_VALUE"""),"March")</f>
        <v>March</v>
      </c>
      <c r="C58" s="3">
        <f>IFERROR(__xludf.DUMMYFUNCTION("""COMPUTED_VALUE"""),310333.0)</f>
        <v>310333</v>
      </c>
      <c r="D58" s="2" t="str">
        <f>IFERROR(__xludf.DUMMYFUNCTION("""COMPUTED_VALUE"""),"MIMI44")</f>
        <v>MIMI44</v>
      </c>
      <c r="E58" s="2" t="str">
        <f>IFERROR(__xludf.DUMMYFUNCTION("""COMPUTED_VALUE"""),"Imported from file DigiZag Codes 25Feb25.xlsx")</f>
        <v>Imported from file DigiZag Codes 25Feb25.xlsx</v>
      </c>
      <c r="F58" s="2" t="str">
        <f>IFERROR(__xludf.DUMMYFUNCTION("""COMPUTED_VALUE"""),"ZZV647495")</f>
        <v>ZZV647495</v>
      </c>
      <c r="G58" s="2" t="str">
        <f>IFERROR(__xludf.DUMMYFUNCTION("""COMPUTED_VALUE"""),"Bahrain")</f>
        <v>Bahrain</v>
      </c>
      <c r="H58" s="4">
        <f>IFERROR(__xludf.DUMMYFUNCTION("""COMPUTED_VALUE"""),10.0)</f>
        <v>10</v>
      </c>
      <c r="I58" s="3">
        <f>IFERROR(__xludf.DUMMYFUNCTION("""COMPUTED_VALUE"""),0.0)</f>
        <v>0</v>
      </c>
      <c r="J58" s="4">
        <f>IFERROR(__xludf.DUMMYFUNCTION("""COMPUTED_VALUE"""),1.0)</f>
        <v>1</v>
      </c>
      <c r="K58" s="2"/>
      <c r="L58" s="2" t="str">
        <f>IFERROR(__xludf.DUMMYFUNCTION("""COMPUTED_VALUE"""),"Delivered")</f>
        <v>Delivered</v>
      </c>
      <c r="M58" s="2" t="str">
        <f>IFERROR(__xludf.DUMMYFUNCTION("""COMPUTED_VALUE"""),"BHD")</f>
        <v>BHD</v>
      </c>
      <c r="N58" s="2" t="str">
        <f>IFERROR(__xludf.DUMMYFUNCTION("""COMPUTED_VALUE"""),"Credit, Debit")</f>
        <v>Credit, Debit</v>
      </c>
      <c r="O58" s="4">
        <f>IFERROR(__xludf.DUMMYFUNCTION("""COMPUTED_VALUE"""),0.0)</f>
        <v>0</v>
      </c>
      <c r="P58" s="2">
        <f>IFERROR(__xludf.DUMMYFUNCTION("""COMPUTED_VALUE"""),15.0)</f>
        <v>15</v>
      </c>
      <c r="Q58" s="2">
        <f>IFERROR(__xludf.DUMMYFUNCTION("""COMPUTED_VALUE"""),3.0)</f>
        <v>3</v>
      </c>
      <c r="R58" s="2">
        <f>IFERROR(__xludf.DUMMYFUNCTION("""COMPUTED_VALUE"""),2025.0)</f>
        <v>2025</v>
      </c>
      <c r="S58" s="2" t="str">
        <f>IFERROR(__xludf.DUMMYFUNCTION("""COMPUTED_VALUE"""),"Digizag")</f>
        <v>Digizag</v>
      </c>
      <c r="T58" s="2" t="str">
        <f>IFERROR(__xludf.DUMMYFUNCTION("""COMPUTED_VALUE"""),"Digizag")</f>
        <v>Digizag</v>
      </c>
      <c r="U58" s="5">
        <f>IFERROR(__xludf.DUMMYFUNCTION("""COMPUTED_VALUE"""),26.52917)</f>
        <v>26.52917</v>
      </c>
      <c r="V58" s="2"/>
      <c r="W58" s="2"/>
      <c r="X58" s="2"/>
      <c r="Y58" s="2"/>
      <c r="Z58" s="2"/>
    </row>
    <row r="59">
      <c r="A59" s="6">
        <f>IFERROR(__xludf.DUMMYFUNCTION("""COMPUTED_VALUE"""),45731.67318287037)</f>
        <v>45731.67318</v>
      </c>
      <c r="B59" s="2" t="str">
        <f>IFERROR(__xludf.DUMMYFUNCTION("""COMPUTED_VALUE"""),"March")</f>
        <v>March</v>
      </c>
      <c r="C59" s="3">
        <f>IFERROR(__xludf.DUMMYFUNCTION("""COMPUTED_VALUE"""),122271.0)</f>
        <v>122271</v>
      </c>
      <c r="D59" s="2" t="str">
        <f>IFERROR(__xludf.DUMMYFUNCTION("""COMPUTED_VALUE"""),"DB3")</f>
        <v>DB3</v>
      </c>
      <c r="E59" s="2" t="str">
        <f>IFERROR(__xludf.DUMMYFUNCTION("""COMPUTED_VALUE"""),"Imported from file Digizag.xlsx")</f>
        <v>Imported from file Digizag.xlsx</v>
      </c>
      <c r="F59" s="2" t="str">
        <f>IFERROR(__xludf.DUMMYFUNCTION("""COMPUTED_VALUE"""),"QWT785038")</f>
        <v>QWT785038</v>
      </c>
      <c r="G59" s="2" t="str">
        <f>IFERROR(__xludf.DUMMYFUNCTION("""COMPUTED_VALUE"""),"Kingdom of Saudi Arabia")</f>
        <v>Kingdom of Saudi Arabia</v>
      </c>
      <c r="H59" s="4">
        <f>IFERROR(__xludf.DUMMYFUNCTION("""COMPUTED_VALUE"""),103.48)</f>
        <v>103.48</v>
      </c>
      <c r="I59" s="3">
        <f>IFERROR(__xludf.DUMMYFUNCTION("""COMPUTED_VALUE"""),0.0)</f>
        <v>0</v>
      </c>
      <c r="J59" s="4">
        <f>IFERROR(__xludf.DUMMYFUNCTION("""COMPUTED_VALUE"""),10.34)</f>
        <v>10.34</v>
      </c>
      <c r="K59" s="2"/>
      <c r="L59" s="2" t="str">
        <f>IFERROR(__xludf.DUMMYFUNCTION("""COMPUTED_VALUE"""),"Delivered")</f>
        <v>Delivered</v>
      </c>
      <c r="M59" s="2" t="str">
        <f>IFERROR(__xludf.DUMMYFUNCTION("""COMPUTED_VALUE"""),"SR")</f>
        <v>SR</v>
      </c>
      <c r="N59" s="2" t="str">
        <f>IFERROR(__xludf.DUMMYFUNCTION("""COMPUTED_VALUE"""),"Credit, Debit, Apple Pay")</f>
        <v>Credit, Debit, Apple Pay</v>
      </c>
      <c r="O59" s="4">
        <f>IFERROR(__xludf.DUMMYFUNCTION("""COMPUTED_VALUE"""),0.0)</f>
        <v>0</v>
      </c>
      <c r="P59" s="2">
        <f>IFERROR(__xludf.DUMMYFUNCTION("""COMPUTED_VALUE"""),15.0)</f>
        <v>15</v>
      </c>
      <c r="Q59" s="2">
        <f>IFERROR(__xludf.DUMMYFUNCTION("""COMPUTED_VALUE"""),3.0)</f>
        <v>3</v>
      </c>
      <c r="R59" s="2">
        <f>IFERROR(__xludf.DUMMYFUNCTION("""COMPUTED_VALUE"""),2025.0)</f>
        <v>2025</v>
      </c>
      <c r="S59" s="2" t="str">
        <f>IFERROR(__xludf.DUMMYFUNCTION("""COMPUTED_VALUE"""),"Digizag")</f>
        <v>Digizag</v>
      </c>
      <c r="T59" s="2" t="str">
        <f>IFERROR(__xludf.DUMMYFUNCTION("""COMPUTED_VALUE"""),"Digizag")</f>
        <v>Digizag</v>
      </c>
      <c r="U59" s="5">
        <f>IFERROR(__xludf.DUMMYFUNCTION("""COMPUTED_VALUE"""),27.592532840080004)</f>
        <v>27.59253284</v>
      </c>
      <c r="V59" s="2"/>
      <c r="W59" s="2"/>
      <c r="X59" s="2"/>
      <c r="Y59" s="2"/>
      <c r="Z59" s="2"/>
    </row>
    <row r="60">
      <c r="A60" s="6">
        <f>IFERROR(__xludf.DUMMYFUNCTION("""COMPUTED_VALUE"""),45731.835127314815)</f>
        <v>45731.83513</v>
      </c>
      <c r="B60" s="2" t="str">
        <f>IFERROR(__xludf.DUMMYFUNCTION("""COMPUTED_VALUE"""),"March")</f>
        <v>March</v>
      </c>
      <c r="C60" s="3">
        <f>IFERROR(__xludf.DUMMYFUNCTION("""COMPUTED_VALUE"""),22523.0)</f>
        <v>22523</v>
      </c>
      <c r="D60" s="2" t="str">
        <f>IFERROR(__xludf.DUMMYFUNCTION("""COMPUTED_VALUE"""),"MIMI44")</f>
        <v>MIMI44</v>
      </c>
      <c r="E60" s="2" t="str">
        <f>IFERROR(__xludf.DUMMYFUNCTION("""COMPUTED_VALUE"""),"Imported from file DigiZag Codes 25Feb25.xlsx")</f>
        <v>Imported from file DigiZag Codes 25Feb25.xlsx</v>
      </c>
      <c r="F60" s="2" t="str">
        <f>IFERROR(__xludf.DUMMYFUNCTION("""COMPUTED_VALUE"""),"PGV435864")</f>
        <v>PGV435864</v>
      </c>
      <c r="G60" s="2" t="str">
        <f>IFERROR(__xludf.DUMMYFUNCTION("""COMPUTED_VALUE"""),"Kuwait")</f>
        <v>Kuwait</v>
      </c>
      <c r="H60" s="4">
        <f>IFERROR(__xludf.DUMMYFUNCTION("""COMPUTED_VALUE"""),15.2)</f>
        <v>15.2</v>
      </c>
      <c r="I60" s="3">
        <f>IFERROR(__xludf.DUMMYFUNCTION("""COMPUTED_VALUE"""),0.0)</f>
        <v>0</v>
      </c>
      <c r="J60" s="4">
        <f>IFERROR(__xludf.DUMMYFUNCTION("""COMPUTED_VALUE"""),1.52)</f>
        <v>1.52</v>
      </c>
      <c r="K60" s="2"/>
      <c r="L60" s="2" t="str">
        <f>IFERROR(__xludf.DUMMYFUNCTION("""COMPUTED_VALUE"""),"Delivered")</f>
        <v>Delivered</v>
      </c>
      <c r="M60" s="2" t="str">
        <f>IFERROR(__xludf.DUMMYFUNCTION("""COMPUTED_VALUE"""),"KD")</f>
        <v>KD</v>
      </c>
      <c r="N60" s="2" t="str">
        <f>IFERROR(__xludf.DUMMYFUNCTION("""COMPUTED_VALUE"""),"Credit, Debit, Knet")</f>
        <v>Credit, Debit, Knet</v>
      </c>
      <c r="O60" s="4">
        <f>IFERROR(__xludf.DUMMYFUNCTION("""COMPUTED_VALUE"""),0.0)</f>
        <v>0</v>
      </c>
      <c r="P60" s="2">
        <f>IFERROR(__xludf.DUMMYFUNCTION("""COMPUTED_VALUE"""),15.0)</f>
        <v>15</v>
      </c>
      <c r="Q60" s="2">
        <f>IFERROR(__xludf.DUMMYFUNCTION("""COMPUTED_VALUE"""),3.0)</f>
        <v>3</v>
      </c>
      <c r="R60" s="2">
        <f>IFERROR(__xludf.DUMMYFUNCTION("""COMPUTED_VALUE"""),2025.0)</f>
        <v>2025</v>
      </c>
      <c r="S60" s="2" t="str">
        <f>IFERROR(__xludf.DUMMYFUNCTION("""COMPUTED_VALUE"""),"Digizag")</f>
        <v>Digizag</v>
      </c>
      <c r="T60" s="2" t="str">
        <f>IFERROR(__xludf.DUMMYFUNCTION("""COMPUTED_VALUE"""),"Digizag")</f>
        <v>Digizag</v>
      </c>
      <c r="U60" s="5">
        <f>IFERROR(__xludf.DUMMYFUNCTION("""COMPUTED_VALUE"""),49.561423999999995)</f>
        <v>49.561424</v>
      </c>
      <c r="V60" s="2"/>
      <c r="W60" s="2"/>
      <c r="X60" s="2"/>
      <c r="Y60" s="2"/>
      <c r="Z60" s="2"/>
    </row>
    <row r="61">
      <c r="A61" s="6">
        <f>IFERROR(__xludf.DUMMYFUNCTION("""COMPUTED_VALUE"""),45732.78020833333)</f>
        <v>45732.78021</v>
      </c>
      <c r="B61" s="2" t="str">
        <f>IFERROR(__xludf.DUMMYFUNCTION("""COMPUTED_VALUE"""),"March")</f>
        <v>March</v>
      </c>
      <c r="C61" s="3">
        <f>IFERROR(__xludf.DUMMYFUNCTION("""COMPUTED_VALUE"""),53759.0)</f>
        <v>53759</v>
      </c>
      <c r="D61" s="2" t="str">
        <f>IFERROR(__xludf.DUMMYFUNCTION("""COMPUTED_VALUE"""),"DB3")</f>
        <v>DB3</v>
      </c>
      <c r="E61" s="2" t="str">
        <f>IFERROR(__xludf.DUMMYFUNCTION("""COMPUTED_VALUE"""),"Imported from file Digizag.xlsx")</f>
        <v>Imported from file Digizag.xlsx</v>
      </c>
      <c r="F61" s="2" t="str">
        <f>IFERROR(__xludf.DUMMYFUNCTION("""COMPUTED_VALUE"""),"UUL755954")</f>
        <v>UUL755954</v>
      </c>
      <c r="G61" s="2" t="str">
        <f>IFERROR(__xludf.DUMMYFUNCTION("""COMPUTED_VALUE"""),"Kingdom of Saudi Arabia")</f>
        <v>Kingdom of Saudi Arabia</v>
      </c>
      <c r="H61" s="4">
        <f>IFERROR(__xludf.DUMMYFUNCTION("""COMPUTED_VALUE"""),129.0)</f>
        <v>129</v>
      </c>
      <c r="I61" s="3">
        <f>IFERROR(__xludf.DUMMYFUNCTION("""COMPUTED_VALUE"""),0.0)</f>
        <v>0</v>
      </c>
      <c r="J61" s="4">
        <f>IFERROR(__xludf.DUMMYFUNCTION("""COMPUTED_VALUE"""),12.9)</f>
        <v>12.9</v>
      </c>
      <c r="K61" s="2"/>
      <c r="L61" s="2" t="str">
        <f>IFERROR(__xludf.DUMMYFUNCTION("""COMPUTED_VALUE"""),"Delivered")</f>
        <v>Delivered</v>
      </c>
      <c r="M61" s="2" t="str">
        <f>IFERROR(__xludf.DUMMYFUNCTION("""COMPUTED_VALUE"""),"SR")</f>
        <v>SR</v>
      </c>
      <c r="N61" s="2" t="str">
        <f>IFERROR(__xludf.DUMMYFUNCTION("""COMPUTED_VALUE"""),"Credit, Debit, Apple Pay")</f>
        <v>Credit, Debit, Apple Pay</v>
      </c>
      <c r="O61" s="4">
        <f>IFERROR(__xludf.DUMMYFUNCTION("""COMPUTED_VALUE"""),0.0)</f>
        <v>0</v>
      </c>
      <c r="P61" s="2">
        <f>IFERROR(__xludf.DUMMYFUNCTION("""COMPUTED_VALUE"""),16.0)</f>
        <v>16</v>
      </c>
      <c r="Q61" s="2">
        <f>IFERROR(__xludf.DUMMYFUNCTION("""COMPUTED_VALUE"""),3.0)</f>
        <v>3</v>
      </c>
      <c r="R61" s="2">
        <f>IFERROR(__xludf.DUMMYFUNCTION("""COMPUTED_VALUE"""),2025.0)</f>
        <v>2025</v>
      </c>
      <c r="S61" s="2" t="str">
        <f>IFERROR(__xludf.DUMMYFUNCTION("""COMPUTED_VALUE"""),"Digizag")</f>
        <v>Digizag</v>
      </c>
      <c r="T61" s="2" t="str">
        <f>IFERROR(__xludf.DUMMYFUNCTION("""COMPUTED_VALUE"""),"Digizag")</f>
        <v>Digizag</v>
      </c>
      <c r="U61" s="5">
        <f>IFERROR(__xludf.DUMMYFUNCTION("""COMPUTED_VALUE"""),34.397339934)</f>
        <v>34.39733993</v>
      </c>
      <c r="V61" s="2"/>
      <c r="W61" s="2"/>
      <c r="X61" s="2"/>
      <c r="Y61" s="2"/>
      <c r="Z61" s="2"/>
    </row>
    <row r="62">
      <c r="A62" s="6">
        <f>IFERROR(__xludf.DUMMYFUNCTION("""COMPUTED_VALUE"""),45732.78603009259)</f>
        <v>45732.78603</v>
      </c>
      <c r="B62" s="2" t="str">
        <f>IFERROR(__xludf.DUMMYFUNCTION("""COMPUTED_VALUE"""),"March")</f>
        <v>March</v>
      </c>
      <c r="C62" s="3">
        <f>IFERROR(__xludf.DUMMYFUNCTION("""COMPUTED_VALUE"""),220991.0)</f>
        <v>220991</v>
      </c>
      <c r="D62" s="2" t="str">
        <f>IFERROR(__xludf.DUMMYFUNCTION("""COMPUTED_VALUE"""),"MNN15")</f>
        <v>MNN15</v>
      </c>
      <c r="E62" s="2" t="str">
        <f>IFERROR(__xludf.DUMMYFUNCTION("""COMPUTED_VALUE"""),"Imported from file DigiZag Bidding Codes.xlsx")</f>
        <v>Imported from file DigiZag Bidding Codes.xlsx</v>
      </c>
      <c r="F62" s="2" t="str">
        <f>IFERROR(__xludf.DUMMYFUNCTION("""COMPUTED_VALUE"""),"GEY165339")</f>
        <v>GEY165339</v>
      </c>
      <c r="G62" s="2" t="str">
        <f>IFERROR(__xludf.DUMMYFUNCTION("""COMPUTED_VALUE"""),"Kingdom of Saudi Arabia")</f>
        <v>Kingdom of Saudi Arabia</v>
      </c>
      <c r="H62" s="4">
        <f>IFERROR(__xludf.DUMMYFUNCTION("""COMPUTED_VALUE"""),130.0)</f>
        <v>130</v>
      </c>
      <c r="I62" s="3">
        <f>IFERROR(__xludf.DUMMYFUNCTION("""COMPUTED_VALUE"""),0.0)</f>
        <v>0</v>
      </c>
      <c r="J62" s="4">
        <f>IFERROR(__xludf.DUMMYFUNCTION("""COMPUTED_VALUE"""),13.0)</f>
        <v>13</v>
      </c>
      <c r="K62" s="2"/>
      <c r="L62" s="2" t="str">
        <f>IFERROR(__xludf.DUMMYFUNCTION("""COMPUTED_VALUE"""),"Delivered")</f>
        <v>Delivered</v>
      </c>
      <c r="M62" s="2" t="str">
        <f>IFERROR(__xludf.DUMMYFUNCTION("""COMPUTED_VALUE"""),"SR")</f>
        <v>SR</v>
      </c>
      <c r="N62" s="2" t="str">
        <f>IFERROR(__xludf.DUMMYFUNCTION("""COMPUTED_VALUE"""),"Credit, Debit, Apple Pay")</f>
        <v>Credit, Debit, Apple Pay</v>
      </c>
      <c r="O62" s="4">
        <f>IFERROR(__xludf.DUMMYFUNCTION("""COMPUTED_VALUE"""),0.0)</f>
        <v>0</v>
      </c>
      <c r="P62" s="2">
        <f>IFERROR(__xludf.DUMMYFUNCTION("""COMPUTED_VALUE"""),16.0)</f>
        <v>16</v>
      </c>
      <c r="Q62" s="2">
        <f>IFERROR(__xludf.DUMMYFUNCTION("""COMPUTED_VALUE"""),3.0)</f>
        <v>3</v>
      </c>
      <c r="R62" s="2">
        <f>IFERROR(__xludf.DUMMYFUNCTION("""COMPUTED_VALUE"""),2025.0)</f>
        <v>2025</v>
      </c>
      <c r="S62" s="2" t="str">
        <f>IFERROR(__xludf.DUMMYFUNCTION("""COMPUTED_VALUE"""),"Digizag")</f>
        <v>Digizag</v>
      </c>
      <c r="T62" s="2" t="str">
        <f>IFERROR(__xludf.DUMMYFUNCTION("""COMPUTED_VALUE"""),"Digizag")</f>
        <v>Digizag</v>
      </c>
      <c r="U62" s="5">
        <f>IFERROR(__xludf.DUMMYFUNCTION("""COMPUTED_VALUE"""),34.66398598000001)</f>
        <v>34.66398598</v>
      </c>
      <c r="V62" s="2"/>
      <c r="W62" s="2"/>
      <c r="X62" s="2"/>
      <c r="Y62" s="2"/>
      <c r="Z62" s="2"/>
    </row>
    <row r="63">
      <c r="A63" s="6">
        <f>IFERROR(__xludf.DUMMYFUNCTION("""COMPUTED_VALUE"""),45733.01196759259)</f>
        <v>45733.01197</v>
      </c>
      <c r="B63" s="2" t="str">
        <f>IFERROR(__xludf.DUMMYFUNCTION("""COMPUTED_VALUE"""),"March")</f>
        <v>March</v>
      </c>
      <c r="C63" s="3">
        <f>IFERROR(__xludf.DUMMYFUNCTION("""COMPUTED_VALUE"""),705095.0)</f>
        <v>705095</v>
      </c>
      <c r="D63" s="2" t="str">
        <f>IFERROR(__xludf.DUMMYFUNCTION("""COMPUTED_VALUE"""),"MNN16")</f>
        <v>MNN16</v>
      </c>
      <c r="E63" s="2" t="str">
        <f>IFERROR(__xludf.DUMMYFUNCTION("""COMPUTED_VALUE"""),"Imported from file DigiZag Bidding Codes.xlsx")</f>
        <v>Imported from file DigiZag Bidding Codes.xlsx</v>
      </c>
      <c r="F63" s="2" t="str">
        <f>IFERROR(__xludf.DUMMYFUNCTION("""COMPUTED_VALUE"""),"WDD215401")</f>
        <v>WDD215401</v>
      </c>
      <c r="G63" s="2" t="str">
        <f>IFERROR(__xludf.DUMMYFUNCTION("""COMPUTED_VALUE"""),"Kingdom of Saudi Arabia")</f>
        <v>Kingdom of Saudi Arabia</v>
      </c>
      <c r="H63" s="4">
        <f>IFERROR(__xludf.DUMMYFUNCTION("""COMPUTED_VALUE"""),99.45)</f>
        <v>99.45</v>
      </c>
      <c r="I63" s="3">
        <f>IFERROR(__xludf.DUMMYFUNCTION("""COMPUTED_VALUE"""),0.0)</f>
        <v>0</v>
      </c>
      <c r="J63" s="4">
        <f>IFERROR(__xludf.DUMMYFUNCTION("""COMPUTED_VALUE"""),9.93)</f>
        <v>9.93</v>
      </c>
      <c r="K63" s="2"/>
      <c r="L63" s="2" t="str">
        <f>IFERROR(__xludf.DUMMYFUNCTION("""COMPUTED_VALUE"""),"Delivered")</f>
        <v>Delivered</v>
      </c>
      <c r="M63" s="2" t="str">
        <f>IFERROR(__xludf.DUMMYFUNCTION("""COMPUTED_VALUE"""),"SR")</f>
        <v>SR</v>
      </c>
      <c r="N63" s="2" t="str">
        <f>IFERROR(__xludf.DUMMYFUNCTION("""COMPUTED_VALUE"""),"Credit, Debit, Apple Pay")</f>
        <v>Credit, Debit, Apple Pay</v>
      </c>
      <c r="O63" s="4">
        <f>IFERROR(__xludf.DUMMYFUNCTION("""COMPUTED_VALUE"""),0.0)</f>
        <v>0</v>
      </c>
      <c r="P63" s="2">
        <f>IFERROR(__xludf.DUMMYFUNCTION("""COMPUTED_VALUE"""),17.0)</f>
        <v>17</v>
      </c>
      <c r="Q63" s="2">
        <f>IFERROR(__xludf.DUMMYFUNCTION("""COMPUTED_VALUE"""),3.0)</f>
        <v>3</v>
      </c>
      <c r="R63" s="2">
        <f>IFERROR(__xludf.DUMMYFUNCTION("""COMPUTED_VALUE"""),2025.0)</f>
        <v>2025</v>
      </c>
      <c r="S63" s="2" t="str">
        <f>IFERROR(__xludf.DUMMYFUNCTION("""COMPUTED_VALUE"""),"Digizag")</f>
        <v>Digizag</v>
      </c>
      <c r="T63" s="2" t="str">
        <f>IFERROR(__xludf.DUMMYFUNCTION("""COMPUTED_VALUE"""),"Digizag")</f>
        <v>Digizag</v>
      </c>
      <c r="U63" s="5">
        <f>IFERROR(__xludf.DUMMYFUNCTION("""COMPUTED_VALUE"""),26.517949274700005)</f>
        <v>26.51794927</v>
      </c>
      <c r="V63" s="2"/>
      <c r="W63" s="2"/>
      <c r="X63" s="2"/>
      <c r="Y63" s="2"/>
      <c r="Z63" s="2"/>
    </row>
    <row r="64">
      <c r="A64" s="6">
        <f>IFERROR(__xludf.DUMMYFUNCTION("""COMPUTED_VALUE"""),45733.46377314815)</f>
        <v>45733.46377</v>
      </c>
      <c r="B64" s="2" t="str">
        <f>IFERROR(__xludf.DUMMYFUNCTION("""COMPUTED_VALUE"""),"March")</f>
        <v>March</v>
      </c>
      <c r="C64" s="3">
        <f>IFERROR(__xludf.DUMMYFUNCTION("""COMPUTED_VALUE"""),703528.0)</f>
        <v>703528</v>
      </c>
      <c r="D64" s="2" t="str">
        <f>IFERROR(__xludf.DUMMYFUNCTION("""COMPUTED_VALUE"""),"MNN17")</f>
        <v>MNN17</v>
      </c>
      <c r="E64" s="2" t="str">
        <f>IFERROR(__xludf.DUMMYFUNCTION("""COMPUTED_VALUE"""),"Imported from file DigiZag Bidding Codes.xlsx")</f>
        <v>Imported from file DigiZag Bidding Codes.xlsx</v>
      </c>
      <c r="F64" s="2" t="str">
        <f>IFERROR(__xludf.DUMMYFUNCTION("""COMPUTED_VALUE"""),"CDN698888")</f>
        <v>CDN698888</v>
      </c>
      <c r="G64" s="2" t="str">
        <f>IFERROR(__xludf.DUMMYFUNCTION("""COMPUTED_VALUE"""),"Kingdom of Saudi Arabia")</f>
        <v>Kingdom of Saudi Arabia</v>
      </c>
      <c r="H64" s="4">
        <f>IFERROR(__xludf.DUMMYFUNCTION("""COMPUTED_VALUE"""),712.71)</f>
        <v>712.71</v>
      </c>
      <c r="I64" s="3">
        <f>IFERROR(__xludf.DUMMYFUNCTION("""COMPUTED_VALUE"""),0.0)</f>
        <v>0</v>
      </c>
      <c r="J64" s="4">
        <f>IFERROR(__xludf.DUMMYFUNCTION("""COMPUTED_VALUE"""),71.25)</f>
        <v>71.25</v>
      </c>
      <c r="K64" s="2"/>
      <c r="L64" s="2" t="str">
        <f>IFERROR(__xludf.DUMMYFUNCTION("""COMPUTED_VALUE"""),"Delivered")</f>
        <v>Delivered</v>
      </c>
      <c r="M64" s="2" t="str">
        <f>IFERROR(__xludf.DUMMYFUNCTION("""COMPUTED_VALUE"""),"SR")</f>
        <v>SR</v>
      </c>
      <c r="N64" s="2" t="str">
        <f>IFERROR(__xludf.DUMMYFUNCTION("""COMPUTED_VALUE"""),"Pay in 4. No interest, no fees")</f>
        <v>Pay in 4. No interest, no fees</v>
      </c>
      <c r="O64" s="4">
        <f>IFERROR(__xludf.DUMMYFUNCTION("""COMPUTED_VALUE"""),0.0)</f>
        <v>0</v>
      </c>
      <c r="P64" s="2">
        <f>IFERROR(__xludf.DUMMYFUNCTION("""COMPUTED_VALUE"""),17.0)</f>
        <v>17</v>
      </c>
      <c r="Q64" s="2">
        <f>IFERROR(__xludf.DUMMYFUNCTION("""COMPUTED_VALUE"""),3.0)</f>
        <v>3</v>
      </c>
      <c r="R64" s="2">
        <f>IFERROR(__xludf.DUMMYFUNCTION("""COMPUTED_VALUE"""),2025.0)</f>
        <v>2025</v>
      </c>
      <c r="S64" s="2" t="str">
        <f>IFERROR(__xludf.DUMMYFUNCTION("""COMPUTED_VALUE"""),"Digizag")</f>
        <v>Digizag</v>
      </c>
      <c r="T64" s="2" t="str">
        <f>IFERROR(__xludf.DUMMYFUNCTION("""COMPUTED_VALUE"""),"Digizag")</f>
        <v>Digizag</v>
      </c>
      <c r="U64" s="5">
        <f>IFERROR(__xludf.DUMMYFUNCTION("""COMPUTED_VALUE"""),190.04130344466003)</f>
        <v>190.0413034</v>
      </c>
      <c r="V64" s="2"/>
      <c r="W64" s="2"/>
      <c r="X64" s="2"/>
      <c r="Y64" s="2"/>
      <c r="Z64" s="2"/>
    </row>
    <row r="65">
      <c r="A65" s="6">
        <f>IFERROR(__xludf.DUMMYFUNCTION("""COMPUTED_VALUE"""),45733.57302083333)</f>
        <v>45733.57302</v>
      </c>
      <c r="B65" s="2" t="str">
        <f>IFERROR(__xludf.DUMMYFUNCTION("""COMPUTED_VALUE"""),"March")</f>
        <v>March</v>
      </c>
      <c r="C65" s="3">
        <f>IFERROR(__xludf.DUMMYFUNCTION("""COMPUTED_VALUE"""),696371.0)</f>
        <v>696371</v>
      </c>
      <c r="D65" s="2" t="str">
        <f>IFERROR(__xludf.DUMMYFUNCTION("""COMPUTED_VALUE"""),"DB1")</f>
        <v>DB1</v>
      </c>
      <c r="E65" s="2" t="str">
        <f>IFERROR(__xludf.DUMMYFUNCTION("""COMPUTED_VALUE"""),"Imported from file Digizag.xlsx")</f>
        <v>Imported from file Digizag.xlsx</v>
      </c>
      <c r="F65" s="2" t="str">
        <f>IFERROR(__xludf.DUMMYFUNCTION("""COMPUTED_VALUE"""),"AXL504862")</f>
        <v>AXL504862</v>
      </c>
      <c r="G65" s="2" t="str">
        <f>IFERROR(__xludf.DUMMYFUNCTION("""COMPUTED_VALUE"""),"Kuwait")</f>
        <v>Kuwait</v>
      </c>
      <c r="H65" s="4">
        <f>IFERROR(__xludf.DUMMYFUNCTION("""COMPUTED_VALUE"""),7.95)</f>
        <v>7.95</v>
      </c>
      <c r="I65" s="3">
        <f>IFERROR(__xludf.DUMMYFUNCTION("""COMPUTED_VALUE"""),0.0)</f>
        <v>0</v>
      </c>
      <c r="J65" s="4">
        <f>IFERROR(__xludf.DUMMYFUNCTION("""COMPUTED_VALUE"""),0.795)</f>
        <v>0.795</v>
      </c>
      <c r="K65" s="2"/>
      <c r="L65" s="2" t="str">
        <f>IFERROR(__xludf.DUMMYFUNCTION("""COMPUTED_VALUE"""),"Delivered")</f>
        <v>Delivered</v>
      </c>
      <c r="M65" s="2" t="str">
        <f>IFERROR(__xludf.DUMMYFUNCTION("""COMPUTED_VALUE"""),"KD")</f>
        <v>KD</v>
      </c>
      <c r="N65" s="2" t="str">
        <f>IFERROR(__xludf.DUMMYFUNCTION("""COMPUTED_VALUE"""),"Cash")</f>
        <v>Cash</v>
      </c>
      <c r="O65" s="4">
        <f>IFERROR(__xludf.DUMMYFUNCTION("""COMPUTED_VALUE"""),0.0)</f>
        <v>0</v>
      </c>
      <c r="P65" s="2">
        <f>IFERROR(__xludf.DUMMYFUNCTION("""COMPUTED_VALUE"""),17.0)</f>
        <v>17</v>
      </c>
      <c r="Q65" s="2">
        <f>IFERROR(__xludf.DUMMYFUNCTION("""COMPUTED_VALUE"""),3.0)</f>
        <v>3</v>
      </c>
      <c r="R65" s="2">
        <f>IFERROR(__xludf.DUMMYFUNCTION("""COMPUTED_VALUE"""),2025.0)</f>
        <v>2025</v>
      </c>
      <c r="S65" s="2" t="str">
        <f>IFERROR(__xludf.DUMMYFUNCTION("""COMPUTED_VALUE"""),"Digizag")</f>
        <v>Digizag</v>
      </c>
      <c r="T65" s="2" t="str">
        <f>IFERROR(__xludf.DUMMYFUNCTION("""COMPUTED_VALUE"""),"Digizag")</f>
        <v>Digizag</v>
      </c>
      <c r="U65" s="5">
        <f>IFERROR(__xludf.DUMMYFUNCTION("""COMPUTED_VALUE"""),25.921929)</f>
        <v>25.921929</v>
      </c>
      <c r="V65" s="2"/>
      <c r="W65" s="2"/>
      <c r="X65" s="2"/>
      <c r="Y65" s="2"/>
      <c r="Z65" s="2"/>
    </row>
    <row r="66">
      <c r="A66" s="6">
        <f>IFERROR(__xludf.DUMMYFUNCTION("""COMPUTED_VALUE"""),45733.89324074074)</f>
        <v>45733.89324</v>
      </c>
      <c r="B66" s="2" t="str">
        <f>IFERROR(__xludf.DUMMYFUNCTION("""COMPUTED_VALUE"""),"March")</f>
        <v>March</v>
      </c>
      <c r="C66" s="3">
        <f>IFERROR(__xludf.DUMMYFUNCTION("""COMPUTED_VALUE"""),705440.0)</f>
        <v>705440</v>
      </c>
      <c r="D66" s="2" t="str">
        <f>IFERROR(__xludf.DUMMYFUNCTION("""COMPUTED_VALUE"""),"MNN16")</f>
        <v>MNN16</v>
      </c>
      <c r="E66" s="2" t="str">
        <f>IFERROR(__xludf.DUMMYFUNCTION("""COMPUTED_VALUE"""),"Imported from file DigiZag Codes 25Feb25.xlsx")</f>
        <v>Imported from file DigiZag Codes 25Feb25.xlsx</v>
      </c>
      <c r="F66" s="2" t="str">
        <f>IFERROR(__xludf.DUMMYFUNCTION("""COMPUTED_VALUE"""),"TYU790526")</f>
        <v>TYU790526</v>
      </c>
      <c r="G66" s="2" t="str">
        <f>IFERROR(__xludf.DUMMYFUNCTION("""COMPUTED_VALUE"""),"UAE")</f>
        <v>UAE</v>
      </c>
      <c r="H66" s="4">
        <f>IFERROR(__xludf.DUMMYFUNCTION("""COMPUTED_VALUE"""),257.0)</f>
        <v>257</v>
      </c>
      <c r="I66" s="3">
        <f>IFERROR(__xludf.DUMMYFUNCTION("""COMPUTED_VALUE"""),0.0)</f>
        <v>0</v>
      </c>
      <c r="J66" s="4">
        <f>IFERROR(__xludf.DUMMYFUNCTION("""COMPUTED_VALUE"""),25.7)</f>
        <v>25.7</v>
      </c>
      <c r="K66" s="2"/>
      <c r="L66" s="2" t="str">
        <f>IFERROR(__xludf.DUMMYFUNCTION("""COMPUTED_VALUE"""),"Delivered")</f>
        <v>Delivered</v>
      </c>
      <c r="M66" s="2" t="str">
        <f>IFERROR(__xludf.DUMMYFUNCTION("""COMPUTED_VALUE"""),"AED")</f>
        <v>AED</v>
      </c>
      <c r="N66" s="2" t="str">
        <f>IFERROR(__xludf.DUMMYFUNCTION("""COMPUTED_VALUE"""),"Credit, Debit , Apple Pay")</f>
        <v>Credit, Debit , Apple Pay</v>
      </c>
      <c r="O66" s="4">
        <f>IFERROR(__xludf.DUMMYFUNCTION("""COMPUTED_VALUE"""),0.0)</f>
        <v>0</v>
      </c>
      <c r="P66" s="2">
        <f>IFERROR(__xludf.DUMMYFUNCTION("""COMPUTED_VALUE"""),17.0)</f>
        <v>17</v>
      </c>
      <c r="Q66" s="2">
        <f>IFERROR(__xludf.DUMMYFUNCTION("""COMPUTED_VALUE"""),3.0)</f>
        <v>3</v>
      </c>
      <c r="R66" s="2">
        <f>IFERROR(__xludf.DUMMYFUNCTION("""COMPUTED_VALUE"""),2025.0)</f>
        <v>2025</v>
      </c>
      <c r="S66" s="2" t="str">
        <f>IFERROR(__xludf.DUMMYFUNCTION("""COMPUTED_VALUE"""),"Digizag")</f>
        <v>Digizag</v>
      </c>
      <c r="T66" s="2" t="str">
        <f>IFERROR(__xludf.DUMMYFUNCTION("""COMPUTED_VALUE"""),"Digizag")</f>
        <v>Digizag</v>
      </c>
      <c r="U66" s="5">
        <f>IFERROR(__xludf.DUMMYFUNCTION("""COMPUTED_VALUE"""),69.979578046)</f>
        <v>69.97957805</v>
      </c>
      <c r="V66" s="2"/>
      <c r="W66" s="2"/>
      <c r="X66" s="2"/>
      <c r="Y66" s="2"/>
      <c r="Z66" s="2"/>
    </row>
    <row r="67">
      <c r="A67" s="6">
        <f>IFERROR(__xludf.DUMMYFUNCTION("""COMPUTED_VALUE"""),45733.93858796296)</f>
        <v>45733.93859</v>
      </c>
      <c r="B67" s="2" t="str">
        <f>IFERROR(__xludf.DUMMYFUNCTION("""COMPUTED_VALUE"""),"March")</f>
        <v>March</v>
      </c>
      <c r="C67" s="3">
        <f>IFERROR(__xludf.DUMMYFUNCTION("""COMPUTED_VALUE"""),101639.0)</f>
        <v>101639</v>
      </c>
      <c r="D67" s="2" t="str">
        <f>IFERROR(__xludf.DUMMYFUNCTION("""COMPUTED_VALUE"""),"MIMI44")</f>
        <v>MIMI44</v>
      </c>
      <c r="E67" s="2" t="str">
        <f>IFERROR(__xludf.DUMMYFUNCTION("""COMPUTED_VALUE"""),"Imported from file DigiZag Codes 25Feb25.xlsx")</f>
        <v>Imported from file DigiZag Codes 25Feb25.xlsx</v>
      </c>
      <c r="F67" s="2" t="str">
        <f>IFERROR(__xludf.DUMMYFUNCTION("""COMPUTED_VALUE"""),"GTM614406")</f>
        <v>GTM614406</v>
      </c>
      <c r="G67" s="2" t="str">
        <f>IFERROR(__xludf.DUMMYFUNCTION("""COMPUTED_VALUE"""),"Kuwait")</f>
        <v>Kuwait</v>
      </c>
      <c r="H67" s="4">
        <f>IFERROR(__xludf.DUMMYFUNCTION("""COMPUTED_VALUE"""),12.4)</f>
        <v>12.4</v>
      </c>
      <c r="I67" s="3">
        <f>IFERROR(__xludf.DUMMYFUNCTION("""COMPUTED_VALUE"""),0.0)</f>
        <v>0</v>
      </c>
      <c r="J67" s="4">
        <f>IFERROR(__xludf.DUMMYFUNCTION("""COMPUTED_VALUE"""),1.24)</f>
        <v>1.24</v>
      </c>
      <c r="K67" s="2"/>
      <c r="L67" s="2" t="str">
        <f>IFERROR(__xludf.DUMMYFUNCTION("""COMPUTED_VALUE"""),"Delivered")</f>
        <v>Delivered</v>
      </c>
      <c r="M67" s="2" t="str">
        <f>IFERROR(__xludf.DUMMYFUNCTION("""COMPUTED_VALUE"""),"KD")</f>
        <v>KD</v>
      </c>
      <c r="N67" s="2" t="str">
        <f>IFERROR(__xludf.DUMMYFUNCTION("""COMPUTED_VALUE"""),"Credit, Debit, Knet")</f>
        <v>Credit, Debit, Knet</v>
      </c>
      <c r="O67" s="4">
        <f>IFERROR(__xludf.DUMMYFUNCTION("""COMPUTED_VALUE"""),0.0)</f>
        <v>0</v>
      </c>
      <c r="P67" s="2">
        <f>IFERROR(__xludf.DUMMYFUNCTION("""COMPUTED_VALUE"""),17.0)</f>
        <v>17</v>
      </c>
      <c r="Q67" s="2">
        <f>IFERROR(__xludf.DUMMYFUNCTION("""COMPUTED_VALUE"""),3.0)</f>
        <v>3</v>
      </c>
      <c r="R67" s="2">
        <f>IFERROR(__xludf.DUMMYFUNCTION("""COMPUTED_VALUE"""),2025.0)</f>
        <v>2025</v>
      </c>
      <c r="S67" s="2" t="str">
        <f>IFERROR(__xludf.DUMMYFUNCTION("""COMPUTED_VALUE"""),"Digizag")</f>
        <v>Digizag</v>
      </c>
      <c r="T67" s="2" t="str">
        <f>IFERROR(__xludf.DUMMYFUNCTION("""COMPUTED_VALUE"""),"Digizag")</f>
        <v>Digizag</v>
      </c>
      <c r="U67" s="5">
        <f>IFERROR(__xludf.DUMMYFUNCTION("""COMPUTED_VALUE"""),40.431688)</f>
        <v>40.431688</v>
      </c>
      <c r="V67" s="2"/>
      <c r="W67" s="2"/>
      <c r="X67" s="2"/>
      <c r="Y67" s="2"/>
      <c r="Z67" s="2"/>
    </row>
    <row r="68">
      <c r="A68" s="6">
        <f>IFERROR(__xludf.DUMMYFUNCTION("""COMPUTED_VALUE"""),45734.055509259255)</f>
        <v>45734.05551</v>
      </c>
      <c r="B68" s="2" t="str">
        <f>IFERROR(__xludf.DUMMYFUNCTION("""COMPUTED_VALUE"""),"March")</f>
        <v>March</v>
      </c>
      <c r="C68" s="3">
        <f>IFERROR(__xludf.DUMMYFUNCTION("""COMPUTED_VALUE"""),8713.0)</f>
        <v>8713</v>
      </c>
      <c r="D68" s="2" t="str">
        <f>IFERROR(__xludf.DUMMYFUNCTION("""COMPUTED_VALUE"""),"BITS")</f>
        <v>BITS</v>
      </c>
      <c r="E68" s="2" t="str">
        <f>IFERROR(__xludf.DUMMYFUNCTION("""COMPUTED_VALUE"""),"Imported from file DigiZag Codes 25Feb25.xlsx")</f>
        <v>Imported from file DigiZag Codes 25Feb25.xlsx</v>
      </c>
      <c r="F68" s="2" t="str">
        <f>IFERROR(__xludf.DUMMYFUNCTION("""COMPUTED_VALUE"""),"CGA563110")</f>
        <v>CGA563110</v>
      </c>
      <c r="G68" s="2" t="str">
        <f>IFERROR(__xludf.DUMMYFUNCTION("""COMPUTED_VALUE"""),"Kuwait")</f>
        <v>Kuwait</v>
      </c>
      <c r="H68" s="4">
        <f>IFERROR(__xludf.DUMMYFUNCTION("""COMPUTED_VALUE"""),9.9)</f>
        <v>9.9</v>
      </c>
      <c r="I68" s="3">
        <f>IFERROR(__xludf.DUMMYFUNCTION("""COMPUTED_VALUE"""),0.0)</f>
        <v>0</v>
      </c>
      <c r="J68" s="4">
        <f>IFERROR(__xludf.DUMMYFUNCTION("""COMPUTED_VALUE"""),0.99)</f>
        <v>0.99</v>
      </c>
      <c r="K68" s="2"/>
      <c r="L68" s="2" t="str">
        <f>IFERROR(__xludf.DUMMYFUNCTION("""COMPUTED_VALUE"""),"Delivered")</f>
        <v>Delivered</v>
      </c>
      <c r="M68" s="2" t="str">
        <f>IFERROR(__xludf.DUMMYFUNCTION("""COMPUTED_VALUE"""),"KD")</f>
        <v>KD</v>
      </c>
      <c r="N68" s="2" t="str">
        <f>IFERROR(__xludf.DUMMYFUNCTION("""COMPUTED_VALUE"""),"Credit, Debit, Knet")</f>
        <v>Credit, Debit, Knet</v>
      </c>
      <c r="O68" s="4">
        <f>IFERROR(__xludf.DUMMYFUNCTION("""COMPUTED_VALUE"""),0.0)</f>
        <v>0</v>
      </c>
      <c r="P68" s="2">
        <f>IFERROR(__xludf.DUMMYFUNCTION("""COMPUTED_VALUE"""),18.0)</f>
        <v>18</v>
      </c>
      <c r="Q68" s="2">
        <f>IFERROR(__xludf.DUMMYFUNCTION("""COMPUTED_VALUE"""),3.0)</f>
        <v>3</v>
      </c>
      <c r="R68" s="2">
        <f>IFERROR(__xludf.DUMMYFUNCTION("""COMPUTED_VALUE"""),2025.0)</f>
        <v>2025</v>
      </c>
      <c r="S68" s="2" t="str">
        <f>IFERROR(__xludf.DUMMYFUNCTION("""COMPUTED_VALUE"""),"Digizag")</f>
        <v>Digizag</v>
      </c>
      <c r="T68" s="2" t="str">
        <f>IFERROR(__xludf.DUMMYFUNCTION("""COMPUTED_VALUE"""),"Digizag")</f>
        <v>Digizag</v>
      </c>
      <c r="U68" s="5">
        <f>IFERROR(__xludf.DUMMYFUNCTION("""COMPUTED_VALUE"""),32.280138)</f>
        <v>32.280138</v>
      </c>
      <c r="V68" s="2"/>
      <c r="W68" s="2"/>
      <c r="X68" s="2"/>
      <c r="Y68" s="2"/>
      <c r="Z68" s="2"/>
    </row>
    <row r="69">
      <c r="A69" s="6">
        <f>IFERROR(__xludf.DUMMYFUNCTION("""COMPUTED_VALUE"""),45734.511412037034)</f>
        <v>45734.51141</v>
      </c>
      <c r="B69" s="2" t="str">
        <f>IFERROR(__xludf.DUMMYFUNCTION("""COMPUTED_VALUE"""),"March")</f>
        <v>March</v>
      </c>
      <c r="C69" s="3">
        <f>IFERROR(__xludf.DUMMYFUNCTION("""COMPUTED_VALUE"""),705691.0)</f>
        <v>705691</v>
      </c>
      <c r="D69" s="2" t="str">
        <f>IFERROR(__xludf.DUMMYFUNCTION("""COMPUTED_VALUE"""),"BITS")</f>
        <v>BITS</v>
      </c>
      <c r="E69" s="2" t="str">
        <f>IFERROR(__xludf.DUMMYFUNCTION("""COMPUTED_VALUE"""),"Imported from file DigiZag Codes 25Feb25.xlsx")</f>
        <v>Imported from file DigiZag Codes 25Feb25.xlsx</v>
      </c>
      <c r="F69" s="2" t="str">
        <f>IFERROR(__xludf.DUMMYFUNCTION("""COMPUTED_VALUE"""),"MWR545856")</f>
        <v>MWR545856</v>
      </c>
      <c r="G69" s="2" t="str">
        <f>IFERROR(__xludf.DUMMYFUNCTION("""COMPUTED_VALUE"""),"Kuwait")</f>
        <v>Kuwait</v>
      </c>
      <c r="H69" s="4">
        <f>IFERROR(__xludf.DUMMYFUNCTION("""COMPUTED_VALUE"""),15.95)</f>
        <v>15.95</v>
      </c>
      <c r="I69" s="3">
        <f>IFERROR(__xludf.DUMMYFUNCTION("""COMPUTED_VALUE"""),0.0)</f>
        <v>0</v>
      </c>
      <c r="J69" s="4">
        <f>IFERROR(__xludf.DUMMYFUNCTION("""COMPUTED_VALUE"""),1.595)</f>
        <v>1.595</v>
      </c>
      <c r="K69" s="2"/>
      <c r="L69" s="2" t="str">
        <f>IFERROR(__xludf.DUMMYFUNCTION("""COMPUTED_VALUE"""),"Delivered")</f>
        <v>Delivered</v>
      </c>
      <c r="M69" s="2" t="str">
        <f>IFERROR(__xludf.DUMMYFUNCTION("""COMPUTED_VALUE"""),"KD")</f>
        <v>KD</v>
      </c>
      <c r="N69" s="2" t="str">
        <f>IFERROR(__xludf.DUMMYFUNCTION("""COMPUTED_VALUE"""),"Credit, Debit, Knet")</f>
        <v>Credit, Debit, Knet</v>
      </c>
      <c r="O69" s="4">
        <f>IFERROR(__xludf.DUMMYFUNCTION("""COMPUTED_VALUE"""),0.0)</f>
        <v>0</v>
      </c>
      <c r="P69" s="2">
        <f>IFERROR(__xludf.DUMMYFUNCTION("""COMPUTED_VALUE"""),18.0)</f>
        <v>18</v>
      </c>
      <c r="Q69" s="2">
        <f>IFERROR(__xludf.DUMMYFUNCTION("""COMPUTED_VALUE"""),3.0)</f>
        <v>3</v>
      </c>
      <c r="R69" s="2">
        <f>IFERROR(__xludf.DUMMYFUNCTION("""COMPUTED_VALUE"""),2025.0)</f>
        <v>2025</v>
      </c>
      <c r="S69" s="2" t="str">
        <f>IFERROR(__xludf.DUMMYFUNCTION("""COMPUTED_VALUE"""),"Digizag")</f>
        <v>Digizag</v>
      </c>
      <c r="T69" s="2" t="str">
        <f>IFERROR(__xludf.DUMMYFUNCTION("""COMPUTED_VALUE"""),"Digizag")</f>
        <v>Digizag</v>
      </c>
      <c r="U69" s="5">
        <f>IFERROR(__xludf.DUMMYFUNCTION("""COMPUTED_VALUE"""),52.006888999999994)</f>
        <v>52.006889</v>
      </c>
      <c r="V69" s="2"/>
      <c r="W69" s="2"/>
      <c r="X69" s="2"/>
      <c r="Y69" s="2"/>
      <c r="Z69" s="2"/>
    </row>
    <row r="70">
      <c r="A70" s="6">
        <f>IFERROR(__xludf.DUMMYFUNCTION("""COMPUTED_VALUE"""),45734.530393518515)</f>
        <v>45734.53039</v>
      </c>
      <c r="B70" s="2" t="str">
        <f>IFERROR(__xludf.DUMMYFUNCTION("""COMPUTED_VALUE"""),"March")</f>
        <v>March</v>
      </c>
      <c r="C70" s="3">
        <f>IFERROR(__xludf.DUMMYFUNCTION("""COMPUTED_VALUE"""),530180.0)</f>
        <v>530180</v>
      </c>
      <c r="D70" s="2" t="str">
        <f>IFERROR(__xludf.DUMMYFUNCTION("""COMPUTED_VALUE"""),"BITS")</f>
        <v>BITS</v>
      </c>
      <c r="E70" s="2" t="str">
        <f>IFERROR(__xludf.DUMMYFUNCTION("""COMPUTED_VALUE"""),"Imported from file DigiZag Codes 25Feb25.xlsx")</f>
        <v>Imported from file DigiZag Codes 25Feb25.xlsx</v>
      </c>
      <c r="F70" s="2" t="str">
        <f>IFERROR(__xludf.DUMMYFUNCTION("""COMPUTED_VALUE"""),"GUD941620")</f>
        <v>GUD941620</v>
      </c>
      <c r="G70" s="2" t="str">
        <f>IFERROR(__xludf.DUMMYFUNCTION("""COMPUTED_VALUE"""),"Kuwait")</f>
        <v>Kuwait</v>
      </c>
      <c r="H70" s="4">
        <f>IFERROR(__xludf.DUMMYFUNCTION("""COMPUTED_VALUE"""),5.25)</f>
        <v>5.25</v>
      </c>
      <c r="I70" s="3">
        <f>IFERROR(__xludf.DUMMYFUNCTION("""COMPUTED_VALUE"""),0.0)</f>
        <v>0</v>
      </c>
      <c r="J70" s="4">
        <f>IFERROR(__xludf.DUMMYFUNCTION("""COMPUTED_VALUE"""),0.525)</f>
        <v>0.525</v>
      </c>
      <c r="K70" s="2"/>
      <c r="L70" s="2" t="str">
        <f>IFERROR(__xludf.DUMMYFUNCTION("""COMPUTED_VALUE"""),"Delivered")</f>
        <v>Delivered</v>
      </c>
      <c r="M70" s="2" t="str">
        <f>IFERROR(__xludf.DUMMYFUNCTION("""COMPUTED_VALUE"""),"KD")</f>
        <v>KD</v>
      </c>
      <c r="N70" s="2" t="str">
        <f>IFERROR(__xludf.DUMMYFUNCTION("""COMPUTED_VALUE"""),"Credit, Debit, Knet")</f>
        <v>Credit, Debit, Knet</v>
      </c>
      <c r="O70" s="4">
        <f>IFERROR(__xludf.DUMMYFUNCTION("""COMPUTED_VALUE"""),0.0)</f>
        <v>0</v>
      </c>
      <c r="P70" s="2">
        <f>IFERROR(__xludf.DUMMYFUNCTION("""COMPUTED_VALUE"""),18.0)</f>
        <v>18</v>
      </c>
      <c r="Q70" s="2">
        <f>IFERROR(__xludf.DUMMYFUNCTION("""COMPUTED_VALUE"""),3.0)</f>
        <v>3</v>
      </c>
      <c r="R70" s="2">
        <f>IFERROR(__xludf.DUMMYFUNCTION("""COMPUTED_VALUE"""),2025.0)</f>
        <v>2025</v>
      </c>
      <c r="S70" s="2" t="str">
        <f>IFERROR(__xludf.DUMMYFUNCTION("""COMPUTED_VALUE"""),"Digizag")</f>
        <v>Digizag</v>
      </c>
      <c r="T70" s="2" t="str">
        <f>IFERROR(__xludf.DUMMYFUNCTION("""COMPUTED_VALUE"""),"Digizag")</f>
        <v>Digizag</v>
      </c>
      <c r="U70" s="5">
        <f>IFERROR(__xludf.DUMMYFUNCTION("""COMPUTED_VALUE"""),17.118254999999998)</f>
        <v>17.118255</v>
      </c>
      <c r="V70" s="2"/>
      <c r="W70" s="2"/>
      <c r="X70" s="2"/>
      <c r="Y70" s="2"/>
      <c r="Z70" s="2"/>
    </row>
    <row r="71">
      <c r="A71" s="6">
        <f>IFERROR(__xludf.DUMMYFUNCTION("""COMPUTED_VALUE"""),45734.608310185184)</f>
        <v>45734.60831</v>
      </c>
      <c r="B71" s="2" t="str">
        <f>IFERROR(__xludf.DUMMYFUNCTION("""COMPUTED_VALUE"""),"March")</f>
        <v>March</v>
      </c>
      <c r="C71" s="3">
        <f>IFERROR(__xludf.DUMMYFUNCTION("""COMPUTED_VALUE"""),51878.0)</f>
        <v>51878</v>
      </c>
      <c r="D71" s="2" t="str">
        <f>IFERROR(__xludf.DUMMYFUNCTION("""COMPUTED_VALUE"""),"BITS")</f>
        <v>BITS</v>
      </c>
      <c r="E71" s="2" t="str">
        <f>IFERROR(__xludf.DUMMYFUNCTION("""COMPUTED_VALUE"""),"Imported from file DigiZag Codes 25Feb25.xlsx")</f>
        <v>Imported from file DigiZag Codes 25Feb25.xlsx</v>
      </c>
      <c r="F71" s="2" t="str">
        <f>IFERROR(__xludf.DUMMYFUNCTION("""COMPUTED_VALUE"""),"JBM716524")</f>
        <v>JBM716524</v>
      </c>
      <c r="G71" s="2" t="str">
        <f>IFERROR(__xludf.DUMMYFUNCTION("""COMPUTED_VALUE"""),"Kuwait")</f>
        <v>Kuwait</v>
      </c>
      <c r="H71" s="4">
        <f>IFERROR(__xludf.DUMMYFUNCTION("""COMPUTED_VALUE"""),9.95)</f>
        <v>9.95</v>
      </c>
      <c r="I71" s="3">
        <f>IFERROR(__xludf.DUMMYFUNCTION("""COMPUTED_VALUE"""),0.0)</f>
        <v>0</v>
      </c>
      <c r="J71" s="4">
        <f>IFERROR(__xludf.DUMMYFUNCTION("""COMPUTED_VALUE"""),0.995)</f>
        <v>0.995</v>
      </c>
      <c r="K71" s="2"/>
      <c r="L71" s="2" t="str">
        <f>IFERROR(__xludf.DUMMYFUNCTION("""COMPUTED_VALUE"""),"Delivered")</f>
        <v>Delivered</v>
      </c>
      <c r="M71" s="2" t="str">
        <f>IFERROR(__xludf.DUMMYFUNCTION("""COMPUTED_VALUE"""),"KD")</f>
        <v>KD</v>
      </c>
      <c r="N71" s="2" t="str">
        <f>IFERROR(__xludf.DUMMYFUNCTION("""COMPUTED_VALUE"""),"Credit, Debit, Knet")</f>
        <v>Credit, Debit, Knet</v>
      </c>
      <c r="O71" s="4">
        <f>IFERROR(__xludf.DUMMYFUNCTION("""COMPUTED_VALUE"""),0.0)</f>
        <v>0</v>
      </c>
      <c r="P71" s="2">
        <f>IFERROR(__xludf.DUMMYFUNCTION("""COMPUTED_VALUE"""),18.0)</f>
        <v>18</v>
      </c>
      <c r="Q71" s="2">
        <f>IFERROR(__xludf.DUMMYFUNCTION("""COMPUTED_VALUE"""),3.0)</f>
        <v>3</v>
      </c>
      <c r="R71" s="2">
        <f>IFERROR(__xludf.DUMMYFUNCTION("""COMPUTED_VALUE"""),2025.0)</f>
        <v>2025</v>
      </c>
      <c r="S71" s="2" t="str">
        <f>IFERROR(__xludf.DUMMYFUNCTION("""COMPUTED_VALUE"""),"Digizag")</f>
        <v>Digizag</v>
      </c>
      <c r="T71" s="2" t="str">
        <f>IFERROR(__xludf.DUMMYFUNCTION("""COMPUTED_VALUE"""),"Digizag")</f>
        <v>Digizag</v>
      </c>
      <c r="U71" s="5">
        <f>IFERROR(__xludf.DUMMYFUNCTION("""COMPUTED_VALUE"""),32.443169)</f>
        <v>32.443169</v>
      </c>
      <c r="V71" s="2"/>
      <c r="W71" s="2"/>
      <c r="X71" s="2"/>
      <c r="Y71" s="2"/>
      <c r="Z71" s="2"/>
    </row>
    <row r="72">
      <c r="A72" s="6">
        <f>IFERROR(__xludf.DUMMYFUNCTION("""COMPUTED_VALUE"""),45734.73228009259)</f>
        <v>45734.73228</v>
      </c>
      <c r="B72" s="2" t="str">
        <f>IFERROR(__xludf.DUMMYFUNCTION("""COMPUTED_VALUE"""),"March")</f>
        <v>March</v>
      </c>
      <c r="C72" s="3">
        <f>IFERROR(__xludf.DUMMYFUNCTION("""COMPUTED_VALUE"""),308172.0)</f>
        <v>308172</v>
      </c>
      <c r="D72" s="2" t="str">
        <f>IFERROR(__xludf.DUMMYFUNCTION("""COMPUTED_VALUE"""),"DB3")</f>
        <v>DB3</v>
      </c>
      <c r="E72" s="2" t="str">
        <f>IFERROR(__xludf.DUMMYFUNCTION("""COMPUTED_VALUE"""),"Imported from file Digizag.xlsx")</f>
        <v>Imported from file Digizag.xlsx</v>
      </c>
      <c r="F72" s="2" t="str">
        <f>IFERROR(__xludf.DUMMYFUNCTION("""COMPUTED_VALUE"""),"HUG614812")</f>
        <v>HUG614812</v>
      </c>
      <c r="G72" s="2" t="str">
        <f>IFERROR(__xludf.DUMMYFUNCTION("""COMPUTED_VALUE"""),"Kingdom of Saudi Arabia")</f>
        <v>Kingdom of Saudi Arabia</v>
      </c>
      <c r="H72" s="4">
        <f>IFERROR(__xludf.DUMMYFUNCTION("""COMPUTED_VALUE"""),139.0)</f>
        <v>139</v>
      </c>
      <c r="I72" s="3">
        <f>IFERROR(__xludf.DUMMYFUNCTION("""COMPUTED_VALUE"""),0.0)</f>
        <v>0</v>
      </c>
      <c r="J72" s="4">
        <f>IFERROR(__xludf.DUMMYFUNCTION("""COMPUTED_VALUE"""),13.9)</f>
        <v>13.9</v>
      </c>
      <c r="K72" s="2"/>
      <c r="L72" s="2" t="str">
        <f>IFERROR(__xludf.DUMMYFUNCTION("""COMPUTED_VALUE"""),"Delivered")</f>
        <v>Delivered</v>
      </c>
      <c r="M72" s="2" t="str">
        <f>IFERROR(__xludf.DUMMYFUNCTION("""COMPUTED_VALUE"""),"SR")</f>
        <v>SR</v>
      </c>
      <c r="N72" s="2" t="str">
        <f>IFERROR(__xludf.DUMMYFUNCTION("""COMPUTED_VALUE"""),"Credit, Debit, Apple Pay")</f>
        <v>Credit, Debit, Apple Pay</v>
      </c>
      <c r="O72" s="4">
        <f>IFERROR(__xludf.DUMMYFUNCTION("""COMPUTED_VALUE"""),0.0)</f>
        <v>0</v>
      </c>
      <c r="P72" s="2">
        <f>IFERROR(__xludf.DUMMYFUNCTION("""COMPUTED_VALUE"""),18.0)</f>
        <v>18</v>
      </c>
      <c r="Q72" s="2">
        <f>IFERROR(__xludf.DUMMYFUNCTION("""COMPUTED_VALUE"""),3.0)</f>
        <v>3</v>
      </c>
      <c r="R72" s="2">
        <f>IFERROR(__xludf.DUMMYFUNCTION("""COMPUTED_VALUE"""),2025.0)</f>
        <v>2025</v>
      </c>
      <c r="S72" s="2" t="str">
        <f>IFERROR(__xludf.DUMMYFUNCTION("""COMPUTED_VALUE"""),"Digizag")</f>
        <v>Digizag</v>
      </c>
      <c r="T72" s="2" t="str">
        <f>IFERROR(__xludf.DUMMYFUNCTION("""COMPUTED_VALUE"""),"Digizag")</f>
        <v>Digizag</v>
      </c>
      <c r="U72" s="5">
        <f>IFERROR(__xludf.DUMMYFUNCTION("""COMPUTED_VALUE"""),37.063800394000005)</f>
        <v>37.06380039</v>
      </c>
      <c r="V72" s="2"/>
      <c r="W72" s="2"/>
      <c r="X72" s="2"/>
      <c r="Y72" s="2"/>
      <c r="Z72" s="2"/>
    </row>
    <row r="73">
      <c r="A73" s="6">
        <f>IFERROR(__xludf.DUMMYFUNCTION("""COMPUTED_VALUE"""),45734.736666666664)</f>
        <v>45734.73667</v>
      </c>
      <c r="B73" s="2" t="str">
        <f>IFERROR(__xludf.DUMMYFUNCTION("""COMPUTED_VALUE"""),"March")</f>
        <v>March</v>
      </c>
      <c r="C73" s="3">
        <f>IFERROR(__xludf.DUMMYFUNCTION("""COMPUTED_VALUE"""),705843.0)</f>
        <v>705843</v>
      </c>
      <c r="D73" s="2" t="str">
        <f>IFERROR(__xludf.DUMMYFUNCTION("""COMPUTED_VALUE"""),"DB3")</f>
        <v>DB3</v>
      </c>
      <c r="E73" s="2" t="str">
        <f>IFERROR(__xludf.DUMMYFUNCTION("""COMPUTED_VALUE"""),"Imported from file Digizag.xlsx")</f>
        <v>Imported from file Digizag.xlsx</v>
      </c>
      <c r="F73" s="2" t="str">
        <f>IFERROR(__xludf.DUMMYFUNCTION("""COMPUTED_VALUE"""),"AQY794277")</f>
        <v>AQY794277</v>
      </c>
      <c r="G73" s="2" t="str">
        <f>IFERROR(__xludf.DUMMYFUNCTION("""COMPUTED_VALUE"""),"Kingdom of Saudi Arabia")</f>
        <v>Kingdom of Saudi Arabia</v>
      </c>
      <c r="H73" s="4">
        <f>IFERROR(__xludf.DUMMYFUNCTION("""COMPUTED_VALUE"""),159.0)</f>
        <v>159</v>
      </c>
      <c r="I73" s="3">
        <f>IFERROR(__xludf.DUMMYFUNCTION("""COMPUTED_VALUE"""),0.0)</f>
        <v>0</v>
      </c>
      <c r="J73" s="4">
        <f>IFERROR(__xludf.DUMMYFUNCTION("""COMPUTED_VALUE"""),15.9)</f>
        <v>15.9</v>
      </c>
      <c r="K73" s="2"/>
      <c r="L73" s="2" t="str">
        <f>IFERROR(__xludf.DUMMYFUNCTION("""COMPUTED_VALUE"""),"Delivered")</f>
        <v>Delivered</v>
      </c>
      <c r="M73" s="2" t="str">
        <f>IFERROR(__xludf.DUMMYFUNCTION("""COMPUTED_VALUE"""),"SR")</f>
        <v>SR</v>
      </c>
      <c r="N73" s="2" t="str">
        <f>IFERROR(__xludf.DUMMYFUNCTION("""COMPUTED_VALUE"""),"Credit, Debit, Apple Pay")</f>
        <v>Credit, Debit, Apple Pay</v>
      </c>
      <c r="O73" s="4">
        <f>IFERROR(__xludf.DUMMYFUNCTION("""COMPUTED_VALUE"""),0.0)</f>
        <v>0</v>
      </c>
      <c r="P73" s="2">
        <f>IFERROR(__xludf.DUMMYFUNCTION("""COMPUTED_VALUE"""),18.0)</f>
        <v>18</v>
      </c>
      <c r="Q73" s="2">
        <f>IFERROR(__xludf.DUMMYFUNCTION("""COMPUTED_VALUE"""),3.0)</f>
        <v>3</v>
      </c>
      <c r="R73" s="2">
        <f>IFERROR(__xludf.DUMMYFUNCTION("""COMPUTED_VALUE"""),2025.0)</f>
        <v>2025</v>
      </c>
      <c r="S73" s="2" t="str">
        <f>IFERROR(__xludf.DUMMYFUNCTION("""COMPUTED_VALUE"""),"Digizag")</f>
        <v>Digizag</v>
      </c>
      <c r="T73" s="2" t="str">
        <f>IFERROR(__xludf.DUMMYFUNCTION("""COMPUTED_VALUE"""),"Digizag")</f>
        <v>Digizag</v>
      </c>
      <c r="U73" s="5">
        <f>IFERROR(__xludf.DUMMYFUNCTION("""COMPUTED_VALUE"""),42.396721314000004)</f>
        <v>42.39672131</v>
      </c>
      <c r="V73" s="2"/>
      <c r="W73" s="2"/>
      <c r="X73" s="2"/>
      <c r="Y73" s="2"/>
      <c r="Z73" s="2"/>
    </row>
    <row r="74">
      <c r="A74" s="6">
        <f>IFERROR(__xludf.DUMMYFUNCTION("""COMPUTED_VALUE"""),45734.748761574076)</f>
        <v>45734.74876</v>
      </c>
      <c r="B74" s="2" t="str">
        <f>IFERROR(__xludf.DUMMYFUNCTION("""COMPUTED_VALUE"""),"March")</f>
        <v>March</v>
      </c>
      <c r="C74" s="3">
        <f>IFERROR(__xludf.DUMMYFUNCTION("""COMPUTED_VALUE"""),705854.0)</f>
        <v>705854</v>
      </c>
      <c r="D74" s="2" t="str">
        <f>IFERROR(__xludf.DUMMYFUNCTION("""COMPUTED_VALUE"""),"MIMI44")</f>
        <v>MIMI44</v>
      </c>
      <c r="E74" s="2" t="str">
        <f>IFERROR(__xludf.DUMMYFUNCTION("""COMPUTED_VALUE"""),"Imported from file DigiZag Codes 25Feb25.xlsx")</f>
        <v>Imported from file DigiZag Codes 25Feb25.xlsx</v>
      </c>
      <c r="F74" s="2" t="str">
        <f>IFERROR(__xludf.DUMMYFUNCTION("""COMPUTED_VALUE"""),"MNK237366")</f>
        <v>MNK237366</v>
      </c>
      <c r="G74" s="2" t="str">
        <f>IFERROR(__xludf.DUMMYFUNCTION("""COMPUTED_VALUE"""),"Kuwait")</f>
        <v>Kuwait</v>
      </c>
      <c r="H74" s="4">
        <f>IFERROR(__xludf.DUMMYFUNCTION("""COMPUTED_VALUE"""),12.5)</f>
        <v>12.5</v>
      </c>
      <c r="I74" s="3">
        <f>IFERROR(__xludf.DUMMYFUNCTION("""COMPUTED_VALUE"""),0.0)</f>
        <v>0</v>
      </c>
      <c r="J74" s="4">
        <f>IFERROR(__xludf.DUMMYFUNCTION("""COMPUTED_VALUE"""),1.25)</f>
        <v>1.25</v>
      </c>
      <c r="K74" s="2"/>
      <c r="L74" s="2" t="str">
        <f>IFERROR(__xludf.DUMMYFUNCTION("""COMPUTED_VALUE"""),"Delivered")</f>
        <v>Delivered</v>
      </c>
      <c r="M74" s="2" t="str">
        <f>IFERROR(__xludf.DUMMYFUNCTION("""COMPUTED_VALUE"""),"KD")</f>
        <v>KD</v>
      </c>
      <c r="N74" s="2" t="str">
        <f>IFERROR(__xludf.DUMMYFUNCTION("""COMPUTED_VALUE"""),"Credit, Debit, Knet")</f>
        <v>Credit, Debit, Knet</v>
      </c>
      <c r="O74" s="4">
        <f>IFERROR(__xludf.DUMMYFUNCTION("""COMPUTED_VALUE"""),0.0)</f>
        <v>0</v>
      </c>
      <c r="P74" s="2">
        <f>IFERROR(__xludf.DUMMYFUNCTION("""COMPUTED_VALUE"""),18.0)</f>
        <v>18</v>
      </c>
      <c r="Q74" s="2">
        <f>IFERROR(__xludf.DUMMYFUNCTION("""COMPUTED_VALUE"""),3.0)</f>
        <v>3</v>
      </c>
      <c r="R74" s="2">
        <f>IFERROR(__xludf.DUMMYFUNCTION("""COMPUTED_VALUE"""),2025.0)</f>
        <v>2025</v>
      </c>
      <c r="S74" s="2" t="str">
        <f>IFERROR(__xludf.DUMMYFUNCTION("""COMPUTED_VALUE"""),"Digizag")</f>
        <v>Digizag</v>
      </c>
      <c r="T74" s="2" t="str">
        <f>IFERROR(__xludf.DUMMYFUNCTION("""COMPUTED_VALUE"""),"Digizag")</f>
        <v>Digizag</v>
      </c>
      <c r="U74" s="5">
        <f>IFERROR(__xludf.DUMMYFUNCTION("""COMPUTED_VALUE"""),40.75775)</f>
        <v>40.75775</v>
      </c>
      <c r="V74" s="2"/>
      <c r="W74" s="2"/>
      <c r="X74" s="2"/>
      <c r="Y74" s="2"/>
      <c r="Z74" s="2"/>
    </row>
    <row r="75">
      <c r="A75" s="6">
        <f>IFERROR(__xludf.DUMMYFUNCTION("""COMPUTED_VALUE"""),45735.111342592594)</f>
        <v>45735.11134</v>
      </c>
      <c r="B75" s="2" t="str">
        <f>IFERROR(__xludf.DUMMYFUNCTION("""COMPUTED_VALUE"""),"March")</f>
        <v>March</v>
      </c>
      <c r="C75" s="3">
        <f>IFERROR(__xludf.DUMMYFUNCTION("""COMPUTED_VALUE"""),258171.0)</f>
        <v>258171</v>
      </c>
      <c r="D75" s="2" t="str">
        <f>IFERROR(__xludf.DUMMYFUNCTION("""COMPUTED_VALUE"""),"MNN16")</f>
        <v>MNN16</v>
      </c>
      <c r="E75" s="2" t="str">
        <f>IFERROR(__xludf.DUMMYFUNCTION("""COMPUTED_VALUE"""),"Imported from file DigiZag Codes 25Feb25.xlsx")</f>
        <v>Imported from file DigiZag Codes 25Feb25.xlsx</v>
      </c>
      <c r="F75" s="2" t="str">
        <f>IFERROR(__xludf.DUMMYFUNCTION("""COMPUTED_VALUE"""),"LRT459109")</f>
        <v>LRT459109</v>
      </c>
      <c r="G75" s="2" t="str">
        <f>IFERROR(__xludf.DUMMYFUNCTION("""COMPUTED_VALUE"""),"Kuwait")</f>
        <v>Kuwait</v>
      </c>
      <c r="H75" s="4">
        <f>IFERROR(__xludf.DUMMYFUNCTION("""COMPUTED_VALUE"""),10.55)</f>
        <v>10.55</v>
      </c>
      <c r="I75" s="3">
        <f>IFERROR(__xludf.DUMMYFUNCTION("""COMPUTED_VALUE"""),0.0)</f>
        <v>0</v>
      </c>
      <c r="J75" s="4">
        <f>IFERROR(__xludf.DUMMYFUNCTION("""COMPUTED_VALUE"""),1.055)</f>
        <v>1.055</v>
      </c>
      <c r="K75" s="2"/>
      <c r="L75" s="2" t="str">
        <f>IFERROR(__xludf.DUMMYFUNCTION("""COMPUTED_VALUE"""),"Delivered")</f>
        <v>Delivered</v>
      </c>
      <c r="M75" s="2" t="str">
        <f>IFERROR(__xludf.DUMMYFUNCTION("""COMPUTED_VALUE"""),"KD")</f>
        <v>KD</v>
      </c>
      <c r="N75" s="2" t="str">
        <f>IFERROR(__xludf.DUMMYFUNCTION("""COMPUTED_VALUE"""),"Cash")</f>
        <v>Cash</v>
      </c>
      <c r="O75" s="4">
        <f>IFERROR(__xludf.DUMMYFUNCTION("""COMPUTED_VALUE"""),0.0)</f>
        <v>0</v>
      </c>
      <c r="P75" s="2">
        <f>IFERROR(__xludf.DUMMYFUNCTION("""COMPUTED_VALUE"""),19.0)</f>
        <v>19</v>
      </c>
      <c r="Q75" s="2">
        <f>IFERROR(__xludf.DUMMYFUNCTION("""COMPUTED_VALUE"""),3.0)</f>
        <v>3</v>
      </c>
      <c r="R75" s="2">
        <f>IFERROR(__xludf.DUMMYFUNCTION("""COMPUTED_VALUE"""),2025.0)</f>
        <v>2025</v>
      </c>
      <c r="S75" s="2" t="str">
        <f>IFERROR(__xludf.DUMMYFUNCTION("""COMPUTED_VALUE"""),"Digizag")</f>
        <v>Digizag</v>
      </c>
      <c r="T75" s="2" t="str">
        <f>IFERROR(__xludf.DUMMYFUNCTION("""COMPUTED_VALUE"""),"Digizag")</f>
        <v>Digizag</v>
      </c>
      <c r="U75" s="5">
        <f>IFERROR(__xludf.DUMMYFUNCTION("""COMPUTED_VALUE"""),34.399541)</f>
        <v>34.399541</v>
      </c>
      <c r="V75" s="2"/>
      <c r="W75" s="2"/>
      <c r="X75" s="2"/>
      <c r="Y75" s="2"/>
      <c r="Z75" s="2"/>
    </row>
    <row r="76">
      <c r="A76" s="6">
        <f>IFERROR(__xludf.DUMMYFUNCTION("""COMPUTED_VALUE"""),45735.17366898148)</f>
        <v>45735.17367</v>
      </c>
      <c r="B76" s="2" t="str">
        <f>IFERROR(__xludf.DUMMYFUNCTION("""COMPUTED_VALUE"""),"March")</f>
        <v>March</v>
      </c>
      <c r="C76" s="3">
        <f>IFERROR(__xludf.DUMMYFUNCTION("""COMPUTED_VALUE"""),66158.0)</f>
        <v>66158</v>
      </c>
      <c r="D76" s="2" t="str">
        <f>IFERROR(__xludf.DUMMYFUNCTION("""COMPUTED_VALUE"""),"BITS")</f>
        <v>BITS</v>
      </c>
      <c r="E76" s="2" t="str">
        <f>IFERROR(__xludf.DUMMYFUNCTION("""COMPUTED_VALUE"""),"Imported from file DigiZag Codes 25Feb25.xlsx")</f>
        <v>Imported from file DigiZag Codes 25Feb25.xlsx</v>
      </c>
      <c r="F76" s="2" t="str">
        <f>IFERROR(__xludf.DUMMYFUNCTION("""COMPUTED_VALUE"""),"KQN185433")</f>
        <v>KQN185433</v>
      </c>
      <c r="G76" s="2" t="str">
        <f>IFERROR(__xludf.DUMMYFUNCTION("""COMPUTED_VALUE"""),"Kuwait")</f>
        <v>Kuwait</v>
      </c>
      <c r="H76" s="4">
        <f>IFERROR(__xludf.DUMMYFUNCTION("""COMPUTED_VALUE"""),32.94)</f>
        <v>32.94</v>
      </c>
      <c r="I76" s="3">
        <f>IFERROR(__xludf.DUMMYFUNCTION("""COMPUTED_VALUE"""),0.0)</f>
        <v>0</v>
      </c>
      <c r="J76" s="4">
        <f>IFERROR(__xludf.DUMMYFUNCTION("""COMPUTED_VALUE"""),3.294)</f>
        <v>3.294</v>
      </c>
      <c r="K76" s="2"/>
      <c r="L76" s="2" t="str">
        <f>IFERROR(__xludf.DUMMYFUNCTION("""COMPUTED_VALUE"""),"Delivered")</f>
        <v>Delivered</v>
      </c>
      <c r="M76" s="2" t="str">
        <f>IFERROR(__xludf.DUMMYFUNCTION("""COMPUTED_VALUE"""),"KD")</f>
        <v>KD</v>
      </c>
      <c r="N76" s="2" t="str">
        <f>IFERROR(__xludf.DUMMYFUNCTION("""COMPUTED_VALUE"""),"Credit, Debit, Knet")</f>
        <v>Credit, Debit, Knet</v>
      </c>
      <c r="O76" s="4">
        <f>IFERROR(__xludf.DUMMYFUNCTION("""COMPUTED_VALUE"""),0.0)</f>
        <v>0</v>
      </c>
      <c r="P76" s="2">
        <f>IFERROR(__xludf.DUMMYFUNCTION("""COMPUTED_VALUE"""),19.0)</f>
        <v>19</v>
      </c>
      <c r="Q76" s="2">
        <f>IFERROR(__xludf.DUMMYFUNCTION("""COMPUTED_VALUE"""),3.0)</f>
        <v>3</v>
      </c>
      <c r="R76" s="2">
        <f>IFERROR(__xludf.DUMMYFUNCTION("""COMPUTED_VALUE"""),2025.0)</f>
        <v>2025</v>
      </c>
      <c r="S76" s="2" t="str">
        <f>IFERROR(__xludf.DUMMYFUNCTION("""COMPUTED_VALUE"""),"Digizag")</f>
        <v>Digizag</v>
      </c>
      <c r="T76" s="2" t="str">
        <f>IFERROR(__xludf.DUMMYFUNCTION("""COMPUTED_VALUE"""),"Digizag")</f>
        <v>Digizag</v>
      </c>
      <c r="U76" s="5">
        <f>IFERROR(__xludf.DUMMYFUNCTION("""COMPUTED_VALUE"""),107.40482279999999)</f>
        <v>107.4048228</v>
      </c>
      <c r="V76" s="2"/>
      <c r="W76" s="2"/>
      <c r="X76" s="2"/>
      <c r="Y76" s="2"/>
      <c r="Z76" s="2"/>
    </row>
    <row r="77">
      <c r="A77" s="6">
        <f>IFERROR(__xludf.DUMMYFUNCTION("""COMPUTED_VALUE"""),45735.202326388884)</f>
        <v>45735.20233</v>
      </c>
      <c r="B77" s="2" t="str">
        <f>IFERROR(__xludf.DUMMYFUNCTION("""COMPUTED_VALUE"""),"March")</f>
        <v>March</v>
      </c>
      <c r="C77" s="3">
        <f>IFERROR(__xludf.DUMMYFUNCTION("""COMPUTED_VALUE"""),11719.0)</f>
        <v>11719</v>
      </c>
      <c r="D77" s="2" t="str">
        <f>IFERROR(__xludf.DUMMYFUNCTION("""COMPUTED_VALUE"""),"BITS")</f>
        <v>BITS</v>
      </c>
      <c r="E77" s="2" t="str">
        <f>IFERROR(__xludf.DUMMYFUNCTION("""COMPUTED_VALUE"""),"Imported from file DigiZag Codes 25Feb25.xlsx")</f>
        <v>Imported from file DigiZag Codes 25Feb25.xlsx</v>
      </c>
      <c r="F77" s="2" t="str">
        <f>IFERROR(__xludf.DUMMYFUNCTION("""COMPUTED_VALUE"""),"GQC370024")</f>
        <v>GQC370024</v>
      </c>
      <c r="G77" s="2" t="str">
        <f>IFERROR(__xludf.DUMMYFUNCTION("""COMPUTED_VALUE"""),"Kuwait")</f>
        <v>Kuwait</v>
      </c>
      <c r="H77" s="4">
        <f>IFERROR(__xludf.DUMMYFUNCTION("""COMPUTED_VALUE"""),8.2)</f>
        <v>8.2</v>
      </c>
      <c r="I77" s="3">
        <f>IFERROR(__xludf.DUMMYFUNCTION("""COMPUTED_VALUE"""),0.0)</f>
        <v>0</v>
      </c>
      <c r="J77" s="4">
        <f>IFERROR(__xludf.DUMMYFUNCTION("""COMPUTED_VALUE"""),0.82)</f>
        <v>0.82</v>
      </c>
      <c r="K77" s="2"/>
      <c r="L77" s="2" t="str">
        <f>IFERROR(__xludf.DUMMYFUNCTION("""COMPUTED_VALUE"""),"Delivered")</f>
        <v>Delivered</v>
      </c>
      <c r="M77" s="2" t="str">
        <f>IFERROR(__xludf.DUMMYFUNCTION("""COMPUTED_VALUE"""),"KD")</f>
        <v>KD</v>
      </c>
      <c r="N77" s="2" t="str">
        <f>IFERROR(__xludf.DUMMYFUNCTION("""COMPUTED_VALUE"""),"Credit, Debit, Knet")</f>
        <v>Credit, Debit, Knet</v>
      </c>
      <c r="O77" s="4">
        <f>IFERROR(__xludf.DUMMYFUNCTION("""COMPUTED_VALUE"""),0.0)</f>
        <v>0</v>
      </c>
      <c r="P77" s="2">
        <f>IFERROR(__xludf.DUMMYFUNCTION("""COMPUTED_VALUE"""),19.0)</f>
        <v>19</v>
      </c>
      <c r="Q77" s="2">
        <f>IFERROR(__xludf.DUMMYFUNCTION("""COMPUTED_VALUE"""),3.0)</f>
        <v>3</v>
      </c>
      <c r="R77" s="2">
        <f>IFERROR(__xludf.DUMMYFUNCTION("""COMPUTED_VALUE"""),2025.0)</f>
        <v>2025</v>
      </c>
      <c r="S77" s="2" t="str">
        <f>IFERROR(__xludf.DUMMYFUNCTION("""COMPUTED_VALUE"""),"Digizag")</f>
        <v>Digizag</v>
      </c>
      <c r="T77" s="2" t="str">
        <f>IFERROR(__xludf.DUMMYFUNCTION("""COMPUTED_VALUE"""),"Digizag")</f>
        <v>Digizag</v>
      </c>
      <c r="U77" s="5">
        <f>IFERROR(__xludf.DUMMYFUNCTION("""COMPUTED_VALUE"""),26.737083999999996)</f>
        <v>26.737084</v>
      </c>
      <c r="V77" s="2"/>
      <c r="W77" s="2"/>
      <c r="X77" s="2"/>
      <c r="Y77" s="2"/>
      <c r="Z77" s="2"/>
    </row>
    <row r="78">
      <c r="A78" s="6">
        <f>IFERROR(__xludf.DUMMYFUNCTION("""COMPUTED_VALUE"""),45735.25542824074)</f>
        <v>45735.25543</v>
      </c>
      <c r="B78" s="2" t="str">
        <f>IFERROR(__xludf.DUMMYFUNCTION("""COMPUTED_VALUE"""),"March")</f>
        <v>March</v>
      </c>
      <c r="C78" s="3">
        <f>IFERROR(__xludf.DUMMYFUNCTION("""COMPUTED_VALUE"""),27710.0)</f>
        <v>27710</v>
      </c>
      <c r="D78" s="2" t="str">
        <f>IFERROR(__xludf.DUMMYFUNCTION("""COMPUTED_VALUE"""),"MIMI44")</f>
        <v>MIMI44</v>
      </c>
      <c r="E78" s="2" t="str">
        <f>IFERROR(__xludf.DUMMYFUNCTION("""COMPUTED_VALUE"""),"Imported from file DigiZag Codes 25Feb25.xlsx")</f>
        <v>Imported from file DigiZag Codes 25Feb25.xlsx</v>
      </c>
      <c r="F78" s="2" t="str">
        <f>IFERROR(__xludf.DUMMYFUNCTION("""COMPUTED_VALUE"""),"UWP971776")</f>
        <v>UWP971776</v>
      </c>
      <c r="G78" s="2" t="str">
        <f>IFERROR(__xludf.DUMMYFUNCTION("""COMPUTED_VALUE"""),"Kuwait")</f>
        <v>Kuwait</v>
      </c>
      <c r="H78" s="4">
        <f>IFERROR(__xludf.DUMMYFUNCTION("""COMPUTED_VALUE"""),31.0)</f>
        <v>31</v>
      </c>
      <c r="I78" s="3">
        <f>IFERROR(__xludf.DUMMYFUNCTION("""COMPUTED_VALUE"""),0.0)</f>
        <v>0</v>
      </c>
      <c r="J78" s="4">
        <f>IFERROR(__xludf.DUMMYFUNCTION("""COMPUTED_VALUE"""),3.1)</f>
        <v>3.1</v>
      </c>
      <c r="K78" s="2"/>
      <c r="L78" s="2" t="str">
        <f>IFERROR(__xludf.DUMMYFUNCTION("""COMPUTED_VALUE"""),"Delivered")</f>
        <v>Delivered</v>
      </c>
      <c r="M78" s="2" t="str">
        <f>IFERROR(__xludf.DUMMYFUNCTION("""COMPUTED_VALUE"""),"KD")</f>
        <v>KD</v>
      </c>
      <c r="N78" s="2" t="str">
        <f>IFERROR(__xludf.DUMMYFUNCTION("""COMPUTED_VALUE"""),"Credit, Debit, Knet")</f>
        <v>Credit, Debit, Knet</v>
      </c>
      <c r="O78" s="4">
        <f>IFERROR(__xludf.DUMMYFUNCTION("""COMPUTED_VALUE"""),0.0)</f>
        <v>0</v>
      </c>
      <c r="P78" s="2">
        <f>IFERROR(__xludf.DUMMYFUNCTION("""COMPUTED_VALUE"""),19.0)</f>
        <v>19</v>
      </c>
      <c r="Q78" s="2">
        <f>IFERROR(__xludf.DUMMYFUNCTION("""COMPUTED_VALUE"""),3.0)</f>
        <v>3</v>
      </c>
      <c r="R78" s="2">
        <f>IFERROR(__xludf.DUMMYFUNCTION("""COMPUTED_VALUE"""),2025.0)</f>
        <v>2025</v>
      </c>
      <c r="S78" s="2" t="str">
        <f>IFERROR(__xludf.DUMMYFUNCTION("""COMPUTED_VALUE"""),"Digizag")</f>
        <v>Digizag</v>
      </c>
      <c r="T78" s="2" t="str">
        <f>IFERROR(__xludf.DUMMYFUNCTION("""COMPUTED_VALUE"""),"Digizag")</f>
        <v>Digizag</v>
      </c>
      <c r="U78" s="5">
        <f>IFERROR(__xludf.DUMMYFUNCTION("""COMPUTED_VALUE"""),101.07921999999999)</f>
        <v>101.07922</v>
      </c>
      <c r="V78" s="2"/>
      <c r="W78" s="2"/>
      <c r="X78" s="2"/>
      <c r="Y78" s="2"/>
      <c r="Z78" s="2"/>
    </row>
    <row r="79">
      <c r="A79" s="6">
        <f>IFERROR(__xludf.DUMMYFUNCTION("""COMPUTED_VALUE"""),45735.547581018516)</f>
        <v>45735.54758</v>
      </c>
      <c r="B79" s="2" t="str">
        <f>IFERROR(__xludf.DUMMYFUNCTION("""COMPUTED_VALUE"""),"March")</f>
        <v>March</v>
      </c>
      <c r="C79" s="3">
        <f>IFERROR(__xludf.DUMMYFUNCTION("""COMPUTED_VALUE"""),706191.0)</f>
        <v>706191</v>
      </c>
      <c r="D79" s="2" t="str">
        <f>IFERROR(__xludf.DUMMYFUNCTION("""COMPUTED_VALUE"""),"MNN16")</f>
        <v>MNN16</v>
      </c>
      <c r="E79" s="2" t="str">
        <f>IFERROR(__xludf.DUMMYFUNCTION("""COMPUTED_VALUE"""),"Imported from file DigiZag Bidding Codes.xlsx")</f>
        <v>Imported from file DigiZag Bidding Codes.xlsx</v>
      </c>
      <c r="F79" s="2" t="str">
        <f>IFERROR(__xludf.DUMMYFUNCTION("""COMPUTED_VALUE"""),"QEL198759")</f>
        <v>QEL198759</v>
      </c>
      <c r="G79" s="2" t="str">
        <f>IFERROR(__xludf.DUMMYFUNCTION("""COMPUTED_VALUE"""),"Kingdom of Saudi Arabia")</f>
        <v>Kingdom of Saudi Arabia</v>
      </c>
      <c r="H79" s="4">
        <f>IFERROR(__xludf.DUMMYFUNCTION("""COMPUTED_VALUE"""),527.7)</f>
        <v>527.7</v>
      </c>
      <c r="I79" s="3">
        <f>IFERROR(__xludf.DUMMYFUNCTION("""COMPUTED_VALUE"""),0.0)</f>
        <v>0</v>
      </c>
      <c r="J79" s="4">
        <f>IFERROR(__xludf.DUMMYFUNCTION("""COMPUTED_VALUE"""),52.76)</f>
        <v>52.76</v>
      </c>
      <c r="K79" s="2"/>
      <c r="L79" s="2" t="str">
        <f>IFERROR(__xludf.DUMMYFUNCTION("""COMPUTED_VALUE"""),"Delivered")</f>
        <v>Delivered</v>
      </c>
      <c r="M79" s="2" t="str">
        <f>IFERROR(__xludf.DUMMYFUNCTION("""COMPUTED_VALUE"""),"SR")</f>
        <v>SR</v>
      </c>
      <c r="N79" s="2" t="str">
        <f>IFERROR(__xludf.DUMMYFUNCTION("""COMPUTED_VALUE"""),"Credit, Debit, Apple Pay")</f>
        <v>Credit, Debit, Apple Pay</v>
      </c>
      <c r="O79" s="4">
        <f>IFERROR(__xludf.DUMMYFUNCTION("""COMPUTED_VALUE"""),0.0)</f>
        <v>0</v>
      </c>
      <c r="P79" s="2">
        <f>IFERROR(__xludf.DUMMYFUNCTION("""COMPUTED_VALUE"""),19.0)</f>
        <v>19</v>
      </c>
      <c r="Q79" s="2">
        <f>IFERROR(__xludf.DUMMYFUNCTION("""COMPUTED_VALUE"""),3.0)</f>
        <v>3</v>
      </c>
      <c r="R79" s="2">
        <f>IFERROR(__xludf.DUMMYFUNCTION("""COMPUTED_VALUE"""),2025.0)</f>
        <v>2025</v>
      </c>
      <c r="S79" s="2" t="str">
        <f>IFERROR(__xludf.DUMMYFUNCTION("""COMPUTED_VALUE"""),"Digizag")</f>
        <v>Digizag</v>
      </c>
      <c r="T79" s="2" t="str">
        <f>IFERROR(__xludf.DUMMYFUNCTION("""COMPUTED_VALUE"""),"Digizag")</f>
        <v>Digizag</v>
      </c>
      <c r="U79" s="5">
        <f>IFERROR(__xludf.DUMMYFUNCTION("""COMPUTED_VALUE"""),140.70911847420004)</f>
        <v>140.7091185</v>
      </c>
      <c r="V79" s="2"/>
      <c r="W79" s="2"/>
      <c r="X79" s="2"/>
      <c r="Y79" s="2"/>
      <c r="Z79" s="2"/>
    </row>
    <row r="80">
      <c r="A80" s="6">
        <f>IFERROR(__xludf.DUMMYFUNCTION("""COMPUTED_VALUE"""),45735.74978009259)</f>
        <v>45735.74978</v>
      </c>
      <c r="B80" s="2" t="str">
        <f>IFERROR(__xludf.DUMMYFUNCTION("""COMPUTED_VALUE"""),"March")</f>
        <v>March</v>
      </c>
      <c r="C80" s="3">
        <f>IFERROR(__xludf.DUMMYFUNCTION("""COMPUTED_VALUE"""),38779.0)</f>
        <v>38779</v>
      </c>
      <c r="D80" s="2" t="str">
        <f>IFERROR(__xludf.DUMMYFUNCTION("""COMPUTED_VALUE"""),"BITS")</f>
        <v>BITS</v>
      </c>
      <c r="E80" s="2" t="str">
        <f>IFERROR(__xludf.DUMMYFUNCTION("""COMPUTED_VALUE"""),"Imported from file DigiZag Codes 25Feb25.xlsx")</f>
        <v>Imported from file DigiZag Codes 25Feb25.xlsx</v>
      </c>
      <c r="F80" s="2" t="str">
        <f>IFERROR(__xludf.DUMMYFUNCTION("""COMPUTED_VALUE"""),"BRR197045")</f>
        <v>BRR197045</v>
      </c>
      <c r="G80" s="2" t="str">
        <f>IFERROR(__xludf.DUMMYFUNCTION("""COMPUTED_VALUE"""),"Kuwait")</f>
        <v>Kuwait</v>
      </c>
      <c r="H80" s="4">
        <f>IFERROR(__xludf.DUMMYFUNCTION("""COMPUTED_VALUE"""),39.56)</f>
        <v>39.56</v>
      </c>
      <c r="I80" s="3">
        <f>IFERROR(__xludf.DUMMYFUNCTION("""COMPUTED_VALUE"""),0.0)</f>
        <v>0</v>
      </c>
      <c r="J80" s="4">
        <f>IFERROR(__xludf.DUMMYFUNCTION("""COMPUTED_VALUE"""),3.956)</f>
        <v>3.956</v>
      </c>
      <c r="K80" s="2"/>
      <c r="L80" s="2" t="str">
        <f>IFERROR(__xludf.DUMMYFUNCTION("""COMPUTED_VALUE"""),"Delivered")</f>
        <v>Delivered</v>
      </c>
      <c r="M80" s="2" t="str">
        <f>IFERROR(__xludf.DUMMYFUNCTION("""COMPUTED_VALUE"""),"KD")</f>
        <v>KD</v>
      </c>
      <c r="N80" s="2" t="str">
        <f>IFERROR(__xludf.DUMMYFUNCTION("""COMPUTED_VALUE"""),"Cash")</f>
        <v>Cash</v>
      </c>
      <c r="O80" s="4">
        <f>IFERROR(__xludf.DUMMYFUNCTION("""COMPUTED_VALUE"""),0.0)</f>
        <v>0</v>
      </c>
      <c r="P80" s="2">
        <f>IFERROR(__xludf.DUMMYFUNCTION("""COMPUTED_VALUE"""),19.0)</f>
        <v>19</v>
      </c>
      <c r="Q80" s="2">
        <f>IFERROR(__xludf.DUMMYFUNCTION("""COMPUTED_VALUE"""),3.0)</f>
        <v>3</v>
      </c>
      <c r="R80" s="2">
        <f>IFERROR(__xludf.DUMMYFUNCTION("""COMPUTED_VALUE"""),2025.0)</f>
        <v>2025</v>
      </c>
      <c r="S80" s="2" t="str">
        <f>IFERROR(__xludf.DUMMYFUNCTION("""COMPUTED_VALUE"""),"Digizag")</f>
        <v>Digizag</v>
      </c>
      <c r="T80" s="2" t="str">
        <f>IFERROR(__xludf.DUMMYFUNCTION("""COMPUTED_VALUE"""),"Digizag")</f>
        <v>Digizag</v>
      </c>
      <c r="U80" s="5">
        <f>IFERROR(__xludf.DUMMYFUNCTION("""COMPUTED_VALUE"""),128.9901272)</f>
        <v>128.9901272</v>
      </c>
      <c r="V80" s="2"/>
      <c r="W80" s="2"/>
      <c r="X80" s="2"/>
      <c r="Y80" s="2"/>
      <c r="Z80" s="2"/>
    </row>
    <row r="81">
      <c r="A81" s="6">
        <f>IFERROR(__xludf.DUMMYFUNCTION("""COMPUTED_VALUE"""),45735.80835648148)</f>
        <v>45735.80836</v>
      </c>
      <c r="B81" s="2" t="str">
        <f>IFERROR(__xludf.DUMMYFUNCTION("""COMPUTED_VALUE"""),"March")</f>
        <v>March</v>
      </c>
      <c r="C81" s="3">
        <f>IFERROR(__xludf.DUMMYFUNCTION("""COMPUTED_VALUE"""),7316.0)</f>
        <v>7316</v>
      </c>
      <c r="D81" s="2" t="str">
        <f>IFERROR(__xludf.DUMMYFUNCTION("""COMPUTED_VALUE"""),"MIMI44")</f>
        <v>MIMI44</v>
      </c>
      <c r="E81" s="2" t="str">
        <f>IFERROR(__xludf.DUMMYFUNCTION("""COMPUTED_VALUE"""),"Imported from file DigiZag Codes 25Feb25.xlsx")</f>
        <v>Imported from file DigiZag Codes 25Feb25.xlsx</v>
      </c>
      <c r="F81" s="2" t="str">
        <f>IFERROR(__xludf.DUMMYFUNCTION("""COMPUTED_VALUE"""),"NBK743364")</f>
        <v>NBK743364</v>
      </c>
      <c r="G81" s="2" t="str">
        <f>IFERROR(__xludf.DUMMYFUNCTION("""COMPUTED_VALUE"""),"Kuwait")</f>
        <v>Kuwait</v>
      </c>
      <c r="H81" s="4">
        <f>IFERROR(__xludf.DUMMYFUNCTION("""COMPUTED_VALUE"""),5.604)</f>
        <v>5.604</v>
      </c>
      <c r="I81" s="3">
        <f>IFERROR(__xludf.DUMMYFUNCTION("""COMPUTED_VALUE"""),0.0)</f>
        <v>0</v>
      </c>
      <c r="J81" s="4">
        <f>IFERROR(__xludf.DUMMYFUNCTION("""COMPUTED_VALUE"""),0.56)</f>
        <v>0.56</v>
      </c>
      <c r="K81" s="2"/>
      <c r="L81" s="2" t="str">
        <f>IFERROR(__xludf.DUMMYFUNCTION("""COMPUTED_VALUE"""),"Delivered")</f>
        <v>Delivered</v>
      </c>
      <c r="M81" s="2" t="str">
        <f>IFERROR(__xludf.DUMMYFUNCTION("""COMPUTED_VALUE"""),"KD")</f>
        <v>KD</v>
      </c>
      <c r="N81" s="2" t="str">
        <f>IFERROR(__xludf.DUMMYFUNCTION("""COMPUTED_VALUE"""),"Cash")</f>
        <v>Cash</v>
      </c>
      <c r="O81" s="4">
        <f>IFERROR(__xludf.DUMMYFUNCTION("""COMPUTED_VALUE"""),0.0)</f>
        <v>0</v>
      </c>
      <c r="P81" s="2">
        <f>IFERROR(__xludf.DUMMYFUNCTION("""COMPUTED_VALUE"""),19.0)</f>
        <v>19</v>
      </c>
      <c r="Q81" s="2">
        <f>IFERROR(__xludf.DUMMYFUNCTION("""COMPUTED_VALUE"""),3.0)</f>
        <v>3</v>
      </c>
      <c r="R81" s="2">
        <f>IFERROR(__xludf.DUMMYFUNCTION("""COMPUTED_VALUE"""),2025.0)</f>
        <v>2025</v>
      </c>
      <c r="S81" s="2" t="str">
        <f>IFERROR(__xludf.DUMMYFUNCTION("""COMPUTED_VALUE"""),"Digizag")</f>
        <v>Digizag</v>
      </c>
      <c r="T81" s="2" t="str">
        <f>IFERROR(__xludf.DUMMYFUNCTION("""COMPUTED_VALUE"""),"Digizag")</f>
        <v>Digizag</v>
      </c>
      <c r="U81" s="5">
        <f>IFERROR(__xludf.DUMMYFUNCTION("""COMPUTED_VALUE"""),18.272514479999998)</f>
        <v>18.27251448</v>
      </c>
      <c r="V81" s="2"/>
      <c r="W81" s="2"/>
      <c r="X81" s="2"/>
      <c r="Y81" s="2"/>
      <c r="Z81" s="2"/>
    </row>
    <row r="82">
      <c r="A82" s="6">
        <f>IFERROR(__xludf.DUMMYFUNCTION("""COMPUTED_VALUE"""),45735.84795138889)</f>
        <v>45735.84795</v>
      </c>
      <c r="B82" s="2" t="str">
        <f>IFERROR(__xludf.DUMMYFUNCTION("""COMPUTED_VALUE"""),"March")</f>
        <v>March</v>
      </c>
      <c r="C82" s="3">
        <f>IFERROR(__xludf.DUMMYFUNCTION("""COMPUTED_VALUE"""),706392.0)</f>
        <v>706392</v>
      </c>
      <c r="D82" s="2" t="str">
        <f>IFERROR(__xludf.DUMMYFUNCTION("""COMPUTED_VALUE"""),"MNN16")</f>
        <v>MNN16</v>
      </c>
      <c r="E82" s="2" t="str">
        <f>IFERROR(__xludf.DUMMYFUNCTION("""COMPUTED_VALUE"""),"Imported from file DigiZag Bidding Codes.xlsx")</f>
        <v>Imported from file DigiZag Bidding Codes.xlsx</v>
      </c>
      <c r="F82" s="2" t="str">
        <f>IFERROR(__xludf.DUMMYFUNCTION("""COMPUTED_VALUE"""),"HTA543592")</f>
        <v>HTA543592</v>
      </c>
      <c r="G82" s="2" t="str">
        <f>IFERROR(__xludf.DUMMYFUNCTION("""COMPUTED_VALUE"""),"Kingdom of Saudi Arabia")</f>
        <v>Kingdom of Saudi Arabia</v>
      </c>
      <c r="H82" s="4">
        <f>IFERROR(__xludf.DUMMYFUNCTION("""COMPUTED_VALUE"""),55.0)</f>
        <v>55</v>
      </c>
      <c r="I82" s="3">
        <f>IFERROR(__xludf.DUMMYFUNCTION("""COMPUTED_VALUE"""),1.0)</f>
        <v>1</v>
      </c>
      <c r="J82" s="4">
        <f>IFERROR(__xludf.DUMMYFUNCTION("""COMPUTED_VALUE"""),5.5)</f>
        <v>5.5</v>
      </c>
      <c r="K82" s="2"/>
      <c r="L82" s="2" t="str">
        <f>IFERROR(__xludf.DUMMYFUNCTION("""COMPUTED_VALUE"""),"Cancelled")</f>
        <v>Cancelled</v>
      </c>
      <c r="M82" s="2" t="str">
        <f>IFERROR(__xludf.DUMMYFUNCTION("""COMPUTED_VALUE"""),"SR")</f>
        <v>SR</v>
      </c>
      <c r="N82" s="2" t="str">
        <f>IFERROR(__xludf.DUMMYFUNCTION("""COMPUTED_VALUE"""),"Cash")</f>
        <v>Cash</v>
      </c>
      <c r="O82" s="4">
        <f>IFERROR(__xludf.DUMMYFUNCTION("""COMPUTED_VALUE"""),49.5)</f>
        <v>49.5</v>
      </c>
      <c r="P82" s="2">
        <f>IFERROR(__xludf.DUMMYFUNCTION("""COMPUTED_VALUE"""),19.0)</f>
        <v>19</v>
      </c>
      <c r="Q82" s="2">
        <f>IFERROR(__xludf.DUMMYFUNCTION("""COMPUTED_VALUE"""),3.0)</f>
        <v>3</v>
      </c>
      <c r="R82" s="2">
        <f>IFERROR(__xludf.DUMMYFUNCTION("""COMPUTED_VALUE"""),2025.0)</f>
        <v>2025</v>
      </c>
      <c r="S82" s="2" t="str">
        <f>IFERROR(__xludf.DUMMYFUNCTION("""COMPUTED_VALUE"""),"Digizag")</f>
        <v>Digizag</v>
      </c>
      <c r="T82" s="2" t="str">
        <f>IFERROR(__xludf.DUMMYFUNCTION("""COMPUTED_VALUE"""),"Digizag")</f>
        <v>Digizag</v>
      </c>
      <c r="U82" s="5">
        <f>IFERROR(__xludf.DUMMYFUNCTION("""COMPUTED_VALUE"""),14.665532530000002)</f>
        <v>14.66553253</v>
      </c>
      <c r="V82" s="2"/>
      <c r="W82" s="2"/>
      <c r="X82" s="2"/>
      <c r="Y82" s="2"/>
      <c r="Z82" s="2"/>
    </row>
    <row r="83">
      <c r="A83" s="6">
        <f>IFERROR(__xludf.DUMMYFUNCTION("""COMPUTED_VALUE"""),45735.8821875)</f>
        <v>45735.88219</v>
      </c>
      <c r="B83" s="2" t="str">
        <f>IFERROR(__xludf.DUMMYFUNCTION("""COMPUTED_VALUE"""),"March")</f>
        <v>March</v>
      </c>
      <c r="C83" s="3">
        <f>IFERROR(__xludf.DUMMYFUNCTION("""COMPUTED_VALUE"""),661599.0)</f>
        <v>661599</v>
      </c>
      <c r="D83" s="2" t="str">
        <f>IFERROR(__xludf.DUMMYFUNCTION("""COMPUTED_VALUE"""),"MNN16")</f>
        <v>MNN16</v>
      </c>
      <c r="E83" s="2" t="str">
        <f>IFERROR(__xludf.DUMMYFUNCTION("""COMPUTED_VALUE"""),"Imported from file DigiZag Codes 25Feb25.xlsx")</f>
        <v>Imported from file DigiZag Codes 25Feb25.xlsx</v>
      </c>
      <c r="F83" s="2" t="str">
        <f>IFERROR(__xludf.DUMMYFUNCTION("""COMPUTED_VALUE"""),"KGP473413")</f>
        <v>KGP473413</v>
      </c>
      <c r="G83" s="2" t="str">
        <f>IFERROR(__xludf.DUMMYFUNCTION("""COMPUTED_VALUE"""),"UAE")</f>
        <v>UAE</v>
      </c>
      <c r="H83" s="4">
        <f>IFERROR(__xludf.DUMMYFUNCTION("""COMPUTED_VALUE"""),264.42)</f>
        <v>264.42</v>
      </c>
      <c r="I83" s="3">
        <f>IFERROR(__xludf.DUMMYFUNCTION("""COMPUTED_VALUE"""),0.0)</f>
        <v>0</v>
      </c>
      <c r="J83" s="4">
        <f>IFERROR(__xludf.DUMMYFUNCTION("""COMPUTED_VALUE"""),26.43)</f>
        <v>26.43</v>
      </c>
      <c r="K83" s="2"/>
      <c r="L83" s="2" t="str">
        <f>IFERROR(__xludf.DUMMYFUNCTION("""COMPUTED_VALUE"""),"Delivered")</f>
        <v>Delivered</v>
      </c>
      <c r="M83" s="2" t="str">
        <f>IFERROR(__xludf.DUMMYFUNCTION("""COMPUTED_VALUE"""),"AED")</f>
        <v>AED</v>
      </c>
      <c r="N83" s="2" t="str">
        <f>IFERROR(__xludf.DUMMYFUNCTION("""COMPUTED_VALUE"""),"Tamara: split in 3, interest-free")</f>
        <v>Tamara: split in 3, interest-free</v>
      </c>
      <c r="O83" s="4">
        <f>IFERROR(__xludf.DUMMYFUNCTION("""COMPUTED_VALUE"""),0.0)</f>
        <v>0</v>
      </c>
      <c r="P83" s="2">
        <f>IFERROR(__xludf.DUMMYFUNCTION("""COMPUTED_VALUE"""),19.0)</f>
        <v>19</v>
      </c>
      <c r="Q83" s="2">
        <f>IFERROR(__xludf.DUMMYFUNCTION("""COMPUTED_VALUE"""),3.0)</f>
        <v>3</v>
      </c>
      <c r="R83" s="2">
        <f>IFERROR(__xludf.DUMMYFUNCTION("""COMPUTED_VALUE"""),2025.0)</f>
        <v>2025</v>
      </c>
      <c r="S83" s="2" t="str">
        <f>IFERROR(__xludf.DUMMYFUNCTION("""COMPUTED_VALUE"""),"Digizag")</f>
        <v>Digizag</v>
      </c>
      <c r="T83" s="2" t="str">
        <f>IFERROR(__xludf.DUMMYFUNCTION("""COMPUTED_VALUE"""),"Digizag")</f>
        <v>Digizag</v>
      </c>
      <c r="U83" s="5">
        <f>IFERROR(__xludf.DUMMYFUNCTION("""COMPUTED_VALUE"""),72.00000010476)</f>
        <v>72.0000001</v>
      </c>
      <c r="V83" s="2"/>
      <c r="W83" s="2"/>
      <c r="X83" s="2"/>
      <c r="Y83" s="2"/>
      <c r="Z83" s="2"/>
    </row>
    <row r="84">
      <c r="A84" s="6">
        <f>IFERROR(__xludf.DUMMYFUNCTION("""COMPUTED_VALUE"""),45735.904768518514)</f>
        <v>45735.90477</v>
      </c>
      <c r="B84" s="2" t="str">
        <f>IFERROR(__xludf.DUMMYFUNCTION("""COMPUTED_VALUE"""),"March")</f>
        <v>March</v>
      </c>
      <c r="C84" s="3">
        <f>IFERROR(__xludf.DUMMYFUNCTION("""COMPUTED_VALUE"""),675159.0)</f>
        <v>675159</v>
      </c>
      <c r="D84" s="2" t="str">
        <f>IFERROR(__xludf.DUMMYFUNCTION("""COMPUTED_VALUE"""),"MNN16")</f>
        <v>MNN16</v>
      </c>
      <c r="E84" s="2" t="str">
        <f>IFERROR(__xludf.DUMMYFUNCTION("""COMPUTED_VALUE"""),"Imported from file DigiZag Bidding Codes.xlsx")</f>
        <v>Imported from file DigiZag Bidding Codes.xlsx</v>
      </c>
      <c r="F84" s="2" t="str">
        <f>IFERROR(__xludf.DUMMYFUNCTION("""COMPUTED_VALUE"""),"NEZ585279")</f>
        <v>NEZ585279</v>
      </c>
      <c r="G84" s="2" t="str">
        <f>IFERROR(__xludf.DUMMYFUNCTION("""COMPUTED_VALUE"""),"Kingdom of Saudi Arabia")</f>
        <v>Kingdom of Saudi Arabia</v>
      </c>
      <c r="H84" s="4">
        <f>IFERROR(__xludf.DUMMYFUNCTION("""COMPUTED_VALUE"""),49.0)</f>
        <v>49</v>
      </c>
      <c r="I84" s="3">
        <f>IFERROR(__xludf.DUMMYFUNCTION("""COMPUTED_VALUE"""),0.0)</f>
        <v>0</v>
      </c>
      <c r="J84" s="4">
        <f>IFERROR(__xludf.DUMMYFUNCTION("""COMPUTED_VALUE"""),4.9)</f>
        <v>4.9</v>
      </c>
      <c r="K84" s="2"/>
      <c r="L84" s="2" t="str">
        <f>IFERROR(__xludf.DUMMYFUNCTION("""COMPUTED_VALUE"""),"Delivered")</f>
        <v>Delivered</v>
      </c>
      <c r="M84" s="2" t="str">
        <f>IFERROR(__xludf.DUMMYFUNCTION("""COMPUTED_VALUE"""),"SR")</f>
        <v>SR</v>
      </c>
      <c r="N84" s="2" t="str">
        <f>IFERROR(__xludf.DUMMYFUNCTION("""COMPUTED_VALUE"""),"Cash")</f>
        <v>Cash</v>
      </c>
      <c r="O84" s="4">
        <f>IFERROR(__xludf.DUMMYFUNCTION("""COMPUTED_VALUE"""),0.0)</f>
        <v>0</v>
      </c>
      <c r="P84" s="2">
        <f>IFERROR(__xludf.DUMMYFUNCTION("""COMPUTED_VALUE"""),19.0)</f>
        <v>19</v>
      </c>
      <c r="Q84" s="2">
        <f>IFERROR(__xludf.DUMMYFUNCTION("""COMPUTED_VALUE"""),3.0)</f>
        <v>3</v>
      </c>
      <c r="R84" s="2">
        <f>IFERROR(__xludf.DUMMYFUNCTION("""COMPUTED_VALUE"""),2025.0)</f>
        <v>2025</v>
      </c>
      <c r="S84" s="2" t="str">
        <f>IFERROR(__xludf.DUMMYFUNCTION("""COMPUTED_VALUE"""),"Digizag")</f>
        <v>Digizag</v>
      </c>
      <c r="T84" s="2" t="str">
        <f>IFERROR(__xludf.DUMMYFUNCTION("""COMPUTED_VALUE"""),"Digizag")</f>
        <v>Digizag</v>
      </c>
      <c r="U84" s="5">
        <f>IFERROR(__xludf.DUMMYFUNCTION("""COMPUTED_VALUE"""),13.065656254000002)</f>
        <v>13.06565625</v>
      </c>
      <c r="V84" s="2"/>
      <c r="W84" s="2"/>
      <c r="X84" s="2"/>
      <c r="Y84" s="2"/>
      <c r="Z84" s="2"/>
    </row>
    <row r="85">
      <c r="A85" s="6">
        <f>IFERROR(__xludf.DUMMYFUNCTION("""COMPUTED_VALUE"""),45735.989710648144)</f>
        <v>45735.98971</v>
      </c>
      <c r="B85" s="2" t="str">
        <f>IFERROR(__xludf.DUMMYFUNCTION("""COMPUTED_VALUE"""),"March")</f>
        <v>March</v>
      </c>
      <c r="C85" s="3">
        <f>IFERROR(__xludf.DUMMYFUNCTION("""COMPUTED_VALUE"""),293810.0)</f>
        <v>293810</v>
      </c>
      <c r="D85" s="2" t="str">
        <f>IFERROR(__xludf.DUMMYFUNCTION("""COMPUTED_VALUE"""),"MNN16")</f>
        <v>MNN16</v>
      </c>
      <c r="E85" s="2" t="str">
        <f>IFERROR(__xludf.DUMMYFUNCTION("""COMPUTED_VALUE"""),"Imported from file DigiZag Bidding Codes.xlsx")</f>
        <v>Imported from file DigiZag Bidding Codes.xlsx</v>
      </c>
      <c r="F85" s="2" t="str">
        <f>IFERROR(__xludf.DUMMYFUNCTION("""COMPUTED_VALUE"""),"VQC914703")</f>
        <v>VQC914703</v>
      </c>
      <c r="G85" s="2" t="str">
        <f>IFERROR(__xludf.DUMMYFUNCTION("""COMPUTED_VALUE"""),"Kingdom of Saudi Arabia")</f>
        <v>Kingdom of Saudi Arabia</v>
      </c>
      <c r="H85" s="4">
        <f>IFERROR(__xludf.DUMMYFUNCTION("""COMPUTED_VALUE"""),208.08)</f>
        <v>208.08</v>
      </c>
      <c r="I85" s="3">
        <f>IFERROR(__xludf.DUMMYFUNCTION("""COMPUTED_VALUE"""),0.0)</f>
        <v>0</v>
      </c>
      <c r="J85" s="4">
        <f>IFERROR(__xludf.DUMMYFUNCTION("""COMPUTED_VALUE"""),20.8)</f>
        <v>20.8</v>
      </c>
      <c r="K85" s="2"/>
      <c r="L85" s="2" t="str">
        <f>IFERROR(__xludf.DUMMYFUNCTION("""COMPUTED_VALUE"""),"Delivered")</f>
        <v>Delivered</v>
      </c>
      <c r="M85" s="2" t="str">
        <f>IFERROR(__xludf.DUMMYFUNCTION("""COMPUTED_VALUE"""),"SR")</f>
        <v>SR</v>
      </c>
      <c r="N85" s="2" t="str">
        <f>IFERROR(__xludf.DUMMYFUNCTION("""COMPUTED_VALUE"""),"Credit, Debit, Apple Pay")</f>
        <v>Credit, Debit, Apple Pay</v>
      </c>
      <c r="O85" s="4">
        <f>IFERROR(__xludf.DUMMYFUNCTION("""COMPUTED_VALUE"""),0.0)</f>
        <v>0</v>
      </c>
      <c r="P85" s="2">
        <f>IFERROR(__xludf.DUMMYFUNCTION("""COMPUTED_VALUE"""),19.0)</f>
        <v>19</v>
      </c>
      <c r="Q85" s="2">
        <f>IFERROR(__xludf.DUMMYFUNCTION("""COMPUTED_VALUE"""),3.0)</f>
        <v>3</v>
      </c>
      <c r="R85" s="2">
        <f>IFERROR(__xludf.DUMMYFUNCTION("""COMPUTED_VALUE"""),2025.0)</f>
        <v>2025</v>
      </c>
      <c r="S85" s="2" t="str">
        <f>IFERROR(__xludf.DUMMYFUNCTION("""COMPUTED_VALUE"""),"Digizag")</f>
        <v>Digizag</v>
      </c>
      <c r="T85" s="2" t="str">
        <f>IFERROR(__xludf.DUMMYFUNCTION("""COMPUTED_VALUE"""),"Digizag")</f>
        <v>Digizag</v>
      </c>
      <c r="U85" s="5">
        <f>IFERROR(__xludf.DUMMYFUNCTION("""COMPUTED_VALUE"""),55.48370925168001)</f>
        <v>55.48370925</v>
      </c>
      <c r="V85" s="2"/>
      <c r="W85" s="2"/>
      <c r="X85" s="2"/>
      <c r="Y85" s="2"/>
      <c r="Z85" s="2"/>
    </row>
    <row r="86">
      <c r="A86" s="6">
        <f>IFERROR(__xludf.DUMMYFUNCTION("""COMPUTED_VALUE"""),45736.32910879629)</f>
        <v>45736.32911</v>
      </c>
      <c r="B86" s="2" t="str">
        <f>IFERROR(__xludf.DUMMYFUNCTION("""COMPUTED_VALUE"""),"March")</f>
        <v>March</v>
      </c>
      <c r="C86" s="3">
        <f>IFERROR(__xludf.DUMMYFUNCTION("""COMPUTED_VALUE"""),3528.0)</f>
        <v>3528</v>
      </c>
      <c r="D86" s="2" t="str">
        <f>IFERROR(__xludf.DUMMYFUNCTION("""COMPUTED_VALUE"""),"MIMI44")</f>
        <v>MIMI44</v>
      </c>
      <c r="E86" s="2" t="str">
        <f>IFERROR(__xludf.DUMMYFUNCTION("""COMPUTED_VALUE"""),"Imported from file DigiZag Codes 25Feb25.xlsx")</f>
        <v>Imported from file DigiZag Codes 25Feb25.xlsx</v>
      </c>
      <c r="F86" s="2" t="str">
        <f>IFERROR(__xludf.DUMMYFUNCTION("""COMPUTED_VALUE"""),"YRU365468")</f>
        <v>YRU365468</v>
      </c>
      <c r="G86" s="2" t="str">
        <f>IFERROR(__xludf.DUMMYFUNCTION("""COMPUTED_VALUE"""),"Kuwait")</f>
        <v>Kuwait</v>
      </c>
      <c r="H86" s="4">
        <f>IFERROR(__xludf.DUMMYFUNCTION("""COMPUTED_VALUE"""),10.667)</f>
        <v>10.667</v>
      </c>
      <c r="I86" s="3">
        <f>IFERROR(__xludf.DUMMYFUNCTION("""COMPUTED_VALUE"""),0.0)</f>
        <v>0</v>
      </c>
      <c r="J86" s="4">
        <f>IFERROR(__xludf.DUMMYFUNCTION("""COMPUTED_VALUE"""),1.066)</f>
        <v>1.066</v>
      </c>
      <c r="K86" s="2"/>
      <c r="L86" s="2" t="str">
        <f>IFERROR(__xludf.DUMMYFUNCTION("""COMPUTED_VALUE"""),"Delivered")</f>
        <v>Delivered</v>
      </c>
      <c r="M86" s="2" t="str">
        <f>IFERROR(__xludf.DUMMYFUNCTION("""COMPUTED_VALUE"""),"KD")</f>
        <v>KD</v>
      </c>
      <c r="N86" s="2" t="str">
        <f>IFERROR(__xludf.DUMMYFUNCTION("""COMPUTED_VALUE"""),"Credit, Debit, Knet")</f>
        <v>Credit, Debit, Knet</v>
      </c>
      <c r="O86" s="4">
        <f>IFERROR(__xludf.DUMMYFUNCTION("""COMPUTED_VALUE"""),0.0)</f>
        <v>0</v>
      </c>
      <c r="P86" s="2">
        <f>IFERROR(__xludf.DUMMYFUNCTION("""COMPUTED_VALUE"""),20.0)</f>
        <v>20</v>
      </c>
      <c r="Q86" s="2">
        <f>IFERROR(__xludf.DUMMYFUNCTION("""COMPUTED_VALUE"""),3.0)</f>
        <v>3</v>
      </c>
      <c r="R86" s="2">
        <f>IFERROR(__xludf.DUMMYFUNCTION("""COMPUTED_VALUE"""),2025.0)</f>
        <v>2025</v>
      </c>
      <c r="S86" s="2" t="str">
        <f>IFERROR(__xludf.DUMMYFUNCTION("""COMPUTED_VALUE"""),"Digizag")</f>
        <v>Digizag</v>
      </c>
      <c r="T86" s="2" t="str">
        <f>IFERROR(__xludf.DUMMYFUNCTION("""COMPUTED_VALUE"""),"Digizag")</f>
        <v>Digizag</v>
      </c>
      <c r="U86" s="5">
        <f>IFERROR(__xludf.DUMMYFUNCTION("""COMPUTED_VALUE"""),34.781033539999996)</f>
        <v>34.78103354</v>
      </c>
      <c r="V86" s="2"/>
      <c r="W86" s="2"/>
      <c r="X86" s="2"/>
      <c r="Y86" s="2"/>
      <c r="Z86" s="2"/>
    </row>
    <row r="87">
      <c r="A87" s="6">
        <f>IFERROR(__xludf.DUMMYFUNCTION("""COMPUTED_VALUE"""),45736.43162037037)</f>
        <v>45736.43162</v>
      </c>
      <c r="B87" s="2" t="str">
        <f>IFERROR(__xludf.DUMMYFUNCTION("""COMPUTED_VALUE"""),"March")</f>
        <v>March</v>
      </c>
      <c r="C87" s="3">
        <f>IFERROR(__xludf.DUMMYFUNCTION("""COMPUTED_VALUE"""),706651.0)</f>
        <v>706651</v>
      </c>
      <c r="D87" s="2" t="str">
        <f>IFERROR(__xludf.DUMMYFUNCTION("""COMPUTED_VALUE"""),"MNN16")</f>
        <v>MNN16</v>
      </c>
      <c r="E87" s="2" t="str">
        <f>IFERROR(__xludf.DUMMYFUNCTION("""COMPUTED_VALUE"""),"Imported from file DigiZag Bidding Codes.xlsx")</f>
        <v>Imported from file DigiZag Bidding Codes.xlsx</v>
      </c>
      <c r="F87" s="2" t="str">
        <f>IFERROR(__xludf.DUMMYFUNCTION("""COMPUTED_VALUE"""),"ZBW509867")</f>
        <v>ZBW509867</v>
      </c>
      <c r="G87" s="2" t="str">
        <f>IFERROR(__xludf.DUMMYFUNCTION("""COMPUTED_VALUE"""),"Kingdom of Saudi Arabia")</f>
        <v>Kingdom of Saudi Arabia</v>
      </c>
      <c r="H87" s="4">
        <f>IFERROR(__xludf.DUMMYFUNCTION("""COMPUTED_VALUE"""),649.57)</f>
        <v>649.57</v>
      </c>
      <c r="I87" s="3">
        <f>IFERROR(__xludf.DUMMYFUNCTION("""COMPUTED_VALUE"""),0.0)</f>
        <v>0</v>
      </c>
      <c r="J87" s="4">
        <f>IFERROR(__xludf.DUMMYFUNCTION("""COMPUTED_VALUE"""),64.95)</f>
        <v>64.95</v>
      </c>
      <c r="K87" s="2"/>
      <c r="L87" s="2" t="str">
        <f>IFERROR(__xludf.DUMMYFUNCTION("""COMPUTED_VALUE"""),"Delivered")</f>
        <v>Delivered</v>
      </c>
      <c r="M87" s="2" t="str">
        <f>IFERROR(__xludf.DUMMYFUNCTION("""COMPUTED_VALUE"""),"SR")</f>
        <v>SR</v>
      </c>
      <c r="N87" s="2" t="str">
        <f>IFERROR(__xludf.DUMMYFUNCTION("""COMPUTED_VALUE"""),"Cash")</f>
        <v>Cash</v>
      </c>
      <c r="O87" s="4">
        <f>IFERROR(__xludf.DUMMYFUNCTION("""COMPUTED_VALUE"""),0.0)</f>
        <v>0</v>
      </c>
      <c r="P87" s="2">
        <f>IFERROR(__xludf.DUMMYFUNCTION("""COMPUTED_VALUE"""),20.0)</f>
        <v>20</v>
      </c>
      <c r="Q87" s="2">
        <f>IFERROR(__xludf.DUMMYFUNCTION("""COMPUTED_VALUE"""),3.0)</f>
        <v>3</v>
      </c>
      <c r="R87" s="2">
        <f>IFERROR(__xludf.DUMMYFUNCTION("""COMPUTED_VALUE"""),2025.0)</f>
        <v>2025</v>
      </c>
      <c r="S87" s="2" t="str">
        <f>IFERROR(__xludf.DUMMYFUNCTION("""COMPUTED_VALUE"""),"Digizag")</f>
        <v>Digizag</v>
      </c>
      <c r="T87" s="2" t="str">
        <f>IFERROR(__xludf.DUMMYFUNCTION("""COMPUTED_VALUE"""),"Digizag")</f>
        <v>Digizag</v>
      </c>
      <c r="U87" s="5">
        <f>IFERROR(__xludf.DUMMYFUNCTION("""COMPUTED_VALUE"""),173.20527210022004)</f>
        <v>173.2052721</v>
      </c>
      <c r="V87" s="2"/>
      <c r="W87" s="2"/>
      <c r="X87" s="2"/>
      <c r="Y87" s="2"/>
      <c r="Z87" s="2"/>
    </row>
    <row r="88">
      <c r="A88" s="6">
        <f>IFERROR(__xludf.DUMMYFUNCTION("""COMPUTED_VALUE"""),45736.70005787037)</f>
        <v>45736.70006</v>
      </c>
      <c r="B88" s="2" t="str">
        <f>IFERROR(__xludf.DUMMYFUNCTION("""COMPUTED_VALUE"""),"March")</f>
        <v>March</v>
      </c>
      <c r="C88" s="3">
        <f>IFERROR(__xludf.DUMMYFUNCTION("""COMPUTED_VALUE"""),294917.0)</f>
        <v>294917</v>
      </c>
      <c r="D88" s="2" t="str">
        <f>IFERROR(__xludf.DUMMYFUNCTION("""COMPUTED_VALUE"""),"MNN16")</f>
        <v>MNN16</v>
      </c>
      <c r="E88" s="2" t="str">
        <f>IFERROR(__xludf.DUMMYFUNCTION("""COMPUTED_VALUE"""),"Imported from file DigiZag Bidding Codes.xlsx")</f>
        <v>Imported from file DigiZag Bidding Codes.xlsx</v>
      </c>
      <c r="F88" s="2" t="str">
        <f>IFERROR(__xludf.DUMMYFUNCTION("""COMPUTED_VALUE"""),"ZWW998679")</f>
        <v>ZWW998679</v>
      </c>
      <c r="G88" s="2" t="str">
        <f>IFERROR(__xludf.DUMMYFUNCTION("""COMPUTED_VALUE"""),"Kingdom of Saudi Arabia")</f>
        <v>Kingdom of Saudi Arabia</v>
      </c>
      <c r="H88" s="4">
        <f>IFERROR(__xludf.DUMMYFUNCTION("""COMPUTED_VALUE"""),227.0)</f>
        <v>227</v>
      </c>
      <c r="I88" s="3">
        <f>IFERROR(__xludf.DUMMYFUNCTION("""COMPUTED_VALUE"""),0.0)</f>
        <v>0</v>
      </c>
      <c r="J88" s="4">
        <f>IFERROR(__xludf.DUMMYFUNCTION("""COMPUTED_VALUE"""),22.7)</f>
        <v>22.7</v>
      </c>
      <c r="K88" s="2"/>
      <c r="L88" s="2" t="str">
        <f>IFERROR(__xludf.DUMMYFUNCTION("""COMPUTED_VALUE"""),"Delivered")</f>
        <v>Delivered</v>
      </c>
      <c r="M88" s="2" t="str">
        <f>IFERROR(__xludf.DUMMYFUNCTION("""COMPUTED_VALUE"""),"SR")</f>
        <v>SR</v>
      </c>
      <c r="N88" s="2" t="str">
        <f>IFERROR(__xludf.DUMMYFUNCTION("""COMPUTED_VALUE"""),"Credit, Debit, Apple Pay")</f>
        <v>Credit, Debit, Apple Pay</v>
      </c>
      <c r="O88" s="4">
        <f>IFERROR(__xludf.DUMMYFUNCTION("""COMPUTED_VALUE"""),0.0)</f>
        <v>0</v>
      </c>
      <c r="P88" s="2">
        <f>IFERROR(__xludf.DUMMYFUNCTION("""COMPUTED_VALUE"""),20.0)</f>
        <v>20</v>
      </c>
      <c r="Q88" s="2">
        <f>IFERROR(__xludf.DUMMYFUNCTION("""COMPUTED_VALUE"""),3.0)</f>
        <v>3</v>
      </c>
      <c r="R88" s="2">
        <f>IFERROR(__xludf.DUMMYFUNCTION("""COMPUTED_VALUE"""),2025.0)</f>
        <v>2025</v>
      </c>
      <c r="S88" s="2" t="str">
        <f>IFERROR(__xludf.DUMMYFUNCTION("""COMPUTED_VALUE"""),"Digizag")</f>
        <v>Digizag</v>
      </c>
      <c r="T88" s="2" t="str">
        <f>IFERROR(__xludf.DUMMYFUNCTION("""COMPUTED_VALUE"""),"Digizag")</f>
        <v>Digizag</v>
      </c>
      <c r="U88" s="5">
        <f>IFERROR(__xludf.DUMMYFUNCTION("""COMPUTED_VALUE"""),60.52865244200001)</f>
        <v>60.52865244</v>
      </c>
      <c r="V88" s="2"/>
      <c r="W88" s="2"/>
      <c r="X88" s="2"/>
      <c r="Y88" s="2"/>
      <c r="Z88" s="2"/>
    </row>
    <row r="89">
      <c r="A89" s="6">
        <f>IFERROR(__xludf.DUMMYFUNCTION("""COMPUTED_VALUE"""),45736.71910879629)</f>
        <v>45736.71911</v>
      </c>
      <c r="B89" s="2" t="str">
        <f>IFERROR(__xludf.DUMMYFUNCTION("""COMPUTED_VALUE"""),"March")</f>
        <v>March</v>
      </c>
      <c r="C89" s="3">
        <f>IFERROR(__xludf.DUMMYFUNCTION("""COMPUTED_VALUE"""),310070.0)</f>
        <v>310070</v>
      </c>
      <c r="D89" s="2" t="str">
        <f>IFERROR(__xludf.DUMMYFUNCTION("""COMPUTED_VALUE"""),"MNN16")</f>
        <v>MNN16</v>
      </c>
      <c r="E89" s="2" t="str">
        <f>IFERROR(__xludf.DUMMYFUNCTION("""COMPUTED_VALUE"""),"Imported from file DigiZag Codes 25Feb25.xlsx")</f>
        <v>Imported from file DigiZag Codes 25Feb25.xlsx</v>
      </c>
      <c r="F89" s="2" t="str">
        <f>IFERROR(__xludf.DUMMYFUNCTION("""COMPUTED_VALUE"""),"TAJ395207")</f>
        <v>TAJ395207</v>
      </c>
      <c r="G89" s="2" t="str">
        <f>IFERROR(__xludf.DUMMYFUNCTION("""COMPUTED_VALUE"""),"UAE")</f>
        <v>UAE</v>
      </c>
      <c r="H89" s="4">
        <f>IFERROR(__xludf.DUMMYFUNCTION("""COMPUTED_VALUE"""),412.0)</f>
        <v>412</v>
      </c>
      <c r="I89" s="3">
        <f>IFERROR(__xludf.DUMMYFUNCTION("""COMPUTED_VALUE"""),0.0)</f>
        <v>0</v>
      </c>
      <c r="J89" s="4">
        <f>IFERROR(__xludf.DUMMYFUNCTION("""COMPUTED_VALUE"""),41.2)</f>
        <v>41.2</v>
      </c>
      <c r="K89" s="2"/>
      <c r="L89" s="2" t="str">
        <f>IFERROR(__xludf.DUMMYFUNCTION("""COMPUTED_VALUE"""),"Delivered")</f>
        <v>Delivered</v>
      </c>
      <c r="M89" s="2" t="str">
        <f>IFERROR(__xludf.DUMMYFUNCTION("""COMPUTED_VALUE"""),"AED")</f>
        <v>AED</v>
      </c>
      <c r="N89" s="2" t="str">
        <f>IFERROR(__xludf.DUMMYFUNCTION("""COMPUTED_VALUE"""),"Credit, Debit , Apple Pay")</f>
        <v>Credit, Debit , Apple Pay</v>
      </c>
      <c r="O89" s="4">
        <f>IFERROR(__xludf.DUMMYFUNCTION("""COMPUTED_VALUE"""),0.0)</f>
        <v>0</v>
      </c>
      <c r="P89" s="2">
        <f>IFERROR(__xludf.DUMMYFUNCTION("""COMPUTED_VALUE"""),20.0)</f>
        <v>20</v>
      </c>
      <c r="Q89" s="2">
        <f>IFERROR(__xludf.DUMMYFUNCTION("""COMPUTED_VALUE"""),3.0)</f>
        <v>3</v>
      </c>
      <c r="R89" s="2">
        <f>IFERROR(__xludf.DUMMYFUNCTION("""COMPUTED_VALUE"""),2025.0)</f>
        <v>2025</v>
      </c>
      <c r="S89" s="2" t="str">
        <f>IFERROR(__xludf.DUMMYFUNCTION("""COMPUTED_VALUE"""),"Digizag")</f>
        <v>Digizag</v>
      </c>
      <c r="T89" s="2" t="str">
        <f>IFERROR(__xludf.DUMMYFUNCTION("""COMPUTED_VALUE"""),"Digizag")</f>
        <v>Digizag</v>
      </c>
      <c r="U89" s="5">
        <f>IFERROR(__xludf.DUMMYFUNCTION("""COMPUTED_VALUE"""),112.185160136)</f>
        <v>112.1851601</v>
      </c>
      <c r="V89" s="2"/>
      <c r="W89" s="2"/>
      <c r="X89" s="2"/>
      <c r="Y89" s="2"/>
      <c r="Z89" s="2"/>
    </row>
    <row r="90">
      <c r="A90" s="6">
        <f>IFERROR(__xludf.DUMMYFUNCTION("""COMPUTED_VALUE"""),45736.95972222222)</f>
        <v>45736.95972</v>
      </c>
      <c r="B90" s="2" t="str">
        <f>IFERROR(__xludf.DUMMYFUNCTION("""COMPUTED_VALUE"""),"March")</f>
        <v>March</v>
      </c>
      <c r="C90" s="3">
        <f>IFERROR(__xludf.DUMMYFUNCTION("""COMPUTED_VALUE"""),514226.0)</f>
        <v>514226</v>
      </c>
      <c r="D90" s="2" t="str">
        <f>IFERROR(__xludf.DUMMYFUNCTION("""COMPUTED_VALUE"""),"MNN16")</f>
        <v>MNN16</v>
      </c>
      <c r="E90" s="2" t="str">
        <f>IFERROR(__xludf.DUMMYFUNCTION("""COMPUTED_VALUE"""),"Imported from file DigiZag Bidding Codes.xlsx")</f>
        <v>Imported from file DigiZag Bidding Codes.xlsx</v>
      </c>
      <c r="F90" s="2" t="str">
        <f>IFERROR(__xludf.DUMMYFUNCTION("""COMPUTED_VALUE"""),"NTL225529")</f>
        <v>NTL225529</v>
      </c>
      <c r="G90" s="2" t="str">
        <f>IFERROR(__xludf.DUMMYFUNCTION("""COMPUTED_VALUE"""),"Kingdom of Saudi Arabia")</f>
        <v>Kingdom of Saudi Arabia</v>
      </c>
      <c r="H90" s="4">
        <f>IFERROR(__xludf.DUMMYFUNCTION("""COMPUTED_VALUE"""),85.14)</f>
        <v>85.14</v>
      </c>
      <c r="I90" s="3">
        <f>IFERROR(__xludf.DUMMYFUNCTION("""COMPUTED_VALUE"""),0.0)</f>
        <v>0</v>
      </c>
      <c r="J90" s="4">
        <f>IFERROR(__xludf.DUMMYFUNCTION("""COMPUTED_VALUE"""),8.51)</f>
        <v>8.51</v>
      </c>
      <c r="K90" s="2"/>
      <c r="L90" s="2" t="str">
        <f>IFERROR(__xludf.DUMMYFUNCTION("""COMPUTED_VALUE"""),"Delivered")</f>
        <v>Delivered</v>
      </c>
      <c r="M90" s="2" t="str">
        <f>IFERROR(__xludf.DUMMYFUNCTION("""COMPUTED_VALUE"""),"SR")</f>
        <v>SR</v>
      </c>
      <c r="N90" s="2" t="str">
        <f>IFERROR(__xludf.DUMMYFUNCTION("""COMPUTED_VALUE"""),"Credit, Debit, Apple Pay")</f>
        <v>Credit, Debit, Apple Pay</v>
      </c>
      <c r="O90" s="4">
        <f>IFERROR(__xludf.DUMMYFUNCTION("""COMPUTED_VALUE"""),0.0)</f>
        <v>0</v>
      </c>
      <c r="P90" s="2">
        <f>IFERROR(__xludf.DUMMYFUNCTION("""COMPUTED_VALUE"""),20.0)</f>
        <v>20</v>
      </c>
      <c r="Q90" s="2">
        <f>IFERROR(__xludf.DUMMYFUNCTION("""COMPUTED_VALUE"""),3.0)</f>
        <v>3</v>
      </c>
      <c r="R90" s="2">
        <f>IFERROR(__xludf.DUMMYFUNCTION("""COMPUTED_VALUE"""),2025.0)</f>
        <v>2025</v>
      </c>
      <c r="S90" s="2" t="str">
        <f>IFERROR(__xludf.DUMMYFUNCTION("""COMPUTED_VALUE"""),"Digizag")</f>
        <v>Digizag</v>
      </c>
      <c r="T90" s="2" t="str">
        <f>IFERROR(__xludf.DUMMYFUNCTION("""COMPUTED_VALUE"""),"Digizag")</f>
        <v>Digizag</v>
      </c>
      <c r="U90" s="5">
        <f>IFERROR(__xludf.DUMMYFUNCTION("""COMPUTED_VALUE"""),22.70224435644)</f>
        <v>22.70224436</v>
      </c>
      <c r="V90" s="2"/>
      <c r="W90" s="2"/>
      <c r="X90" s="2"/>
      <c r="Y90" s="2"/>
      <c r="Z90" s="2"/>
    </row>
    <row r="91">
      <c r="A91" s="6">
        <f>IFERROR(__xludf.DUMMYFUNCTION("""COMPUTED_VALUE"""),45736.982881944445)</f>
        <v>45736.98288</v>
      </c>
      <c r="B91" s="2" t="str">
        <f>IFERROR(__xludf.DUMMYFUNCTION("""COMPUTED_VALUE"""),"March")</f>
        <v>March</v>
      </c>
      <c r="C91" s="3">
        <f>IFERROR(__xludf.DUMMYFUNCTION("""COMPUTED_VALUE"""),707043.0)</f>
        <v>707043</v>
      </c>
      <c r="D91" s="2" t="str">
        <f>IFERROR(__xludf.DUMMYFUNCTION("""COMPUTED_VALUE"""),"MNN16")</f>
        <v>MNN16</v>
      </c>
      <c r="E91" s="2" t="str">
        <f>IFERROR(__xludf.DUMMYFUNCTION("""COMPUTED_VALUE"""),"Imported from file DigiZag Bidding Codes.xlsx")</f>
        <v>Imported from file DigiZag Bidding Codes.xlsx</v>
      </c>
      <c r="F91" s="2" t="str">
        <f>IFERROR(__xludf.DUMMYFUNCTION("""COMPUTED_VALUE"""),"SZB529599")</f>
        <v>SZB529599</v>
      </c>
      <c r="G91" s="2" t="str">
        <f>IFERROR(__xludf.DUMMYFUNCTION("""COMPUTED_VALUE"""),"Kingdom of Saudi Arabia")</f>
        <v>Kingdom of Saudi Arabia</v>
      </c>
      <c r="H91" s="4">
        <f>IFERROR(__xludf.DUMMYFUNCTION("""COMPUTED_VALUE"""),227.69)</f>
        <v>227.69</v>
      </c>
      <c r="I91" s="3">
        <f>IFERROR(__xludf.DUMMYFUNCTION("""COMPUTED_VALUE"""),0.0)</f>
        <v>0</v>
      </c>
      <c r="J91" s="4">
        <f>IFERROR(__xludf.DUMMYFUNCTION("""COMPUTED_VALUE"""),22.76)</f>
        <v>22.76</v>
      </c>
      <c r="K91" s="2"/>
      <c r="L91" s="2" t="str">
        <f>IFERROR(__xludf.DUMMYFUNCTION("""COMPUTED_VALUE"""),"Delivered")</f>
        <v>Delivered</v>
      </c>
      <c r="M91" s="2" t="str">
        <f>IFERROR(__xludf.DUMMYFUNCTION("""COMPUTED_VALUE"""),"SR")</f>
        <v>SR</v>
      </c>
      <c r="N91" s="2" t="str">
        <f>IFERROR(__xludf.DUMMYFUNCTION("""COMPUTED_VALUE"""),"Credit, Debit, Apple Pay")</f>
        <v>Credit, Debit, Apple Pay</v>
      </c>
      <c r="O91" s="4">
        <f>IFERROR(__xludf.DUMMYFUNCTION("""COMPUTED_VALUE"""),0.0)</f>
        <v>0</v>
      </c>
      <c r="P91" s="2">
        <f>IFERROR(__xludf.DUMMYFUNCTION("""COMPUTED_VALUE"""),20.0)</f>
        <v>20</v>
      </c>
      <c r="Q91" s="2">
        <f>IFERROR(__xludf.DUMMYFUNCTION("""COMPUTED_VALUE"""),3.0)</f>
        <v>3</v>
      </c>
      <c r="R91" s="2">
        <f>IFERROR(__xludf.DUMMYFUNCTION("""COMPUTED_VALUE"""),2025.0)</f>
        <v>2025</v>
      </c>
      <c r="S91" s="2" t="str">
        <f>IFERROR(__xludf.DUMMYFUNCTION("""COMPUTED_VALUE"""),"Digizag")</f>
        <v>Digizag</v>
      </c>
      <c r="T91" s="2" t="str">
        <f>IFERROR(__xludf.DUMMYFUNCTION("""COMPUTED_VALUE"""),"Digizag")</f>
        <v>Digizag</v>
      </c>
      <c r="U91" s="5">
        <f>IFERROR(__xludf.DUMMYFUNCTION("""COMPUTED_VALUE"""),60.71263821374001)</f>
        <v>60.71263821</v>
      </c>
      <c r="V91" s="2"/>
      <c r="W91" s="2"/>
      <c r="X91" s="2"/>
      <c r="Y91" s="2"/>
      <c r="Z91" s="2"/>
    </row>
    <row r="92">
      <c r="A92" s="6">
        <f>IFERROR(__xludf.DUMMYFUNCTION("""COMPUTED_VALUE"""),45737.00685185185)</f>
        <v>45737.00685</v>
      </c>
      <c r="B92" s="2" t="str">
        <f>IFERROR(__xludf.DUMMYFUNCTION("""COMPUTED_VALUE"""),"March")</f>
        <v>March</v>
      </c>
      <c r="C92" s="3">
        <f>IFERROR(__xludf.DUMMYFUNCTION("""COMPUTED_VALUE"""),71366.0)</f>
        <v>71366</v>
      </c>
      <c r="D92" s="2" t="str">
        <f>IFERROR(__xludf.DUMMYFUNCTION("""COMPUTED_VALUE"""),"MNN16")</f>
        <v>MNN16</v>
      </c>
      <c r="E92" s="2" t="str">
        <f>IFERROR(__xludf.DUMMYFUNCTION("""COMPUTED_VALUE"""),"Imported from file DigiZag Bidding Codes.xlsx")</f>
        <v>Imported from file DigiZag Bidding Codes.xlsx</v>
      </c>
      <c r="F92" s="2" t="str">
        <f>IFERROR(__xludf.DUMMYFUNCTION("""COMPUTED_VALUE"""),"CXZ746938")</f>
        <v>CXZ746938</v>
      </c>
      <c r="G92" s="2" t="str">
        <f>IFERROR(__xludf.DUMMYFUNCTION("""COMPUTED_VALUE"""),"Kingdom of Saudi Arabia")</f>
        <v>Kingdom of Saudi Arabia</v>
      </c>
      <c r="H92" s="4">
        <f>IFERROR(__xludf.DUMMYFUNCTION("""COMPUTED_VALUE"""),76.52)</f>
        <v>76.52</v>
      </c>
      <c r="I92" s="3">
        <f>IFERROR(__xludf.DUMMYFUNCTION("""COMPUTED_VALUE"""),0.0)</f>
        <v>0</v>
      </c>
      <c r="J92" s="4">
        <f>IFERROR(__xludf.DUMMYFUNCTION("""COMPUTED_VALUE"""),7.65)</f>
        <v>7.65</v>
      </c>
      <c r="K92" s="2"/>
      <c r="L92" s="2" t="str">
        <f>IFERROR(__xludf.DUMMYFUNCTION("""COMPUTED_VALUE"""),"Delivered")</f>
        <v>Delivered</v>
      </c>
      <c r="M92" s="2" t="str">
        <f>IFERROR(__xludf.DUMMYFUNCTION("""COMPUTED_VALUE"""),"SR")</f>
        <v>SR</v>
      </c>
      <c r="N92" s="2" t="str">
        <f>IFERROR(__xludf.DUMMYFUNCTION("""COMPUTED_VALUE"""),"Credit, Debit, Apple Pay")</f>
        <v>Credit, Debit, Apple Pay</v>
      </c>
      <c r="O92" s="4">
        <f>IFERROR(__xludf.DUMMYFUNCTION("""COMPUTED_VALUE"""),0.0)</f>
        <v>0</v>
      </c>
      <c r="P92" s="2">
        <f>IFERROR(__xludf.DUMMYFUNCTION("""COMPUTED_VALUE"""),21.0)</f>
        <v>21</v>
      </c>
      <c r="Q92" s="2">
        <f>IFERROR(__xludf.DUMMYFUNCTION("""COMPUTED_VALUE"""),3.0)</f>
        <v>3</v>
      </c>
      <c r="R92" s="2">
        <f>IFERROR(__xludf.DUMMYFUNCTION("""COMPUTED_VALUE"""),2025.0)</f>
        <v>2025</v>
      </c>
      <c r="S92" s="2" t="str">
        <f>IFERROR(__xludf.DUMMYFUNCTION("""COMPUTED_VALUE"""),"Digizag")</f>
        <v>Digizag</v>
      </c>
      <c r="T92" s="2" t="str">
        <f>IFERROR(__xludf.DUMMYFUNCTION("""COMPUTED_VALUE"""),"Digizag")</f>
        <v>Digizag</v>
      </c>
      <c r="U92" s="5">
        <f>IFERROR(__xludf.DUMMYFUNCTION("""COMPUTED_VALUE"""),20.40375543992)</f>
        <v>20.40375544</v>
      </c>
      <c r="V92" s="2"/>
      <c r="W92" s="2"/>
      <c r="X92" s="2"/>
      <c r="Y92" s="2"/>
      <c r="Z92" s="2"/>
    </row>
    <row r="93">
      <c r="A93" s="6">
        <f>IFERROR(__xludf.DUMMYFUNCTION("""COMPUTED_VALUE"""),45737.03728009259)</f>
        <v>45737.03728</v>
      </c>
      <c r="B93" s="2" t="str">
        <f>IFERROR(__xludf.DUMMYFUNCTION("""COMPUTED_VALUE"""),"March")</f>
        <v>March</v>
      </c>
      <c r="C93" s="3">
        <f>IFERROR(__xludf.DUMMYFUNCTION("""COMPUTED_VALUE"""),706513.0)</f>
        <v>706513</v>
      </c>
      <c r="D93" s="2" t="str">
        <f>IFERROR(__xludf.DUMMYFUNCTION("""COMPUTED_VALUE"""),"MNN16")</f>
        <v>MNN16</v>
      </c>
      <c r="E93" s="2" t="str">
        <f>IFERROR(__xludf.DUMMYFUNCTION("""COMPUTED_VALUE"""),"Imported from file DigiZag Bidding Codes.xlsx")</f>
        <v>Imported from file DigiZag Bidding Codes.xlsx</v>
      </c>
      <c r="F93" s="2" t="str">
        <f>IFERROR(__xludf.DUMMYFUNCTION("""COMPUTED_VALUE"""),"GQY457561")</f>
        <v>GQY457561</v>
      </c>
      <c r="G93" s="2" t="str">
        <f>IFERROR(__xludf.DUMMYFUNCTION("""COMPUTED_VALUE"""),"Kingdom of Saudi Arabia")</f>
        <v>Kingdom of Saudi Arabia</v>
      </c>
      <c r="H93" s="4">
        <f>IFERROR(__xludf.DUMMYFUNCTION("""COMPUTED_VALUE"""),114.06)</f>
        <v>114.06</v>
      </c>
      <c r="I93" s="3">
        <f>IFERROR(__xludf.DUMMYFUNCTION("""COMPUTED_VALUE"""),0.0)</f>
        <v>0</v>
      </c>
      <c r="J93" s="4">
        <f>IFERROR(__xludf.DUMMYFUNCTION("""COMPUTED_VALUE"""),11.4)</f>
        <v>11.4</v>
      </c>
      <c r="K93" s="2"/>
      <c r="L93" s="2" t="str">
        <f>IFERROR(__xludf.DUMMYFUNCTION("""COMPUTED_VALUE"""),"Delivered")</f>
        <v>Delivered</v>
      </c>
      <c r="M93" s="2" t="str">
        <f>IFERROR(__xludf.DUMMYFUNCTION("""COMPUTED_VALUE"""),"SR")</f>
        <v>SR</v>
      </c>
      <c r="N93" s="2" t="str">
        <f>IFERROR(__xludf.DUMMYFUNCTION("""COMPUTED_VALUE"""),"Credit, Debit, Apple Pay")</f>
        <v>Credit, Debit, Apple Pay</v>
      </c>
      <c r="O93" s="4">
        <f>IFERROR(__xludf.DUMMYFUNCTION("""COMPUTED_VALUE"""),0.0)</f>
        <v>0</v>
      </c>
      <c r="P93" s="2">
        <f>IFERROR(__xludf.DUMMYFUNCTION("""COMPUTED_VALUE"""),21.0)</f>
        <v>21</v>
      </c>
      <c r="Q93" s="2">
        <f>IFERROR(__xludf.DUMMYFUNCTION("""COMPUTED_VALUE"""),3.0)</f>
        <v>3</v>
      </c>
      <c r="R93" s="2">
        <f>IFERROR(__xludf.DUMMYFUNCTION("""COMPUTED_VALUE"""),2025.0)</f>
        <v>2025</v>
      </c>
      <c r="S93" s="2" t="str">
        <f>IFERROR(__xludf.DUMMYFUNCTION("""COMPUTED_VALUE"""),"Digizag")</f>
        <v>Digizag</v>
      </c>
      <c r="T93" s="2" t="str">
        <f>IFERROR(__xludf.DUMMYFUNCTION("""COMPUTED_VALUE"""),"Digizag")</f>
        <v>Digizag</v>
      </c>
      <c r="U93" s="5">
        <f>IFERROR(__xludf.DUMMYFUNCTION("""COMPUTED_VALUE"""),30.413648006760003)</f>
        <v>30.41364801</v>
      </c>
      <c r="V93" s="2"/>
      <c r="W93" s="2"/>
      <c r="X93" s="2"/>
      <c r="Y93" s="2"/>
      <c r="Z93" s="2"/>
    </row>
    <row r="94">
      <c r="A94" s="6">
        <f>IFERROR(__xludf.DUMMYFUNCTION("""COMPUTED_VALUE"""),45737.08049768519)</f>
        <v>45737.0805</v>
      </c>
      <c r="B94" s="2" t="str">
        <f>IFERROR(__xludf.DUMMYFUNCTION("""COMPUTED_VALUE"""),"March")</f>
        <v>March</v>
      </c>
      <c r="C94" s="3">
        <f>IFERROR(__xludf.DUMMYFUNCTION("""COMPUTED_VALUE"""),707096.0)</f>
        <v>707096</v>
      </c>
      <c r="D94" s="2" t="str">
        <f>IFERROR(__xludf.DUMMYFUNCTION("""COMPUTED_VALUE"""),"MNN16")</f>
        <v>MNN16</v>
      </c>
      <c r="E94" s="2" t="str">
        <f>IFERROR(__xludf.DUMMYFUNCTION("""COMPUTED_VALUE"""),"Imported from file DigiZag Bidding Codes.xlsx")</f>
        <v>Imported from file DigiZag Bidding Codes.xlsx</v>
      </c>
      <c r="F94" s="2" t="str">
        <f>IFERROR(__xludf.DUMMYFUNCTION("""COMPUTED_VALUE"""),"GMP774611")</f>
        <v>GMP774611</v>
      </c>
      <c r="G94" s="2" t="str">
        <f>IFERROR(__xludf.DUMMYFUNCTION("""COMPUTED_VALUE"""),"Kingdom of Saudi Arabia")</f>
        <v>Kingdom of Saudi Arabia</v>
      </c>
      <c r="H94" s="4">
        <f>IFERROR(__xludf.DUMMYFUNCTION("""COMPUTED_VALUE"""),249.39)</f>
        <v>249.39</v>
      </c>
      <c r="I94" s="3">
        <f>IFERROR(__xludf.DUMMYFUNCTION("""COMPUTED_VALUE"""),0.0)</f>
        <v>0</v>
      </c>
      <c r="J94" s="4">
        <f>IFERROR(__xludf.DUMMYFUNCTION("""COMPUTED_VALUE"""),24.93)</f>
        <v>24.93</v>
      </c>
      <c r="K94" s="2"/>
      <c r="L94" s="2" t="str">
        <f>IFERROR(__xludf.DUMMYFUNCTION("""COMPUTED_VALUE"""),"Delivered")</f>
        <v>Delivered</v>
      </c>
      <c r="M94" s="2" t="str">
        <f>IFERROR(__xludf.DUMMYFUNCTION("""COMPUTED_VALUE"""),"SR")</f>
        <v>SR</v>
      </c>
      <c r="N94" s="2" t="str">
        <f>IFERROR(__xludf.DUMMYFUNCTION("""COMPUTED_VALUE"""),"Credit, Debit, Apple Pay")</f>
        <v>Credit, Debit, Apple Pay</v>
      </c>
      <c r="O94" s="4">
        <f>IFERROR(__xludf.DUMMYFUNCTION("""COMPUTED_VALUE"""),0.0)</f>
        <v>0</v>
      </c>
      <c r="P94" s="2">
        <f>IFERROR(__xludf.DUMMYFUNCTION("""COMPUTED_VALUE"""),21.0)</f>
        <v>21</v>
      </c>
      <c r="Q94" s="2">
        <f>IFERROR(__xludf.DUMMYFUNCTION("""COMPUTED_VALUE"""),3.0)</f>
        <v>3</v>
      </c>
      <c r="R94" s="2">
        <f>IFERROR(__xludf.DUMMYFUNCTION("""COMPUTED_VALUE"""),2025.0)</f>
        <v>2025</v>
      </c>
      <c r="S94" s="2" t="str">
        <f>IFERROR(__xludf.DUMMYFUNCTION("""COMPUTED_VALUE"""),"Digizag")</f>
        <v>Digizag</v>
      </c>
      <c r="T94" s="2" t="str">
        <f>IFERROR(__xludf.DUMMYFUNCTION("""COMPUTED_VALUE"""),"Digizag")</f>
        <v>Digizag</v>
      </c>
      <c r="U94" s="5">
        <f>IFERROR(__xludf.DUMMYFUNCTION("""COMPUTED_VALUE"""),66.49885741194001)</f>
        <v>66.49885741</v>
      </c>
      <c r="V94" s="2"/>
      <c r="W94" s="2"/>
      <c r="X94" s="2"/>
      <c r="Y94" s="2"/>
      <c r="Z94" s="2"/>
    </row>
    <row r="95">
      <c r="A95" s="6">
        <f>IFERROR(__xludf.DUMMYFUNCTION("""COMPUTED_VALUE"""),45737.421701388885)</f>
        <v>45737.4217</v>
      </c>
      <c r="B95" s="2" t="str">
        <f>IFERROR(__xludf.DUMMYFUNCTION("""COMPUTED_VALUE"""),"March")</f>
        <v>March</v>
      </c>
      <c r="C95" s="3">
        <f>IFERROR(__xludf.DUMMYFUNCTION("""COMPUTED_VALUE"""),1674.0)</f>
        <v>1674</v>
      </c>
      <c r="D95" s="2" t="str">
        <f>IFERROR(__xludf.DUMMYFUNCTION("""COMPUTED_VALUE"""),"MIMI44")</f>
        <v>MIMI44</v>
      </c>
      <c r="E95" s="2" t="str">
        <f>IFERROR(__xludf.DUMMYFUNCTION("""COMPUTED_VALUE"""),"Imported from file DigiZag Codes 25Feb25.xlsx")</f>
        <v>Imported from file DigiZag Codes 25Feb25.xlsx</v>
      </c>
      <c r="F95" s="2" t="str">
        <f>IFERROR(__xludf.DUMMYFUNCTION("""COMPUTED_VALUE"""),"KAR365198")</f>
        <v>KAR365198</v>
      </c>
      <c r="G95" s="2" t="str">
        <f>IFERROR(__xludf.DUMMYFUNCTION("""COMPUTED_VALUE"""),"Kuwait")</f>
        <v>Kuwait</v>
      </c>
      <c r="H95" s="4">
        <f>IFERROR(__xludf.DUMMYFUNCTION("""COMPUTED_VALUE"""),3.95)</f>
        <v>3.95</v>
      </c>
      <c r="I95" s="3">
        <f>IFERROR(__xludf.DUMMYFUNCTION("""COMPUTED_VALUE"""),0.0)</f>
        <v>0</v>
      </c>
      <c r="J95" s="4">
        <f>IFERROR(__xludf.DUMMYFUNCTION("""COMPUTED_VALUE"""),0.395)</f>
        <v>0.395</v>
      </c>
      <c r="K95" s="2"/>
      <c r="L95" s="2" t="str">
        <f>IFERROR(__xludf.DUMMYFUNCTION("""COMPUTED_VALUE"""),"Delivered")</f>
        <v>Delivered</v>
      </c>
      <c r="M95" s="2" t="str">
        <f>IFERROR(__xludf.DUMMYFUNCTION("""COMPUTED_VALUE"""),"KD")</f>
        <v>KD</v>
      </c>
      <c r="N95" s="2" t="str">
        <f>IFERROR(__xludf.DUMMYFUNCTION("""COMPUTED_VALUE"""),"Credit, Debit, Knet")</f>
        <v>Credit, Debit, Knet</v>
      </c>
      <c r="O95" s="4">
        <f>IFERROR(__xludf.DUMMYFUNCTION("""COMPUTED_VALUE"""),0.0)</f>
        <v>0</v>
      </c>
      <c r="P95" s="2">
        <f>IFERROR(__xludf.DUMMYFUNCTION("""COMPUTED_VALUE"""),21.0)</f>
        <v>21</v>
      </c>
      <c r="Q95" s="2">
        <f>IFERROR(__xludf.DUMMYFUNCTION("""COMPUTED_VALUE"""),3.0)</f>
        <v>3</v>
      </c>
      <c r="R95" s="2">
        <f>IFERROR(__xludf.DUMMYFUNCTION("""COMPUTED_VALUE"""),2025.0)</f>
        <v>2025</v>
      </c>
      <c r="S95" s="2" t="str">
        <f>IFERROR(__xludf.DUMMYFUNCTION("""COMPUTED_VALUE"""),"Digizag")</f>
        <v>Digizag</v>
      </c>
      <c r="T95" s="2" t="str">
        <f>IFERROR(__xludf.DUMMYFUNCTION("""COMPUTED_VALUE"""),"Digizag")</f>
        <v>Digizag</v>
      </c>
      <c r="U95" s="5">
        <f>IFERROR(__xludf.DUMMYFUNCTION("""COMPUTED_VALUE"""),12.879449)</f>
        <v>12.879449</v>
      </c>
      <c r="V95" s="2"/>
      <c r="W95" s="2"/>
      <c r="X95" s="2"/>
      <c r="Y95" s="2"/>
      <c r="Z95" s="2"/>
    </row>
    <row r="96">
      <c r="A96" s="6">
        <f>IFERROR(__xludf.DUMMYFUNCTION("""COMPUTED_VALUE"""),45737.7340625)</f>
        <v>45737.73406</v>
      </c>
      <c r="B96" s="2" t="str">
        <f>IFERROR(__xludf.DUMMYFUNCTION("""COMPUTED_VALUE"""),"March")</f>
        <v>March</v>
      </c>
      <c r="C96" s="3">
        <f>IFERROR(__xludf.DUMMYFUNCTION("""COMPUTED_VALUE"""),406088.0)</f>
        <v>406088</v>
      </c>
      <c r="D96" s="2" t="str">
        <f>IFERROR(__xludf.DUMMYFUNCTION("""COMPUTED_VALUE"""),"MNN16")</f>
        <v>MNN16</v>
      </c>
      <c r="E96" s="2" t="str">
        <f>IFERROR(__xludf.DUMMYFUNCTION("""COMPUTED_VALUE"""),"Imported from file DigiZag Codes 25Feb25.xlsx")</f>
        <v>Imported from file DigiZag Codes 25Feb25.xlsx</v>
      </c>
      <c r="F96" s="2" t="str">
        <f>IFERROR(__xludf.DUMMYFUNCTION("""COMPUTED_VALUE"""),"TLH170453")</f>
        <v>TLH170453</v>
      </c>
      <c r="G96" s="2" t="str">
        <f>IFERROR(__xludf.DUMMYFUNCTION("""COMPUTED_VALUE"""),"Bahrain")</f>
        <v>Bahrain</v>
      </c>
      <c r="H96" s="4">
        <f>IFERROR(__xludf.DUMMYFUNCTION("""COMPUTED_VALUE"""),8.5)</f>
        <v>8.5</v>
      </c>
      <c r="I96" s="3">
        <f>IFERROR(__xludf.DUMMYFUNCTION("""COMPUTED_VALUE"""),0.0)</f>
        <v>0</v>
      </c>
      <c r="J96" s="4">
        <f>IFERROR(__xludf.DUMMYFUNCTION("""COMPUTED_VALUE"""),0.85)</f>
        <v>0.85</v>
      </c>
      <c r="K96" s="2"/>
      <c r="L96" s="2" t="str">
        <f>IFERROR(__xludf.DUMMYFUNCTION("""COMPUTED_VALUE"""),"Delivered")</f>
        <v>Delivered</v>
      </c>
      <c r="M96" s="2" t="str">
        <f>IFERROR(__xludf.DUMMYFUNCTION("""COMPUTED_VALUE"""),"BHD")</f>
        <v>BHD</v>
      </c>
      <c r="N96" s="2" t="str">
        <f>IFERROR(__xludf.DUMMYFUNCTION("""COMPUTED_VALUE"""),"Credit, Debit")</f>
        <v>Credit, Debit</v>
      </c>
      <c r="O96" s="4">
        <f>IFERROR(__xludf.DUMMYFUNCTION("""COMPUTED_VALUE"""),0.0)</f>
        <v>0</v>
      </c>
      <c r="P96" s="2">
        <f>IFERROR(__xludf.DUMMYFUNCTION("""COMPUTED_VALUE"""),21.0)</f>
        <v>21</v>
      </c>
      <c r="Q96" s="2">
        <f>IFERROR(__xludf.DUMMYFUNCTION("""COMPUTED_VALUE"""),3.0)</f>
        <v>3</v>
      </c>
      <c r="R96" s="2">
        <f>IFERROR(__xludf.DUMMYFUNCTION("""COMPUTED_VALUE"""),2025.0)</f>
        <v>2025</v>
      </c>
      <c r="S96" s="2" t="str">
        <f>IFERROR(__xludf.DUMMYFUNCTION("""COMPUTED_VALUE"""),"Digizag")</f>
        <v>Digizag</v>
      </c>
      <c r="T96" s="2" t="str">
        <f>IFERROR(__xludf.DUMMYFUNCTION("""COMPUTED_VALUE"""),"Digizag")</f>
        <v>Digizag</v>
      </c>
      <c r="U96" s="5">
        <f>IFERROR(__xludf.DUMMYFUNCTION("""COMPUTED_VALUE"""),22.5497945)</f>
        <v>22.5497945</v>
      </c>
      <c r="V96" s="2"/>
      <c r="W96" s="2"/>
      <c r="X96" s="2"/>
      <c r="Y96" s="2"/>
      <c r="Z96" s="2"/>
    </row>
    <row r="97">
      <c r="A97" s="6">
        <f>IFERROR(__xludf.DUMMYFUNCTION("""COMPUTED_VALUE"""),45737.76118055556)</f>
        <v>45737.76118</v>
      </c>
      <c r="B97" s="2" t="str">
        <f>IFERROR(__xludf.DUMMYFUNCTION("""COMPUTED_VALUE"""),"March")</f>
        <v>March</v>
      </c>
      <c r="C97" s="3">
        <f>IFERROR(__xludf.DUMMYFUNCTION("""COMPUTED_VALUE"""),706571.0)</f>
        <v>706571</v>
      </c>
      <c r="D97" s="2" t="str">
        <f>IFERROR(__xludf.DUMMYFUNCTION("""COMPUTED_VALUE"""),"MNN16")</f>
        <v>MNN16</v>
      </c>
      <c r="E97" s="2" t="str">
        <f>IFERROR(__xludf.DUMMYFUNCTION("""COMPUTED_VALUE"""),"Imported from file DigiZag Bidding Codes.xlsx")</f>
        <v>Imported from file DigiZag Bidding Codes.xlsx</v>
      </c>
      <c r="F97" s="2" t="str">
        <f>IFERROR(__xludf.DUMMYFUNCTION("""COMPUTED_VALUE"""),"XJH597284")</f>
        <v>XJH597284</v>
      </c>
      <c r="G97" s="2" t="str">
        <f>IFERROR(__xludf.DUMMYFUNCTION("""COMPUTED_VALUE"""),"Kingdom of Saudi Arabia")</f>
        <v>Kingdom of Saudi Arabia</v>
      </c>
      <c r="H97" s="4">
        <f>IFERROR(__xludf.DUMMYFUNCTION("""COMPUTED_VALUE"""),178.26)</f>
        <v>178.26</v>
      </c>
      <c r="I97" s="3">
        <f>IFERROR(__xludf.DUMMYFUNCTION("""COMPUTED_VALUE"""),0.0)</f>
        <v>0</v>
      </c>
      <c r="J97" s="4">
        <f>IFERROR(__xludf.DUMMYFUNCTION("""COMPUTED_VALUE"""),17.82)</f>
        <v>17.82</v>
      </c>
      <c r="K97" s="2"/>
      <c r="L97" s="2" t="str">
        <f>IFERROR(__xludf.DUMMYFUNCTION("""COMPUTED_VALUE"""),"Delivered")</f>
        <v>Delivered</v>
      </c>
      <c r="M97" s="2" t="str">
        <f>IFERROR(__xludf.DUMMYFUNCTION("""COMPUTED_VALUE"""),"SR")</f>
        <v>SR</v>
      </c>
      <c r="N97" s="2" t="str">
        <f>IFERROR(__xludf.DUMMYFUNCTION("""COMPUTED_VALUE"""),"Credit, Debit, Apple Pay")</f>
        <v>Credit, Debit, Apple Pay</v>
      </c>
      <c r="O97" s="4">
        <f>IFERROR(__xludf.DUMMYFUNCTION("""COMPUTED_VALUE"""),0.0)</f>
        <v>0</v>
      </c>
      <c r="P97" s="2">
        <f>IFERROR(__xludf.DUMMYFUNCTION("""COMPUTED_VALUE"""),21.0)</f>
        <v>21</v>
      </c>
      <c r="Q97" s="2">
        <f>IFERROR(__xludf.DUMMYFUNCTION("""COMPUTED_VALUE"""),3.0)</f>
        <v>3</v>
      </c>
      <c r="R97" s="2">
        <f>IFERROR(__xludf.DUMMYFUNCTION("""COMPUTED_VALUE"""),2025.0)</f>
        <v>2025</v>
      </c>
      <c r="S97" s="2" t="str">
        <f>IFERROR(__xludf.DUMMYFUNCTION("""COMPUTED_VALUE"""),"Digizag")</f>
        <v>Digizag</v>
      </c>
      <c r="T97" s="2" t="str">
        <f>IFERROR(__xludf.DUMMYFUNCTION("""COMPUTED_VALUE"""),"Digizag")</f>
        <v>Digizag</v>
      </c>
      <c r="U97" s="5">
        <f>IFERROR(__xludf.DUMMYFUNCTION("""COMPUTED_VALUE"""),47.532324159960005)</f>
        <v>47.53232416</v>
      </c>
      <c r="V97" s="2"/>
      <c r="W97" s="2"/>
      <c r="X97" s="2"/>
      <c r="Y97" s="2"/>
      <c r="Z97" s="2"/>
    </row>
    <row r="98">
      <c r="A98" s="6">
        <f>IFERROR(__xludf.DUMMYFUNCTION("""COMPUTED_VALUE"""),45737.88631944444)</f>
        <v>45737.88632</v>
      </c>
      <c r="B98" s="2" t="str">
        <f>IFERROR(__xludf.DUMMYFUNCTION("""COMPUTED_VALUE"""),"March")</f>
        <v>March</v>
      </c>
      <c r="C98" s="3">
        <f>IFERROR(__xludf.DUMMYFUNCTION("""COMPUTED_VALUE"""),707546.0)</f>
        <v>707546</v>
      </c>
      <c r="D98" s="2" t="str">
        <f>IFERROR(__xludf.DUMMYFUNCTION("""COMPUTED_VALUE"""),"MNN16")</f>
        <v>MNN16</v>
      </c>
      <c r="E98" s="2" t="str">
        <f>IFERROR(__xludf.DUMMYFUNCTION("""COMPUTED_VALUE"""),"Imported from file DigiZag Codes 25Feb25.xlsx")</f>
        <v>Imported from file DigiZag Codes 25Feb25.xlsx</v>
      </c>
      <c r="F98" s="2" t="str">
        <f>IFERROR(__xludf.DUMMYFUNCTION("""COMPUTED_VALUE"""),"YVD932669")</f>
        <v>YVD932669</v>
      </c>
      <c r="G98" s="2" t="str">
        <f>IFERROR(__xludf.DUMMYFUNCTION("""COMPUTED_VALUE"""),"Kuwait")</f>
        <v>Kuwait</v>
      </c>
      <c r="H98" s="4">
        <f>IFERROR(__xludf.DUMMYFUNCTION("""COMPUTED_VALUE"""),7.0)</f>
        <v>7</v>
      </c>
      <c r="I98" s="3">
        <f>IFERROR(__xludf.DUMMYFUNCTION("""COMPUTED_VALUE"""),0.0)</f>
        <v>0</v>
      </c>
      <c r="J98" s="4">
        <f>IFERROR(__xludf.DUMMYFUNCTION("""COMPUTED_VALUE"""),0.7)</f>
        <v>0.7</v>
      </c>
      <c r="K98" s="2"/>
      <c r="L98" s="2" t="str">
        <f>IFERROR(__xludf.DUMMYFUNCTION("""COMPUTED_VALUE"""),"Delivered")</f>
        <v>Delivered</v>
      </c>
      <c r="M98" s="2" t="str">
        <f>IFERROR(__xludf.DUMMYFUNCTION("""COMPUTED_VALUE"""),"KD")</f>
        <v>KD</v>
      </c>
      <c r="N98" s="2" t="str">
        <f>IFERROR(__xludf.DUMMYFUNCTION("""COMPUTED_VALUE"""),"Credit, Debit, Knet")</f>
        <v>Credit, Debit, Knet</v>
      </c>
      <c r="O98" s="4">
        <f>IFERROR(__xludf.DUMMYFUNCTION("""COMPUTED_VALUE"""),0.0)</f>
        <v>0</v>
      </c>
      <c r="P98" s="2">
        <f>IFERROR(__xludf.DUMMYFUNCTION("""COMPUTED_VALUE"""),21.0)</f>
        <v>21</v>
      </c>
      <c r="Q98" s="2">
        <f>IFERROR(__xludf.DUMMYFUNCTION("""COMPUTED_VALUE"""),3.0)</f>
        <v>3</v>
      </c>
      <c r="R98" s="2">
        <f>IFERROR(__xludf.DUMMYFUNCTION("""COMPUTED_VALUE"""),2025.0)</f>
        <v>2025</v>
      </c>
      <c r="S98" s="2" t="str">
        <f>IFERROR(__xludf.DUMMYFUNCTION("""COMPUTED_VALUE"""),"Digizag")</f>
        <v>Digizag</v>
      </c>
      <c r="T98" s="2" t="str">
        <f>IFERROR(__xludf.DUMMYFUNCTION("""COMPUTED_VALUE"""),"Digizag")</f>
        <v>Digizag</v>
      </c>
      <c r="U98" s="5">
        <f>IFERROR(__xludf.DUMMYFUNCTION("""COMPUTED_VALUE"""),22.82434)</f>
        <v>22.82434</v>
      </c>
      <c r="V98" s="2"/>
      <c r="W98" s="2"/>
      <c r="X98" s="2"/>
      <c r="Y98" s="2"/>
      <c r="Z98" s="2"/>
    </row>
    <row r="99">
      <c r="A99" s="6">
        <f>IFERROR(__xludf.DUMMYFUNCTION("""COMPUTED_VALUE"""),45737.895590277774)</f>
        <v>45737.89559</v>
      </c>
      <c r="B99" s="2" t="str">
        <f>IFERROR(__xludf.DUMMYFUNCTION("""COMPUTED_VALUE"""),"March")</f>
        <v>March</v>
      </c>
      <c r="C99" s="3">
        <f>IFERROR(__xludf.DUMMYFUNCTION("""COMPUTED_VALUE"""),707487.0)</f>
        <v>707487</v>
      </c>
      <c r="D99" s="2" t="str">
        <f>IFERROR(__xludf.DUMMYFUNCTION("""COMPUTED_VALUE"""),"MNN16")</f>
        <v>MNN16</v>
      </c>
      <c r="E99" s="2" t="str">
        <f>IFERROR(__xludf.DUMMYFUNCTION("""COMPUTED_VALUE"""),"Imported from file DigiZag Bidding Codes.xlsx")</f>
        <v>Imported from file DigiZag Bidding Codes.xlsx</v>
      </c>
      <c r="F99" s="2" t="str">
        <f>IFERROR(__xludf.DUMMYFUNCTION("""COMPUTED_VALUE"""),"LKY795668")</f>
        <v>LKY795668</v>
      </c>
      <c r="G99" s="2" t="str">
        <f>IFERROR(__xludf.DUMMYFUNCTION("""COMPUTED_VALUE"""),"Kingdom of Saudi Arabia")</f>
        <v>Kingdom of Saudi Arabia</v>
      </c>
      <c r="H99" s="4">
        <f>IFERROR(__xludf.DUMMYFUNCTION("""COMPUTED_VALUE"""),155.65)</f>
        <v>155.65</v>
      </c>
      <c r="I99" s="3">
        <f>IFERROR(__xludf.DUMMYFUNCTION("""COMPUTED_VALUE"""),0.0)</f>
        <v>0</v>
      </c>
      <c r="J99" s="4">
        <f>IFERROR(__xludf.DUMMYFUNCTION("""COMPUTED_VALUE"""),15.56)</f>
        <v>15.56</v>
      </c>
      <c r="K99" s="2"/>
      <c r="L99" s="2" t="str">
        <f>IFERROR(__xludf.DUMMYFUNCTION("""COMPUTED_VALUE"""),"Delivered")</f>
        <v>Delivered</v>
      </c>
      <c r="M99" s="2" t="str">
        <f>IFERROR(__xludf.DUMMYFUNCTION("""COMPUTED_VALUE"""),"SR")</f>
        <v>SR</v>
      </c>
      <c r="N99" s="2" t="str">
        <f>IFERROR(__xludf.DUMMYFUNCTION("""COMPUTED_VALUE"""),"Pay in 4. No interest, no fees")</f>
        <v>Pay in 4. No interest, no fees</v>
      </c>
      <c r="O99" s="4">
        <f>IFERROR(__xludf.DUMMYFUNCTION("""COMPUTED_VALUE"""),0.0)</f>
        <v>0</v>
      </c>
      <c r="P99" s="2">
        <f>IFERROR(__xludf.DUMMYFUNCTION("""COMPUTED_VALUE"""),21.0)</f>
        <v>21</v>
      </c>
      <c r="Q99" s="2">
        <f>IFERROR(__xludf.DUMMYFUNCTION("""COMPUTED_VALUE"""),3.0)</f>
        <v>3</v>
      </c>
      <c r="R99" s="2">
        <f>IFERROR(__xludf.DUMMYFUNCTION("""COMPUTED_VALUE"""),2025.0)</f>
        <v>2025</v>
      </c>
      <c r="S99" s="2" t="str">
        <f>IFERROR(__xludf.DUMMYFUNCTION("""COMPUTED_VALUE"""),"Digizag")</f>
        <v>Digizag</v>
      </c>
      <c r="T99" s="2" t="str">
        <f>IFERROR(__xludf.DUMMYFUNCTION("""COMPUTED_VALUE"""),"Digizag")</f>
        <v>Digizag</v>
      </c>
      <c r="U99" s="5">
        <f>IFERROR(__xludf.DUMMYFUNCTION("""COMPUTED_VALUE"""),41.50345705990001)</f>
        <v>41.50345706</v>
      </c>
      <c r="V99" s="2"/>
      <c r="W99" s="2"/>
      <c r="X99" s="2"/>
      <c r="Y99" s="2"/>
      <c r="Z99" s="2"/>
    </row>
    <row r="100">
      <c r="A100" s="6">
        <f>IFERROR(__xludf.DUMMYFUNCTION("""COMPUTED_VALUE"""),45737.91788194444)</f>
        <v>45737.91788</v>
      </c>
      <c r="B100" s="2" t="str">
        <f>IFERROR(__xludf.DUMMYFUNCTION("""COMPUTED_VALUE"""),"March")</f>
        <v>March</v>
      </c>
      <c r="C100" s="3">
        <f>IFERROR(__xludf.DUMMYFUNCTION("""COMPUTED_VALUE"""),707570.0)</f>
        <v>707570</v>
      </c>
      <c r="D100" s="2" t="str">
        <f>IFERROR(__xludf.DUMMYFUNCTION("""COMPUTED_VALUE"""),"MNN16")</f>
        <v>MNN16</v>
      </c>
      <c r="E100" s="2" t="str">
        <f>IFERROR(__xludf.DUMMYFUNCTION("""COMPUTED_VALUE"""),"Imported from file DigiZag Bidding Codes.xlsx")</f>
        <v>Imported from file DigiZag Bidding Codes.xlsx</v>
      </c>
      <c r="F100" s="2" t="str">
        <f>IFERROR(__xludf.DUMMYFUNCTION("""COMPUTED_VALUE"""),"TGQ785872")</f>
        <v>TGQ785872</v>
      </c>
      <c r="G100" s="2" t="str">
        <f>IFERROR(__xludf.DUMMYFUNCTION("""COMPUTED_VALUE"""),"Kingdom of Saudi Arabia")</f>
        <v>Kingdom of Saudi Arabia</v>
      </c>
      <c r="H100" s="4">
        <f>IFERROR(__xludf.DUMMYFUNCTION("""COMPUTED_VALUE"""),172.71)</f>
        <v>172.71</v>
      </c>
      <c r="I100" s="3">
        <f>IFERROR(__xludf.DUMMYFUNCTION("""COMPUTED_VALUE"""),0.0)</f>
        <v>0</v>
      </c>
      <c r="J100" s="4">
        <f>IFERROR(__xludf.DUMMYFUNCTION("""COMPUTED_VALUE"""),17.24)</f>
        <v>17.24</v>
      </c>
      <c r="K100" s="2"/>
      <c r="L100" s="2" t="str">
        <f>IFERROR(__xludf.DUMMYFUNCTION("""COMPUTED_VALUE"""),"Delivered")</f>
        <v>Delivered</v>
      </c>
      <c r="M100" s="2" t="str">
        <f>IFERROR(__xludf.DUMMYFUNCTION("""COMPUTED_VALUE"""),"SR")</f>
        <v>SR</v>
      </c>
      <c r="N100" s="2" t="str">
        <f>IFERROR(__xludf.DUMMYFUNCTION("""COMPUTED_VALUE"""),"Credit, Debit, Apple Pay")</f>
        <v>Credit, Debit, Apple Pay</v>
      </c>
      <c r="O100" s="4">
        <f>IFERROR(__xludf.DUMMYFUNCTION("""COMPUTED_VALUE"""),0.0)</f>
        <v>0</v>
      </c>
      <c r="P100" s="2">
        <f>IFERROR(__xludf.DUMMYFUNCTION("""COMPUTED_VALUE"""),21.0)</f>
        <v>21</v>
      </c>
      <c r="Q100" s="2">
        <f>IFERROR(__xludf.DUMMYFUNCTION("""COMPUTED_VALUE"""),3.0)</f>
        <v>3</v>
      </c>
      <c r="R100" s="2">
        <f>IFERROR(__xludf.DUMMYFUNCTION("""COMPUTED_VALUE"""),2025.0)</f>
        <v>2025</v>
      </c>
      <c r="S100" s="2" t="str">
        <f>IFERROR(__xludf.DUMMYFUNCTION("""COMPUTED_VALUE"""),"Digizag")</f>
        <v>Digizag</v>
      </c>
      <c r="T100" s="2" t="str">
        <f>IFERROR(__xludf.DUMMYFUNCTION("""COMPUTED_VALUE"""),"Digizag")</f>
        <v>Digizag</v>
      </c>
      <c r="U100" s="5">
        <f>IFERROR(__xludf.DUMMYFUNCTION("""COMPUTED_VALUE"""),46.052438604660004)</f>
        <v>46.0524386</v>
      </c>
      <c r="V100" s="2"/>
      <c r="W100" s="2"/>
      <c r="X100" s="2"/>
      <c r="Y100" s="2"/>
      <c r="Z100" s="2"/>
    </row>
    <row r="101">
      <c r="A101" s="6">
        <f>IFERROR(__xludf.DUMMYFUNCTION("""COMPUTED_VALUE"""),45737.96119212963)</f>
        <v>45737.96119</v>
      </c>
      <c r="B101" s="2" t="str">
        <f>IFERROR(__xludf.DUMMYFUNCTION("""COMPUTED_VALUE"""),"March")</f>
        <v>March</v>
      </c>
      <c r="C101" s="3">
        <f>IFERROR(__xludf.DUMMYFUNCTION("""COMPUTED_VALUE"""),707602.0)</f>
        <v>707602</v>
      </c>
      <c r="D101" s="2" t="str">
        <f>IFERROR(__xludf.DUMMYFUNCTION("""COMPUTED_VALUE"""),"MNN16")</f>
        <v>MNN16</v>
      </c>
      <c r="E101" s="2" t="str">
        <f>IFERROR(__xludf.DUMMYFUNCTION("""COMPUTED_VALUE"""),"Imported from file DigiZag Bidding Codes.xlsx")</f>
        <v>Imported from file DigiZag Bidding Codes.xlsx</v>
      </c>
      <c r="F101" s="2" t="str">
        <f>IFERROR(__xludf.DUMMYFUNCTION("""COMPUTED_VALUE"""),"XTX408503")</f>
        <v>XTX408503</v>
      </c>
      <c r="G101" s="2" t="str">
        <f>IFERROR(__xludf.DUMMYFUNCTION("""COMPUTED_VALUE"""),"Kingdom of Saudi Arabia")</f>
        <v>Kingdom of Saudi Arabia</v>
      </c>
      <c r="H101" s="4">
        <f>IFERROR(__xludf.DUMMYFUNCTION("""COMPUTED_VALUE"""),117.61)</f>
        <v>117.61</v>
      </c>
      <c r="I101" s="3">
        <f>IFERROR(__xludf.DUMMYFUNCTION("""COMPUTED_VALUE"""),0.0)</f>
        <v>0</v>
      </c>
      <c r="J101" s="4">
        <f>IFERROR(__xludf.DUMMYFUNCTION("""COMPUTED_VALUE"""),11.76)</f>
        <v>11.76</v>
      </c>
      <c r="K101" s="2"/>
      <c r="L101" s="2" t="str">
        <f>IFERROR(__xludf.DUMMYFUNCTION("""COMPUTED_VALUE"""),"Delivered")</f>
        <v>Delivered</v>
      </c>
      <c r="M101" s="2" t="str">
        <f>IFERROR(__xludf.DUMMYFUNCTION("""COMPUTED_VALUE"""),"SR")</f>
        <v>SR</v>
      </c>
      <c r="N101" s="2" t="str">
        <f>IFERROR(__xludf.DUMMYFUNCTION("""COMPUTED_VALUE"""),"Credit, Debit, Apple Pay")</f>
        <v>Credit, Debit, Apple Pay</v>
      </c>
      <c r="O101" s="4">
        <f>IFERROR(__xludf.DUMMYFUNCTION("""COMPUTED_VALUE"""),0.0)</f>
        <v>0</v>
      </c>
      <c r="P101" s="2">
        <f>IFERROR(__xludf.DUMMYFUNCTION("""COMPUTED_VALUE"""),21.0)</f>
        <v>21</v>
      </c>
      <c r="Q101" s="2">
        <f>IFERROR(__xludf.DUMMYFUNCTION("""COMPUTED_VALUE"""),3.0)</f>
        <v>3</v>
      </c>
      <c r="R101" s="2">
        <f>IFERROR(__xludf.DUMMYFUNCTION("""COMPUTED_VALUE"""),2025.0)</f>
        <v>2025</v>
      </c>
      <c r="S101" s="2" t="str">
        <f>IFERROR(__xludf.DUMMYFUNCTION("""COMPUTED_VALUE"""),"Digizag")</f>
        <v>Digizag</v>
      </c>
      <c r="T101" s="2" t="str">
        <f>IFERROR(__xludf.DUMMYFUNCTION("""COMPUTED_VALUE"""),"Digizag")</f>
        <v>Digizag</v>
      </c>
      <c r="U101" s="5">
        <f>IFERROR(__xludf.DUMMYFUNCTION("""COMPUTED_VALUE"""),31.360241470060004)</f>
        <v>31.36024147</v>
      </c>
      <c r="V101" s="2"/>
      <c r="W101" s="2"/>
      <c r="X101" s="2"/>
      <c r="Y101" s="2"/>
      <c r="Z101" s="2"/>
    </row>
    <row r="102">
      <c r="A102" s="6">
        <f>IFERROR(__xludf.DUMMYFUNCTION("""COMPUTED_VALUE"""),45738.18657407407)</f>
        <v>45738.18657</v>
      </c>
      <c r="B102" s="2" t="str">
        <f>IFERROR(__xludf.DUMMYFUNCTION("""COMPUTED_VALUE"""),"March")</f>
        <v>March</v>
      </c>
      <c r="C102" s="3">
        <f>IFERROR(__xludf.DUMMYFUNCTION("""COMPUTED_VALUE"""),707722.0)</f>
        <v>707722</v>
      </c>
      <c r="D102" s="2" t="str">
        <f>IFERROR(__xludf.DUMMYFUNCTION("""COMPUTED_VALUE"""),"MNN16")</f>
        <v>MNN16</v>
      </c>
      <c r="E102" s="2" t="str">
        <f>IFERROR(__xludf.DUMMYFUNCTION("""COMPUTED_VALUE"""),"Imported from file DigiZag Bidding Codes.xlsx")</f>
        <v>Imported from file DigiZag Bidding Codes.xlsx</v>
      </c>
      <c r="F102" s="2" t="str">
        <f>IFERROR(__xludf.DUMMYFUNCTION("""COMPUTED_VALUE"""),"GCP147969")</f>
        <v>GCP147969</v>
      </c>
      <c r="G102" s="2" t="str">
        <f>IFERROR(__xludf.DUMMYFUNCTION("""COMPUTED_VALUE"""),"Kingdom of Saudi Arabia")</f>
        <v>Kingdom of Saudi Arabia</v>
      </c>
      <c r="H102" s="4">
        <f>IFERROR(__xludf.DUMMYFUNCTION("""COMPUTED_VALUE"""),172.0)</f>
        <v>172</v>
      </c>
      <c r="I102" s="3">
        <f>IFERROR(__xludf.DUMMYFUNCTION("""COMPUTED_VALUE"""),0.0)</f>
        <v>0</v>
      </c>
      <c r="J102" s="4">
        <f>IFERROR(__xludf.DUMMYFUNCTION("""COMPUTED_VALUE"""),17.2)</f>
        <v>17.2</v>
      </c>
      <c r="K102" s="2"/>
      <c r="L102" s="2" t="str">
        <f>IFERROR(__xludf.DUMMYFUNCTION("""COMPUTED_VALUE"""),"Delivered")</f>
        <v>Delivered</v>
      </c>
      <c r="M102" s="2" t="str">
        <f>IFERROR(__xludf.DUMMYFUNCTION("""COMPUTED_VALUE"""),"SR")</f>
        <v>SR</v>
      </c>
      <c r="N102" s="2" t="str">
        <f>IFERROR(__xludf.DUMMYFUNCTION("""COMPUTED_VALUE"""),"Credit, Debit, Apple Pay")</f>
        <v>Credit, Debit, Apple Pay</v>
      </c>
      <c r="O102" s="4">
        <f>IFERROR(__xludf.DUMMYFUNCTION("""COMPUTED_VALUE"""),0.0)</f>
        <v>0</v>
      </c>
      <c r="P102" s="2">
        <f>IFERROR(__xludf.DUMMYFUNCTION("""COMPUTED_VALUE"""),22.0)</f>
        <v>22</v>
      </c>
      <c r="Q102" s="2">
        <f>IFERROR(__xludf.DUMMYFUNCTION("""COMPUTED_VALUE"""),3.0)</f>
        <v>3</v>
      </c>
      <c r="R102" s="2">
        <f>IFERROR(__xludf.DUMMYFUNCTION("""COMPUTED_VALUE"""),2025.0)</f>
        <v>2025</v>
      </c>
      <c r="S102" s="2" t="str">
        <f>IFERROR(__xludf.DUMMYFUNCTION("""COMPUTED_VALUE"""),"Digizag")</f>
        <v>Digizag</v>
      </c>
      <c r="T102" s="2" t="str">
        <f>IFERROR(__xludf.DUMMYFUNCTION("""COMPUTED_VALUE"""),"Digizag")</f>
        <v>Digizag</v>
      </c>
      <c r="U102" s="5">
        <f>IFERROR(__xludf.DUMMYFUNCTION("""COMPUTED_VALUE"""),45.863119912)</f>
        <v>45.86311991</v>
      </c>
      <c r="V102" s="2"/>
      <c r="W102" s="2"/>
      <c r="X102" s="2"/>
      <c r="Y102" s="2"/>
      <c r="Z102" s="2"/>
    </row>
    <row r="103">
      <c r="A103" s="6">
        <f>IFERROR(__xludf.DUMMYFUNCTION("""COMPUTED_VALUE"""),45738.58006944444)</f>
        <v>45738.58007</v>
      </c>
      <c r="B103" s="2" t="str">
        <f>IFERROR(__xludf.DUMMYFUNCTION("""COMPUTED_VALUE"""),"March")</f>
        <v>March</v>
      </c>
      <c r="C103" s="3">
        <f>IFERROR(__xludf.DUMMYFUNCTION("""COMPUTED_VALUE"""),603412.0)</f>
        <v>603412</v>
      </c>
      <c r="D103" s="2" t="str">
        <f>IFERROR(__xludf.DUMMYFUNCTION("""COMPUTED_VALUE"""),"MNN16")</f>
        <v>MNN16</v>
      </c>
      <c r="E103" s="2" t="str">
        <f>IFERROR(__xludf.DUMMYFUNCTION("""COMPUTED_VALUE"""),"Imported from file DigiZag Bidding Codes.xlsx")</f>
        <v>Imported from file DigiZag Bidding Codes.xlsx</v>
      </c>
      <c r="F103" s="2" t="str">
        <f>IFERROR(__xludf.DUMMYFUNCTION("""COMPUTED_VALUE"""),"ALZ862140")</f>
        <v>ALZ862140</v>
      </c>
      <c r="G103" s="2" t="str">
        <f>IFERROR(__xludf.DUMMYFUNCTION("""COMPUTED_VALUE"""),"Kingdom of Saudi Arabia")</f>
        <v>Kingdom of Saudi Arabia</v>
      </c>
      <c r="H103" s="4">
        <f>IFERROR(__xludf.DUMMYFUNCTION("""COMPUTED_VALUE"""),105.84)</f>
        <v>105.84</v>
      </c>
      <c r="I103" s="3">
        <f>IFERROR(__xludf.DUMMYFUNCTION("""COMPUTED_VALUE"""),0.0)</f>
        <v>0</v>
      </c>
      <c r="J103" s="4">
        <f>IFERROR(__xludf.DUMMYFUNCTION("""COMPUTED_VALUE"""),10.58)</f>
        <v>10.58</v>
      </c>
      <c r="K103" s="2"/>
      <c r="L103" s="2" t="str">
        <f>IFERROR(__xludf.DUMMYFUNCTION("""COMPUTED_VALUE"""),"Delivered")</f>
        <v>Delivered</v>
      </c>
      <c r="M103" s="2" t="str">
        <f>IFERROR(__xludf.DUMMYFUNCTION("""COMPUTED_VALUE"""),"SR")</f>
        <v>SR</v>
      </c>
      <c r="N103" s="2" t="str">
        <f>IFERROR(__xludf.DUMMYFUNCTION("""COMPUTED_VALUE"""),"Credit, Debit, Apple Pay")</f>
        <v>Credit, Debit, Apple Pay</v>
      </c>
      <c r="O103" s="4">
        <f>IFERROR(__xludf.DUMMYFUNCTION("""COMPUTED_VALUE"""),0.0)</f>
        <v>0</v>
      </c>
      <c r="P103" s="2">
        <f>IFERROR(__xludf.DUMMYFUNCTION("""COMPUTED_VALUE"""),22.0)</f>
        <v>22</v>
      </c>
      <c r="Q103" s="2">
        <f>IFERROR(__xludf.DUMMYFUNCTION("""COMPUTED_VALUE"""),3.0)</f>
        <v>3</v>
      </c>
      <c r="R103" s="2">
        <f>IFERROR(__xludf.DUMMYFUNCTION("""COMPUTED_VALUE"""),2025.0)</f>
        <v>2025</v>
      </c>
      <c r="S103" s="2" t="str">
        <f>IFERROR(__xludf.DUMMYFUNCTION("""COMPUTED_VALUE"""),"Digizag")</f>
        <v>Digizag</v>
      </c>
      <c r="T103" s="2" t="str">
        <f>IFERROR(__xludf.DUMMYFUNCTION("""COMPUTED_VALUE"""),"Digizag")</f>
        <v>Digizag</v>
      </c>
      <c r="U103" s="5">
        <f>IFERROR(__xludf.DUMMYFUNCTION("""COMPUTED_VALUE"""),28.221817508640004)</f>
        <v>28.22181751</v>
      </c>
      <c r="V103" s="2"/>
      <c r="W103" s="2"/>
      <c r="X103" s="2"/>
      <c r="Y103" s="2"/>
      <c r="Z103" s="2"/>
    </row>
    <row r="104">
      <c r="A104" s="6">
        <f>IFERROR(__xludf.DUMMYFUNCTION("""COMPUTED_VALUE"""),45738.64540509259)</f>
        <v>45738.64541</v>
      </c>
      <c r="B104" s="2" t="str">
        <f>IFERROR(__xludf.DUMMYFUNCTION("""COMPUTED_VALUE"""),"March")</f>
        <v>March</v>
      </c>
      <c r="C104" s="3">
        <f>IFERROR(__xludf.DUMMYFUNCTION("""COMPUTED_VALUE"""),8848.0)</f>
        <v>8848</v>
      </c>
      <c r="D104" s="2" t="str">
        <f>IFERROR(__xludf.DUMMYFUNCTION("""COMPUTED_VALUE"""),"BITS")</f>
        <v>BITS</v>
      </c>
      <c r="E104" s="2" t="str">
        <f>IFERROR(__xludf.DUMMYFUNCTION("""COMPUTED_VALUE"""),"Imported from file DigiZag Codes 25Feb25.xlsx")</f>
        <v>Imported from file DigiZag Codes 25Feb25.xlsx</v>
      </c>
      <c r="F104" s="2" t="str">
        <f>IFERROR(__xludf.DUMMYFUNCTION("""COMPUTED_VALUE"""),"DLM104433")</f>
        <v>DLM104433</v>
      </c>
      <c r="G104" s="2" t="str">
        <f>IFERROR(__xludf.DUMMYFUNCTION("""COMPUTED_VALUE"""),"Kuwait")</f>
        <v>Kuwait</v>
      </c>
      <c r="H104" s="4">
        <f>IFERROR(__xludf.DUMMYFUNCTION("""COMPUTED_VALUE"""),34.7)</f>
        <v>34.7</v>
      </c>
      <c r="I104" s="3">
        <f>IFERROR(__xludf.DUMMYFUNCTION("""COMPUTED_VALUE"""),0.0)</f>
        <v>0</v>
      </c>
      <c r="J104" s="4">
        <f>IFERROR(__xludf.DUMMYFUNCTION("""COMPUTED_VALUE"""),3.47)</f>
        <v>3.47</v>
      </c>
      <c r="K104" s="2"/>
      <c r="L104" s="2" t="str">
        <f>IFERROR(__xludf.DUMMYFUNCTION("""COMPUTED_VALUE"""),"Delivered")</f>
        <v>Delivered</v>
      </c>
      <c r="M104" s="2" t="str">
        <f>IFERROR(__xludf.DUMMYFUNCTION("""COMPUTED_VALUE"""),"KD")</f>
        <v>KD</v>
      </c>
      <c r="N104" s="2" t="str">
        <f>IFERROR(__xludf.DUMMYFUNCTION("""COMPUTED_VALUE"""),"Credit, Debit, Knet")</f>
        <v>Credit, Debit, Knet</v>
      </c>
      <c r="O104" s="4">
        <f>IFERROR(__xludf.DUMMYFUNCTION("""COMPUTED_VALUE"""),0.0)</f>
        <v>0</v>
      </c>
      <c r="P104" s="2">
        <f>IFERROR(__xludf.DUMMYFUNCTION("""COMPUTED_VALUE"""),22.0)</f>
        <v>22</v>
      </c>
      <c r="Q104" s="2">
        <f>IFERROR(__xludf.DUMMYFUNCTION("""COMPUTED_VALUE"""),3.0)</f>
        <v>3</v>
      </c>
      <c r="R104" s="2">
        <f>IFERROR(__xludf.DUMMYFUNCTION("""COMPUTED_VALUE"""),2025.0)</f>
        <v>2025</v>
      </c>
      <c r="S104" s="2" t="str">
        <f>IFERROR(__xludf.DUMMYFUNCTION("""COMPUTED_VALUE"""),"Digizag")</f>
        <v>Digizag</v>
      </c>
      <c r="T104" s="2" t="str">
        <f>IFERROR(__xludf.DUMMYFUNCTION("""COMPUTED_VALUE"""),"Digizag")</f>
        <v>Digizag</v>
      </c>
      <c r="U104" s="5">
        <f>IFERROR(__xludf.DUMMYFUNCTION("""COMPUTED_VALUE"""),113.14351400000001)</f>
        <v>113.143514</v>
      </c>
      <c r="V104" s="2"/>
      <c r="W104" s="2"/>
      <c r="X104" s="2"/>
      <c r="Y104" s="2"/>
      <c r="Z104" s="2"/>
    </row>
    <row r="105">
      <c r="A105" s="6">
        <f>IFERROR(__xludf.DUMMYFUNCTION("""COMPUTED_VALUE"""),45738.6862037037)</f>
        <v>45738.6862</v>
      </c>
      <c r="B105" s="2" t="str">
        <f>IFERROR(__xludf.DUMMYFUNCTION("""COMPUTED_VALUE"""),"March")</f>
        <v>March</v>
      </c>
      <c r="C105" s="3">
        <f>IFERROR(__xludf.DUMMYFUNCTION("""COMPUTED_VALUE"""),707626.0)</f>
        <v>707626</v>
      </c>
      <c r="D105" s="2" t="str">
        <f>IFERROR(__xludf.DUMMYFUNCTION("""COMPUTED_VALUE"""),"MNN16")</f>
        <v>MNN16</v>
      </c>
      <c r="E105" s="2" t="str">
        <f>IFERROR(__xludf.DUMMYFUNCTION("""COMPUTED_VALUE"""),"Imported from file DigiZag Bidding Codes.xlsx")</f>
        <v>Imported from file DigiZag Bidding Codes.xlsx</v>
      </c>
      <c r="F105" s="2" t="str">
        <f>IFERROR(__xludf.DUMMYFUNCTION("""COMPUTED_VALUE"""),"ZBK544752")</f>
        <v>ZBK544752</v>
      </c>
      <c r="G105" s="2" t="str">
        <f>IFERROR(__xludf.DUMMYFUNCTION("""COMPUTED_VALUE"""),"Kingdom of Saudi Arabia")</f>
        <v>Kingdom of Saudi Arabia</v>
      </c>
      <c r="H105" s="4">
        <f>IFERROR(__xludf.DUMMYFUNCTION("""COMPUTED_VALUE"""),142.81)</f>
        <v>142.81</v>
      </c>
      <c r="I105" s="3">
        <f>IFERROR(__xludf.DUMMYFUNCTION("""COMPUTED_VALUE"""),0.0)</f>
        <v>0</v>
      </c>
      <c r="J105" s="4">
        <f>IFERROR(__xludf.DUMMYFUNCTION("""COMPUTED_VALUE"""),14.28)</f>
        <v>14.28</v>
      </c>
      <c r="K105" s="2"/>
      <c r="L105" s="2" t="str">
        <f>IFERROR(__xludf.DUMMYFUNCTION("""COMPUTED_VALUE"""),"Delivered")</f>
        <v>Delivered</v>
      </c>
      <c r="M105" s="2" t="str">
        <f>IFERROR(__xludf.DUMMYFUNCTION("""COMPUTED_VALUE"""),"SR")</f>
        <v>SR</v>
      </c>
      <c r="N105" s="2" t="str">
        <f>IFERROR(__xludf.DUMMYFUNCTION("""COMPUTED_VALUE"""),"Credit, Debit, Apple Pay")</f>
        <v>Credit, Debit, Apple Pay</v>
      </c>
      <c r="O105" s="4">
        <f>IFERROR(__xludf.DUMMYFUNCTION("""COMPUTED_VALUE"""),0.0)</f>
        <v>0</v>
      </c>
      <c r="P105" s="2">
        <f>IFERROR(__xludf.DUMMYFUNCTION("""COMPUTED_VALUE"""),22.0)</f>
        <v>22</v>
      </c>
      <c r="Q105" s="2">
        <f>IFERROR(__xludf.DUMMYFUNCTION("""COMPUTED_VALUE"""),3.0)</f>
        <v>3</v>
      </c>
      <c r="R105" s="2">
        <f>IFERROR(__xludf.DUMMYFUNCTION("""COMPUTED_VALUE"""),2025.0)</f>
        <v>2025</v>
      </c>
      <c r="S105" s="2" t="str">
        <f>IFERROR(__xludf.DUMMYFUNCTION("""COMPUTED_VALUE"""),"Digizag")</f>
        <v>Digizag</v>
      </c>
      <c r="T105" s="2" t="str">
        <f>IFERROR(__xludf.DUMMYFUNCTION("""COMPUTED_VALUE"""),"Digizag")</f>
        <v>Digizag</v>
      </c>
      <c r="U105" s="5">
        <f>IFERROR(__xludf.DUMMYFUNCTION("""COMPUTED_VALUE"""),38.07972182926)</f>
        <v>38.07972183</v>
      </c>
      <c r="V105" s="2"/>
      <c r="W105" s="2"/>
      <c r="X105" s="2"/>
      <c r="Y105" s="2"/>
      <c r="Z105" s="2"/>
    </row>
    <row r="106">
      <c r="A106" s="6">
        <f>IFERROR(__xludf.DUMMYFUNCTION("""COMPUTED_VALUE"""),45738.74011574074)</f>
        <v>45738.74012</v>
      </c>
      <c r="B106" s="2" t="str">
        <f>IFERROR(__xludf.DUMMYFUNCTION("""COMPUTED_VALUE"""),"March")</f>
        <v>March</v>
      </c>
      <c r="C106" s="3">
        <f>IFERROR(__xludf.DUMMYFUNCTION("""COMPUTED_VALUE"""),707971.0)</f>
        <v>707971</v>
      </c>
      <c r="D106" s="2" t="str">
        <f>IFERROR(__xludf.DUMMYFUNCTION("""COMPUTED_VALUE"""),"BITS")</f>
        <v>BITS</v>
      </c>
      <c r="E106" s="2" t="str">
        <f>IFERROR(__xludf.DUMMYFUNCTION("""COMPUTED_VALUE"""),"Imported from file DigiZag Codes 25Feb25.xlsx")</f>
        <v>Imported from file DigiZag Codes 25Feb25.xlsx</v>
      </c>
      <c r="F106" s="2" t="str">
        <f>IFERROR(__xludf.DUMMYFUNCTION("""COMPUTED_VALUE"""),"TAT559529")</f>
        <v>TAT559529</v>
      </c>
      <c r="G106" s="2" t="str">
        <f>IFERROR(__xludf.DUMMYFUNCTION("""COMPUTED_VALUE"""),"Kuwait")</f>
        <v>Kuwait</v>
      </c>
      <c r="H106" s="4">
        <f>IFERROR(__xludf.DUMMYFUNCTION("""COMPUTED_VALUE"""),37.65)</f>
        <v>37.65</v>
      </c>
      <c r="I106" s="3">
        <f>IFERROR(__xludf.DUMMYFUNCTION("""COMPUTED_VALUE"""),0.0)</f>
        <v>0</v>
      </c>
      <c r="J106" s="4">
        <f>IFERROR(__xludf.DUMMYFUNCTION("""COMPUTED_VALUE"""),3.765)</f>
        <v>3.765</v>
      </c>
      <c r="K106" s="2"/>
      <c r="L106" s="2" t="str">
        <f>IFERROR(__xludf.DUMMYFUNCTION("""COMPUTED_VALUE"""),"Delivered")</f>
        <v>Delivered</v>
      </c>
      <c r="M106" s="2" t="str">
        <f>IFERROR(__xludf.DUMMYFUNCTION("""COMPUTED_VALUE"""),"KD")</f>
        <v>KD</v>
      </c>
      <c r="N106" s="2" t="str">
        <f>IFERROR(__xludf.DUMMYFUNCTION("""COMPUTED_VALUE"""),"Credit, Debit, Knet")</f>
        <v>Credit, Debit, Knet</v>
      </c>
      <c r="O106" s="4">
        <f>IFERROR(__xludf.DUMMYFUNCTION("""COMPUTED_VALUE"""),0.0)</f>
        <v>0</v>
      </c>
      <c r="P106" s="2">
        <f>IFERROR(__xludf.DUMMYFUNCTION("""COMPUTED_VALUE"""),22.0)</f>
        <v>22</v>
      </c>
      <c r="Q106" s="2">
        <f>IFERROR(__xludf.DUMMYFUNCTION("""COMPUTED_VALUE"""),3.0)</f>
        <v>3</v>
      </c>
      <c r="R106" s="2">
        <f>IFERROR(__xludf.DUMMYFUNCTION("""COMPUTED_VALUE"""),2025.0)</f>
        <v>2025</v>
      </c>
      <c r="S106" s="2" t="str">
        <f>IFERROR(__xludf.DUMMYFUNCTION("""COMPUTED_VALUE"""),"Digizag")</f>
        <v>Digizag</v>
      </c>
      <c r="T106" s="2" t="str">
        <f>IFERROR(__xludf.DUMMYFUNCTION("""COMPUTED_VALUE"""),"Digizag")</f>
        <v>Digizag</v>
      </c>
      <c r="U106" s="5">
        <f>IFERROR(__xludf.DUMMYFUNCTION("""COMPUTED_VALUE"""),122.76234299999999)</f>
        <v>122.762343</v>
      </c>
      <c r="V106" s="2"/>
      <c r="W106" s="2"/>
      <c r="X106" s="2"/>
      <c r="Y106" s="2"/>
      <c r="Z106" s="2"/>
    </row>
    <row r="107">
      <c r="A107" s="6">
        <f>IFERROR(__xludf.DUMMYFUNCTION("""COMPUTED_VALUE"""),45738.882569444446)</f>
        <v>45738.88257</v>
      </c>
      <c r="B107" s="2" t="str">
        <f>IFERROR(__xludf.DUMMYFUNCTION("""COMPUTED_VALUE"""),"March")</f>
        <v>March</v>
      </c>
      <c r="C107" s="3">
        <f>IFERROR(__xludf.DUMMYFUNCTION("""COMPUTED_VALUE"""),701082.0)</f>
        <v>701082</v>
      </c>
      <c r="D107" s="2" t="str">
        <f>IFERROR(__xludf.DUMMYFUNCTION("""COMPUTED_VALUE"""),"MNN16")</f>
        <v>MNN16</v>
      </c>
      <c r="E107" s="2" t="str">
        <f>IFERROR(__xludf.DUMMYFUNCTION("""COMPUTED_VALUE"""),"Imported from file DigiZag Bidding Codes.xlsx")</f>
        <v>Imported from file DigiZag Bidding Codes.xlsx</v>
      </c>
      <c r="F107" s="2" t="str">
        <f>IFERROR(__xludf.DUMMYFUNCTION("""COMPUTED_VALUE"""),"RJN541491")</f>
        <v>RJN541491</v>
      </c>
      <c r="G107" s="2" t="str">
        <f>IFERROR(__xludf.DUMMYFUNCTION("""COMPUTED_VALUE"""),"Kingdom of Saudi Arabia")</f>
        <v>Kingdom of Saudi Arabia</v>
      </c>
      <c r="H107" s="4">
        <f>IFERROR(__xludf.DUMMYFUNCTION("""COMPUTED_VALUE"""),219.83)</f>
        <v>219.83</v>
      </c>
      <c r="I107" s="3">
        <f>IFERROR(__xludf.DUMMYFUNCTION("""COMPUTED_VALUE"""),0.0)</f>
        <v>0</v>
      </c>
      <c r="J107" s="4">
        <f>IFERROR(__xludf.DUMMYFUNCTION("""COMPUTED_VALUE"""),21.97)</f>
        <v>21.97</v>
      </c>
      <c r="K107" s="2"/>
      <c r="L107" s="2" t="str">
        <f>IFERROR(__xludf.DUMMYFUNCTION("""COMPUTED_VALUE"""),"Delivered")</f>
        <v>Delivered</v>
      </c>
      <c r="M107" s="2" t="str">
        <f>IFERROR(__xludf.DUMMYFUNCTION("""COMPUTED_VALUE"""),"SR")</f>
        <v>SR</v>
      </c>
      <c r="N107" s="2" t="str">
        <f>IFERROR(__xludf.DUMMYFUNCTION("""COMPUTED_VALUE"""),"Pay in 4. No interest, no fees")</f>
        <v>Pay in 4. No interest, no fees</v>
      </c>
      <c r="O107" s="4">
        <f>IFERROR(__xludf.DUMMYFUNCTION("""COMPUTED_VALUE"""),0.0)</f>
        <v>0</v>
      </c>
      <c r="P107" s="2">
        <f>IFERROR(__xludf.DUMMYFUNCTION("""COMPUTED_VALUE"""),22.0)</f>
        <v>22</v>
      </c>
      <c r="Q107" s="2">
        <f>IFERROR(__xludf.DUMMYFUNCTION("""COMPUTED_VALUE"""),3.0)</f>
        <v>3</v>
      </c>
      <c r="R107" s="2">
        <f>IFERROR(__xludf.DUMMYFUNCTION("""COMPUTED_VALUE"""),2025.0)</f>
        <v>2025</v>
      </c>
      <c r="S107" s="2" t="str">
        <f>IFERROR(__xludf.DUMMYFUNCTION("""COMPUTED_VALUE"""),"Digizag")</f>
        <v>Digizag</v>
      </c>
      <c r="T107" s="2" t="str">
        <f>IFERROR(__xludf.DUMMYFUNCTION("""COMPUTED_VALUE"""),"Digizag")</f>
        <v>Digizag</v>
      </c>
      <c r="U107" s="5">
        <f>IFERROR(__xludf.DUMMYFUNCTION("""COMPUTED_VALUE"""),58.61680029218001)</f>
        <v>58.61680029</v>
      </c>
      <c r="V107" s="2"/>
      <c r="W107" s="2"/>
      <c r="X107" s="2"/>
      <c r="Y107" s="2"/>
      <c r="Z107" s="2"/>
    </row>
    <row r="108">
      <c r="A108" s="6">
        <f>IFERROR(__xludf.DUMMYFUNCTION("""COMPUTED_VALUE"""),45738.92254629629)</f>
        <v>45738.92255</v>
      </c>
      <c r="B108" s="2" t="str">
        <f>IFERROR(__xludf.DUMMYFUNCTION("""COMPUTED_VALUE"""),"March")</f>
        <v>March</v>
      </c>
      <c r="C108" s="3">
        <f>IFERROR(__xludf.DUMMYFUNCTION("""COMPUTED_VALUE"""),708112.0)</f>
        <v>708112</v>
      </c>
      <c r="D108" s="2" t="str">
        <f>IFERROR(__xludf.DUMMYFUNCTION("""COMPUTED_VALUE"""),"WFR")</f>
        <v>WFR</v>
      </c>
      <c r="E108" s="2" t="str">
        <f>IFERROR(__xludf.DUMMYFUNCTION("""COMPUTED_VALUE"""),"Imported from file Digizag.xlsx")</f>
        <v>Imported from file Digizag.xlsx</v>
      </c>
      <c r="F108" s="2" t="str">
        <f>IFERROR(__xludf.DUMMYFUNCTION("""COMPUTED_VALUE"""),"PSJ583634")</f>
        <v>PSJ583634</v>
      </c>
      <c r="G108" s="2" t="str">
        <f>IFERROR(__xludf.DUMMYFUNCTION("""COMPUTED_VALUE"""),"UAE")</f>
        <v>UAE</v>
      </c>
      <c r="H108" s="4">
        <f>IFERROR(__xludf.DUMMYFUNCTION("""COMPUTED_VALUE"""),421.1)</f>
        <v>421.1</v>
      </c>
      <c r="I108" s="3">
        <f>IFERROR(__xludf.DUMMYFUNCTION("""COMPUTED_VALUE"""),0.0)</f>
        <v>0</v>
      </c>
      <c r="J108" s="4">
        <f>IFERROR(__xludf.DUMMYFUNCTION("""COMPUTED_VALUE"""),42.11)</f>
        <v>42.11</v>
      </c>
      <c r="K108" s="2"/>
      <c r="L108" s="2" t="str">
        <f>IFERROR(__xludf.DUMMYFUNCTION("""COMPUTED_VALUE"""),"Delivered")</f>
        <v>Delivered</v>
      </c>
      <c r="M108" s="2" t="str">
        <f>IFERROR(__xludf.DUMMYFUNCTION("""COMPUTED_VALUE"""),"AED")</f>
        <v>AED</v>
      </c>
      <c r="N108" s="2" t="str">
        <f>IFERROR(__xludf.DUMMYFUNCTION("""COMPUTED_VALUE"""),"Credit, Debit , Apple Pay")</f>
        <v>Credit, Debit , Apple Pay</v>
      </c>
      <c r="O108" s="4">
        <f>IFERROR(__xludf.DUMMYFUNCTION("""COMPUTED_VALUE"""),0.0)</f>
        <v>0</v>
      </c>
      <c r="P108" s="2">
        <f>IFERROR(__xludf.DUMMYFUNCTION("""COMPUTED_VALUE"""),22.0)</f>
        <v>22</v>
      </c>
      <c r="Q108" s="2">
        <f>IFERROR(__xludf.DUMMYFUNCTION("""COMPUTED_VALUE"""),3.0)</f>
        <v>3</v>
      </c>
      <c r="R108" s="2">
        <f>IFERROR(__xludf.DUMMYFUNCTION("""COMPUTED_VALUE"""),2025.0)</f>
        <v>2025</v>
      </c>
      <c r="S108" s="2" t="str">
        <f>IFERROR(__xludf.DUMMYFUNCTION("""COMPUTED_VALUE"""),"Digizag")</f>
        <v>Digizag</v>
      </c>
      <c r="T108" s="2" t="str">
        <f>IFERROR(__xludf.DUMMYFUNCTION("""COMPUTED_VALUE"""),"Digizag")</f>
        <v>Digizag</v>
      </c>
      <c r="U108" s="5">
        <f>IFERROR(__xludf.DUMMYFUNCTION("""COMPUTED_VALUE"""),114.6630362458)</f>
        <v>114.6630362</v>
      </c>
      <c r="V108" s="2"/>
      <c r="W108" s="2"/>
      <c r="X108" s="2"/>
      <c r="Y108" s="2"/>
      <c r="Z108" s="2"/>
    </row>
    <row r="109">
      <c r="A109" s="6">
        <f>IFERROR(__xludf.DUMMYFUNCTION("""COMPUTED_VALUE"""),45739.01335648148)</f>
        <v>45739.01336</v>
      </c>
      <c r="B109" s="2" t="str">
        <f>IFERROR(__xludf.DUMMYFUNCTION("""COMPUTED_VALUE"""),"March")</f>
        <v>March</v>
      </c>
      <c r="C109" s="3">
        <f>IFERROR(__xludf.DUMMYFUNCTION("""COMPUTED_VALUE"""),510619.0)</f>
        <v>510619</v>
      </c>
      <c r="D109" s="2" t="str">
        <f>IFERROR(__xludf.DUMMYFUNCTION("""COMPUTED_VALUE"""),"MNN16")</f>
        <v>MNN16</v>
      </c>
      <c r="E109" s="2" t="str">
        <f>IFERROR(__xludf.DUMMYFUNCTION("""COMPUTED_VALUE"""),"Imported from file DigiZag Bidding Codes.xlsx")</f>
        <v>Imported from file DigiZag Bidding Codes.xlsx</v>
      </c>
      <c r="F109" s="2" t="str">
        <f>IFERROR(__xludf.DUMMYFUNCTION("""COMPUTED_VALUE"""),"CKL648665")</f>
        <v>CKL648665</v>
      </c>
      <c r="G109" s="2" t="str">
        <f>IFERROR(__xludf.DUMMYFUNCTION("""COMPUTED_VALUE"""),"Kingdom of Saudi Arabia")</f>
        <v>Kingdom of Saudi Arabia</v>
      </c>
      <c r="H109" s="4">
        <f>IFERROR(__xludf.DUMMYFUNCTION("""COMPUTED_VALUE"""),44.88)</f>
        <v>44.88</v>
      </c>
      <c r="I109" s="3">
        <f>IFERROR(__xludf.DUMMYFUNCTION("""COMPUTED_VALUE"""),0.0)</f>
        <v>0</v>
      </c>
      <c r="J109" s="4">
        <f>IFERROR(__xludf.DUMMYFUNCTION("""COMPUTED_VALUE"""),4.48)</f>
        <v>4.48</v>
      </c>
      <c r="K109" s="2"/>
      <c r="L109" s="2" t="str">
        <f>IFERROR(__xludf.DUMMYFUNCTION("""COMPUTED_VALUE"""),"Delivered")</f>
        <v>Delivered</v>
      </c>
      <c r="M109" s="2" t="str">
        <f>IFERROR(__xludf.DUMMYFUNCTION("""COMPUTED_VALUE"""),"SR")</f>
        <v>SR</v>
      </c>
      <c r="N109" s="2" t="str">
        <f>IFERROR(__xludf.DUMMYFUNCTION("""COMPUTED_VALUE"""),"Credit, Debit, Apple Pay")</f>
        <v>Credit, Debit, Apple Pay</v>
      </c>
      <c r="O109" s="4">
        <f>IFERROR(__xludf.DUMMYFUNCTION("""COMPUTED_VALUE"""),0.0)</f>
        <v>0</v>
      </c>
      <c r="P109" s="2">
        <f>IFERROR(__xludf.DUMMYFUNCTION("""COMPUTED_VALUE"""),23.0)</f>
        <v>23</v>
      </c>
      <c r="Q109" s="2">
        <f>IFERROR(__xludf.DUMMYFUNCTION("""COMPUTED_VALUE"""),3.0)</f>
        <v>3</v>
      </c>
      <c r="R109" s="2">
        <f>IFERROR(__xludf.DUMMYFUNCTION("""COMPUTED_VALUE"""),2025.0)</f>
        <v>2025</v>
      </c>
      <c r="S109" s="2" t="str">
        <f>IFERROR(__xludf.DUMMYFUNCTION("""COMPUTED_VALUE"""),"Digizag")</f>
        <v>Digizag</v>
      </c>
      <c r="T109" s="2" t="str">
        <f>IFERROR(__xludf.DUMMYFUNCTION("""COMPUTED_VALUE"""),"Digizag")</f>
        <v>Digizag</v>
      </c>
      <c r="U109" s="5">
        <f>IFERROR(__xludf.DUMMYFUNCTION("""COMPUTED_VALUE"""),11.967074544480003)</f>
        <v>11.96707454</v>
      </c>
      <c r="V109" s="2"/>
      <c r="W109" s="2"/>
      <c r="X109" s="2"/>
      <c r="Y109" s="2"/>
      <c r="Z109" s="2"/>
    </row>
    <row r="110">
      <c r="A110" s="6">
        <f>IFERROR(__xludf.DUMMYFUNCTION("""COMPUTED_VALUE"""),45739.04935185185)</f>
        <v>45739.04935</v>
      </c>
      <c r="B110" s="2" t="str">
        <f>IFERROR(__xludf.DUMMYFUNCTION("""COMPUTED_VALUE"""),"March")</f>
        <v>March</v>
      </c>
      <c r="C110" s="3">
        <f>IFERROR(__xludf.DUMMYFUNCTION("""COMPUTED_VALUE"""),480964.0)</f>
        <v>480964</v>
      </c>
      <c r="D110" s="2" t="str">
        <f>IFERROR(__xludf.DUMMYFUNCTION("""COMPUTED_VALUE"""),"MNN15")</f>
        <v>MNN15</v>
      </c>
      <c r="E110" s="2" t="str">
        <f>IFERROR(__xludf.DUMMYFUNCTION("""COMPUTED_VALUE"""),"Imported from file DigiZag Bidding Codes.xlsx")</f>
        <v>Imported from file DigiZag Bidding Codes.xlsx</v>
      </c>
      <c r="F110" s="2" t="str">
        <f>IFERROR(__xludf.DUMMYFUNCTION("""COMPUTED_VALUE"""),"PBW601025")</f>
        <v>PBW601025</v>
      </c>
      <c r="G110" s="2" t="str">
        <f>IFERROR(__xludf.DUMMYFUNCTION("""COMPUTED_VALUE"""),"Kingdom of Saudi Arabia")</f>
        <v>Kingdom of Saudi Arabia</v>
      </c>
      <c r="H110" s="4">
        <f>IFERROR(__xludf.DUMMYFUNCTION("""COMPUTED_VALUE"""),99.0)</f>
        <v>99</v>
      </c>
      <c r="I110" s="3">
        <f>IFERROR(__xludf.DUMMYFUNCTION("""COMPUTED_VALUE"""),0.0)</f>
        <v>0</v>
      </c>
      <c r="J110" s="4">
        <f>IFERROR(__xludf.DUMMYFUNCTION("""COMPUTED_VALUE"""),9.9)</f>
        <v>9.9</v>
      </c>
      <c r="K110" s="2"/>
      <c r="L110" s="2" t="str">
        <f>IFERROR(__xludf.DUMMYFUNCTION("""COMPUTED_VALUE"""),"Delivered")</f>
        <v>Delivered</v>
      </c>
      <c r="M110" s="2" t="str">
        <f>IFERROR(__xludf.DUMMYFUNCTION("""COMPUTED_VALUE"""),"SR")</f>
        <v>SR</v>
      </c>
      <c r="N110" s="2" t="str">
        <f>IFERROR(__xludf.DUMMYFUNCTION("""COMPUTED_VALUE"""),"Credit, Debit, Apple Pay")</f>
        <v>Credit, Debit, Apple Pay</v>
      </c>
      <c r="O110" s="4">
        <f>IFERROR(__xludf.DUMMYFUNCTION("""COMPUTED_VALUE"""),0.0)</f>
        <v>0</v>
      </c>
      <c r="P110" s="2">
        <f>IFERROR(__xludf.DUMMYFUNCTION("""COMPUTED_VALUE"""),23.0)</f>
        <v>23</v>
      </c>
      <c r="Q110" s="2">
        <f>IFERROR(__xludf.DUMMYFUNCTION("""COMPUTED_VALUE"""),3.0)</f>
        <v>3</v>
      </c>
      <c r="R110" s="2">
        <f>IFERROR(__xludf.DUMMYFUNCTION("""COMPUTED_VALUE"""),2025.0)</f>
        <v>2025</v>
      </c>
      <c r="S110" s="2" t="str">
        <f>IFERROR(__xludf.DUMMYFUNCTION("""COMPUTED_VALUE"""),"Digizag")</f>
        <v>Digizag</v>
      </c>
      <c r="T110" s="2" t="str">
        <f>IFERROR(__xludf.DUMMYFUNCTION("""COMPUTED_VALUE"""),"Digizag")</f>
        <v>Digizag</v>
      </c>
      <c r="U110" s="5">
        <f>IFERROR(__xludf.DUMMYFUNCTION("""COMPUTED_VALUE"""),26.397958554000002)</f>
        <v>26.39795855</v>
      </c>
      <c r="V110" s="2"/>
      <c r="W110" s="2"/>
      <c r="X110" s="2"/>
      <c r="Y110" s="2"/>
      <c r="Z110" s="2"/>
    </row>
    <row r="111">
      <c r="A111" s="6">
        <f>IFERROR(__xludf.DUMMYFUNCTION("""COMPUTED_VALUE"""),45739.29481481481)</f>
        <v>45739.29481</v>
      </c>
      <c r="B111" s="2" t="str">
        <f>IFERROR(__xludf.DUMMYFUNCTION("""COMPUTED_VALUE"""),"March")</f>
        <v>March</v>
      </c>
      <c r="C111" s="3">
        <f>IFERROR(__xludf.DUMMYFUNCTION("""COMPUTED_VALUE"""),594891.0)</f>
        <v>594891</v>
      </c>
      <c r="D111" s="2" t="str">
        <f>IFERROR(__xludf.DUMMYFUNCTION("""COMPUTED_VALUE"""),"WFR")</f>
        <v>WFR</v>
      </c>
      <c r="E111" s="2" t="str">
        <f>IFERROR(__xludf.DUMMYFUNCTION("""COMPUTED_VALUE"""),"Imported from file Digizag.xlsx")</f>
        <v>Imported from file Digizag.xlsx</v>
      </c>
      <c r="F111" s="2" t="str">
        <f>IFERROR(__xludf.DUMMYFUNCTION("""COMPUTED_VALUE"""),"UWA973458")</f>
        <v>UWA973458</v>
      </c>
      <c r="G111" s="2" t="str">
        <f>IFERROR(__xludf.DUMMYFUNCTION("""COMPUTED_VALUE"""),"Kuwait")</f>
        <v>Kuwait</v>
      </c>
      <c r="H111" s="4">
        <f>IFERROR(__xludf.DUMMYFUNCTION("""COMPUTED_VALUE"""),18.55)</f>
        <v>18.55</v>
      </c>
      <c r="I111" s="3">
        <f>IFERROR(__xludf.DUMMYFUNCTION("""COMPUTED_VALUE"""),0.0)</f>
        <v>0</v>
      </c>
      <c r="J111" s="4">
        <f>IFERROR(__xludf.DUMMYFUNCTION("""COMPUTED_VALUE"""),1.855)</f>
        <v>1.855</v>
      </c>
      <c r="K111" s="2"/>
      <c r="L111" s="2" t="str">
        <f>IFERROR(__xludf.DUMMYFUNCTION("""COMPUTED_VALUE"""),"Delivered")</f>
        <v>Delivered</v>
      </c>
      <c r="M111" s="2" t="str">
        <f>IFERROR(__xludf.DUMMYFUNCTION("""COMPUTED_VALUE"""),"KD")</f>
        <v>KD</v>
      </c>
      <c r="N111" s="2" t="str">
        <f>IFERROR(__xludf.DUMMYFUNCTION("""COMPUTED_VALUE"""),"Credit, Debit, Knet")</f>
        <v>Credit, Debit, Knet</v>
      </c>
      <c r="O111" s="4">
        <f>IFERROR(__xludf.DUMMYFUNCTION("""COMPUTED_VALUE"""),0.0)</f>
        <v>0</v>
      </c>
      <c r="P111" s="2">
        <f>IFERROR(__xludf.DUMMYFUNCTION("""COMPUTED_VALUE"""),23.0)</f>
        <v>23</v>
      </c>
      <c r="Q111" s="2">
        <f>IFERROR(__xludf.DUMMYFUNCTION("""COMPUTED_VALUE"""),3.0)</f>
        <v>3</v>
      </c>
      <c r="R111" s="2">
        <f>IFERROR(__xludf.DUMMYFUNCTION("""COMPUTED_VALUE"""),2025.0)</f>
        <v>2025</v>
      </c>
      <c r="S111" s="2" t="str">
        <f>IFERROR(__xludf.DUMMYFUNCTION("""COMPUTED_VALUE"""),"Digizag")</f>
        <v>Digizag</v>
      </c>
      <c r="T111" s="2" t="str">
        <f>IFERROR(__xludf.DUMMYFUNCTION("""COMPUTED_VALUE"""),"Digizag")</f>
        <v>Digizag</v>
      </c>
      <c r="U111" s="5">
        <f>IFERROR(__xludf.DUMMYFUNCTION("""COMPUTED_VALUE"""),60.484501)</f>
        <v>60.484501</v>
      </c>
      <c r="V111" s="2"/>
      <c r="W111" s="2"/>
      <c r="X111" s="2"/>
      <c r="Y111" s="2"/>
      <c r="Z111" s="2"/>
    </row>
    <row r="112">
      <c r="A112" s="6">
        <f>IFERROR(__xludf.DUMMYFUNCTION("""COMPUTED_VALUE"""),45739.377442129626)</f>
        <v>45739.37744</v>
      </c>
      <c r="B112" s="2" t="str">
        <f>IFERROR(__xludf.DUMMYFUNCTION("""COMPUTED_VALUE"""),"March")</f>
        <v>March</v>
      </c>
      <c r="C112" s="3">
        <f>IFERROR(__xludf.DUMMYFUNCTION("""COMPUTED_VALUE"""),355054.0)</f>
        <v>355054</v>
      </c>
      <c r="D112" s="2" t="str">
        <f>IFERROR(__xludf.DUMMYFUNCTION("""COMPUTED_VALUE"""),"MNN16")</f>
        <v>MNN16</v>
      </c>
      <c r="E112" s="2" t="str">
        <f>IFERROR(__xludf.DUMMYFUNCTION("""COMPUTED_VALUE"""),"Imported from file DigiZag Codes 25Feb25.xlsx")</f>
        <v>Imported from file DigiZag Codes 25Feb25.xlsx</v>
      </c>
      <c r="F112" s="2" t="str">
        <f>IFERROR(__xludf.DUMMYFUNCTION("""COMPUTED_VALUE"""),"TCQ752325")</f>
        <v>TCQ752325</v>
      </c>
      <c r="G112" s="2" t="str">
        <f>IFERROR(__xludf.DUMMYFUNCTION("""COMPUTED_VALUE"""),"UAE")</f>
        <v>UAE</v>
      </c>
      <c r="H112" s="4">
        <f>IFERROR(__xludf.DUMMYFUNCTION("""COMPUTED_VALUE"""),285.0)</f>
        <v>285</v>
      </c>
      <c r="I112" s="3">
        <f>IFERROR(__xludf.DUMMYFUNCTION("""COMPUTED_VALUE"""),0.0)</f>
        <v>0</v>
      </c>
      <c r="J112" s="4">
        <f>IFERROR(__xludf.DUMMYFUNCTION("""COMPUTED_VALUE"""),28.5)</f>
        <v>28.5</v>
      </c>
      <c r="K112" s="2"/>
      <c r="L112" s="2" t="str">
        <f>IFERROR(__xludf.DUMMYFUNCTION("""COMPUTED_VALUE"""),"Delivered")</f>
        <v>Delivered</v>
      </c>
      <c r="M112" s="2" t="str">
        <f>IFERROR(__xludf.DUMMYFUNCTION("""COMPUTED_VALUE"""),"AED")</f>
        <v>AED</v>
      </c>
      <c r="N112" s="2" t="str">
        <f>IFERROR(__xludf.DUMMYFUNCTION("""COMPUTED_VALUE"""),"Credit, Debit , Apple Pay")</f>
        <v>Credit, Debit , Apple Pay</v>
      </c>
      <c r="O112" s="4">
        <f>IFERROR(__xludf.DUMMYFUNCTION("""COMPUTED_VALUE"""),0.0)</f>
        <v>0</v>
      </c>
      <c r="P112" s="2">
        <f>IFERROR(__xludf.DUMMYFUNCTION("""COMPUTED_VALUE"""),23.0)</f>
        <v>23</v>
      </c>
      <c r="Q112" s="2">
        <f>IFERROR(__xludf.DUMMYFUNCTION("""COMPUTED_VALUE"""),3.0)</f>
        <v>3</v>
      </c>
      <c r="R112" s="2">
        <f>IFERROR(__xludf.DUMMYFUNCTION("""COMPUTED_VALUE"""),2025.0)</f>
        <v>2025</v>
      </c>
      <c r="S112" s="2" t="str">
        <f>IFERROR(__xludf.DUMMYFUNCTION("""COMPUTED_VALUE"""),"Digizag")</f>
        <v>Digizag</v>
      </c>
      <c r="T112" s="2" t="str">
        <f>IFERROR(__xludf.DUMMYFUNCTION("""COMPUTED_VALUE"""),"Digizag")</f>
        <v>Digizag</v>
      </c>
      <c r="U112" s="5">
        <f>IFERROR(__xludf.DUMMYFUNCTION("""COMPUTED_VALUE"""),77.60381223)</f>
        <v>77.60381223</v>
      </c>
      <c r="V112" s="2"/>
      <c r="W112" s="2"/>
      <c r="X112" s="2"/>
      <c r="Y112" s="2"/>
      <c r="Z112" s="2"/>
    </row>
    <row r="113">
      <c r="A113" s="6">
        <f>IFERROR(__xludf.DUMMYFUNCTION("""COMPUTED_VALUE"""),45739.43461805555)</f>
        <v>45739.43462</v>
      </c>
      <c r="B113" s="2" t="str">
        <f>IFERROR(__xludf.DUMMYFUNCTION("""COMPUTED_VALUE"""),"March")</f>
        <v>March</v>
      </c>
      <c r="C113" s="3">
        <f>IFERROR(__xludf.DUMMYFUNCTION("""COMPUTED_VALUE"""),708304.0)</f>
        <v>708304</v>
      </c>
      <c r="D113" s="2" t="str">
        <f>IFERROR(__xludf.DUMMYFUNCTION("""COMPUTED_VALUE"""),"DB3")</f>
        <v>DB3</v>
      </c>
      <c r="E113" s="2" t="str">
        <f>IFERROR(__xludf.DUMMYFUNCTION("""COMPUTED_VALUE"""),"Imported from file Digizag.xlsx")</f>
        <v>Imported from file Digizag.xlsx</v>
      </c>
      <c r="F113" s="2" t="str">
        <f>IFERROR(__xludf.DUMMYFUNCTION("""COMPUTED_VALUE"""),"TCW645291")</f>
        <v>TCW645291</v>
      </c>
      <c r="G113" s="2" t="str">
        <f>IFERROR(__xludf.DUMMYFUNCTION("""COMPUTED_VALUE"""),"Kingdom of Saudi Arabia")</f>
        <v>Kingdom of Saudi Arabia</v>
      </c>
      <c r="H113" s="4">
        <f>IFERROR(__xludf.DUMMYFUNCTION("""COMPUTED_VALUE"""),160.12)</f>
        <v>160.12</v>
      </c>
      <c r="I113" s="3">
        <f>IFERROR(__xludf.DUMMYFUNCTION("""COMPUTED_VALUE"""),0.0)</f>
        <v>0</v>
      </c>
      <c r="J113" s="4">
        <f>IFERROR(__xludf.DUMMYFUNCTION("""COMPUTED_VALUE"""),16.0)</f>
        <v>16</v>
      </c>
      <c r="K113" s="2"/>
      <c r="L113" s="2" t="str">
        <f>IFERROR(__xludf.DUMMYFUNCTION("""COMPUTED_VALUE"""),"Delivered")</f>
        <v>Delivered</v>
      </c>
      <c r="M113" s="2" t="str">
        <f>IFERROR(__xludf.DUMMYFUNCTION("""COMPUTED_VALUE"""),"SR")</f>
        <v>SR</v>
      </c>
      <c r="N113" s="2" t="str">
        <f>IFERROR(__xludf.DUMMYFUNCTION("""COMPUTED_VALUE"""),"Credit, Debit, Apple Pay")</f>
        <v>Credit, Debit, Apple Pay</v>
      </c>
      <c r="O113" s="4">
        <f>IFERROR(__xludf.DUMMYFUNCTION("""COMPUTED_VALUE"""),0.0)</f>
        <v>0</v>
      </c>
      <c r="P113" s="2">
        <f>IFERROR(__xludf.DUMMYFUNCTION("""COMPUTED_VALUE"""),23.0)</f>
        <v>23</v>
      </c>
      <c r="Q113" s="2">
        <f>IFERROR(__xludf.DUMMYFUNCTION("""COMPUTED_VALUE"""),3.0)</f>
        <v>3</v>
      </c>
      <c r="R113" s="2">
        <f>IFERROR(__xludf.DUMMYFUNCTION("""COMPUTED_VALUE"""),2025.0)</f>
        <v>2025</v>
      </c>
      <c r="S113" s="2" t="str">
        <f>IFERROR(__xludf.DUMMYFUNCTION("""COMPUTED_VALUE"""),"Digizag")</f>
        <v>Digizag</v>
      </c>
      <c r="T113" s="2" t="str">
        <f>IFERROR(__xludf.DUMMYFUNCTION("""COMPUTED_VALUE"""),"Digizag")</f>
        <v>Digizag</v>
      </c>
      <c r="U113" s="5">
        <f>IFERROR(__xludf.DUMMYFUNCTION("""COMPUTED_VALUE"""),42.69536488552001)</f>
        <v>42.69536489</v>
      </c>
      <c r="V113" s="2"/>
      <c r="W113" s="2"/>
      <c r="X113" s="2"/>
      <c r="Y113" s="2"/>
      <c r="Z113" s="2"/>
    </row>
    <row r="114">
      <c r="A114" s="6">
        <f>IFERROR(__xludf.DUMMYFUNCTION("""COMPUTED_VALUE"""),45739.49768518518)</f>
        <v>45739.49769</v>
      </c>
      <c r="B114" s="2" t="str">
        <f>IFERROR(__xludf.DUMMYFUNCTION("""COMPUTED_VALUE"""),"March")</f>
        <v>March</v>
      </c>
      <c r="C114" s="3">
        <f>IFERROR(__xludf.DUMMYFUNCTION("""COMPUTED_VALUE"""),66018.0)</f>
        <v>66018</v>
      </c>
      <c r="D114" s="2" t="str">
        <f>IFERROR(__xludf.DUMMYFUNCTION("""COMPUTED_VALUE"""),"BITS")</f>
        <v>BITS</v>
      </c>
      <c r="E114" s="2" t="str">
        <f>IFERROR(__xludf.DUMMYFUNCTION("""COMPUTED_VALUE"""),"Imported from file DigiZag Codes 25Feb25.xlsx")</f>
        <v>Imported from file DigiZag Codes 25Feb25.xlsx</v>
      </c>
      <c r="F114" s="2" t="str">
        <f>IFERROR(__xludf.DUMMYFUNCTION("""COMPUTED_VALUE"""),"YTR274028")</f>
        <v>YTR274028</v>
      </c>
      <c r="G114" s="2" t="str">
        <f>IFERROR(__xludf.DUMMYFUNCTION("""COMPUTED_VALUE"""),"Kuwait")</f>
        <v>Kuwait</v>
      </c>
      <c r="H114" s="4">
        <f>IFERROR(__xludf.DUMMYFUNCTION("""COMPUTED_VALUE"""),9.22)</f>
        <v>9.22</v>
      </c>
      <c r="I114" s="3">
        <f>IFERROR(__xludf.DUMMYFUNCTION("""COMPUTED_VALUE"""),0.0)</f>
        <v>0</v>
      </c>
      <c r="J114" s="4">
        <f>IFERROR(__xludf.DUMMYFUNCTION("""COMPUTED_VALUE"""),0.922)</f>
        <v>0.922</v>
      </c>
      <c r="K114" s="2"/>
      <c r="L114" s="2" t="str">
        <f>IFERROR(__xludf.DUMMYFUNCTION("""COMPUTED_VALUE"""),"Delivered")</f>
        <v>Delivered</v>
      </c>
      <c r="M114" s="2" t="str">
        <f>IFERROR(__xludf.DUMMYFUNCTION("""COMPUTED_VALUE"""),"KD")</f>
        <v>KD</v>
      </c>
      <c r="N114" s="2" t="str">
        <f>IFERROR(__xludf.DUMMYFUNCTION("""COMPUTED_VALUE"""),"Credit, Debit, Knet")</f>
        <v>Credit, Debit, Knet</v>
      </c>
      <c r="O114" s="4">
        <f>IFERROR(__xludf.DUMMYFUNCTION("""COMPUTED_VALUE"""),0.0)</f>
        <v>0</v>
      </c>
      <c r="P114" s="2">
        <f>IFERROR(__xludf.DUMMYFUNCTION("""COMPUTED_VALUE"""),23.0)</f>
        <v>23</v>
      </c>
      <c r="Q114" s="2">
        <f>IFERROR(__xludf.DUMMYFUNCTION("""COMPUTED_VALUE"""),3.0)</f>
        <v>3</v>
      </c>
      <c r="R114" s="2">
        <f>IFERROR(__xludf.DUMMYFUNCTION("""COMPUTED_VALUE"""),2025.0)</f>
        <v>2025</v>
      </c>
      <c r="S114" s="2" t="str">
        <f>IFERROR(__xludf.DUMMYFUNCTION("""COMPUTED_VALUE"""),"Digizag")</f>
        <v>Digizag</v>
      </c>
      <c r="T114" s="2" t="str">
        <f>IFERROR(__xludf.DUMMYFUNCTION("""COMPUTED_VALUE"""),"Digizag")</f>
        <v>Digizag</v>
      </c>
      <c r="U114" s="5">
        <f>IFERROR(__xludf.DUMMYFUNCTION("""COMPUTED_VALUE"""),30.062916400000002)</f>
        <v>30.0629164</v>
      </c>
      <c r="V114" s="2"/>
      <c r="W114" s="2"/>
      <c r="X114" s="2"/>
      <c r="Y114" s="2"/>
      <c r="Z114" s="2"/>
    </row>
    <row r="115">
      <c r="A115" s="6">
        <f>IFERROR(__xludf.DUMMYFUNCTION("""COMPUTED_VALUE"""),45739.514074074075)</f>
        <v>45739.51407</v>
      </c>
      <c r="B115" s="2" t="str">
        <f>IFERROR(__xludf.DUMMYFUNCTION("""COMPUTED_VALUE"""),"March")</f>
        <v>March</v>
      </c>
      <c r="C115" s="3">
        <f>IFERROR(__xludf.DUMMYFUNCTION("""COMPUTED_VALUE"""),387865.0)</f>
        <v>387865</v>
      </c>
      <c r="D115" s="2" t="str">
        <f>IFERROR(__xludf.DUMMYFUNCTION("""COMPUTED_VALUE"""),"MNN16")</f>
        <v>MNN16</v>
      </c>
      <c r="E115" s="2" t="str">
        <f>IFERROR(__xludf.DUMMYFUNCTION("""COMPUTED_VALUE"""),"Imported from file DigiZag Bidding Codes.xlsx")</f>
        <v>Imported from file DigiZag Bidding Codes.xlsx</v>
      </c>
      <c r="F115" s="2" t="str">
        <f>IFERROR(__xludf.DUMMYFUNCTION("""COMPUTED_VALUE"""),"XYJ977426")</f>
        <v>XYJ977426</v>
      </c>
      <c r="G115" s="2" t="str">
        <f>IFERROR(__xludf.DUMMYFUNCTION("""COMPUTED_VALUE"""),"Kingdom of Saudi Arabia")</f>
        <v>Kingdom of Saudi Arabia</v>
      </c>
      <c r="H115" s="4">
        <f>IFERROR(__xludf.DUMMYFUNCTION("""COMPUTED_VALUE"""),133.65)</f>
        <v>133.65</v>
      </c>
      <c r="I115" s="3">
        <f>IFERROR(__xludf.DUMMYFUNCTION("""COMPUTED_VALUE"""),0.0)</f>
        <v>0</v>
      </c>
      <c r="J115" s="4">
        <f>IFERROR(__xludf.DUMMYFUNCTION("""COMPUTED_VALUE"""),13.36)</f>
        <v>13.36</v>
      </c>
      <c r="K115" s="2"/>
      <c r="L115" s="2" t="str">
        <f>IFERROR(__xludf.DUMMYFUNCTION("""COMPUTED_VALUE"""),"Delivered")</f>
        <v>Delivered</v>
      </c>
      <c r="M115" s="2" t="str">
        <f>IFERROR(__xludf.DUMMYFUNCTION("""COMPUTED_VALUE"""),"SR")</f>
        <v>SR</v>
      </c>
      <c r="N115" s="2" t="str">
        <f>IFERROR(__xludf.DUMMYFUNCTION("""COMPUTED_VALUE"""),"Credit, Debit, Apple Pay")</f>
        <v>Credit, Debit, Apple Pay</v>
      </c>
      <c r="O115" s="4">
        <f>IFERROR(__xludf.DUMMYFUNCTION("""COMPUTED_VALUE"""),0.0)</f>
        <v>0</v>
      </c>
      <c r="P115" s="2">
        <f>IFERROR(__xludf.DUMMYFUNCTION("""COMPUTED_VALUE"""),23.0)</f>
        <v>23</v>
      </c>
      <c r="Q115" s="2">
        <f>IFERROR(__xludf.DUMMYFUNCTION("""COMPUTED_VALUE"""),3.0)</f>
        <v>3</v>
      </c>
      <c r="R115" s="2">
        <f>IFERROR(__xludf.DUMMYFUNCTION("""COMPUTED_VALUE"""),2025.0)</f>
        <v>2025</v>
      </c>
      <c r="S115" s="2" t="str">
        <f>IFERROR(__xludf.DUMMYFUNCTION("""COMPUTED_VALUE"""),"Digizag")</f>
        <v>Digizag</v>
      </c>
      <c r="T115" s="2" t="str">
        <f>IFERROR(__xludf.DUMMYFUNCTION("""COMPUTED_VALUE"""),"Digizag")</f>
        <v>Digizag</v>
      </c>
      <c r="U115" s="5">
        <f>IFERROR(__xludf.DUMMYFUNCTION("""COMPUTED_VALUE"""),35.637244047900005)</f>
        <v>35.63724405</v>
      </c>
      <c r="V115" s="2"/>
      <c r="W115" s="2"/>
      <c r="X115" s="2"/>
      <c r="Y115" s="2"/>
      <c r="Z115" s="2"/>
    </row>
    <row r="116">
      <c r="A116" s="6">
        <f>IFERROR(__xludf.DUMMYFUNCTION("""COMPUTED_VALUE"""),45739.54435185185)</f>
        <v>45739.54435</v>
      </c>
      <c r="B116" s="2" t="str">
        <f>IFERROR(__xludf.DUMMYFUNCTION("""COMPUTED_VALUE"""),"March")</f>
        <v>March</v>
      </c>
      <c r="C116" s="3">
        <f>IFERROR(__xludf.DUMMYFUNCTION("""COMPUTED_VALUE"""),653320.0)</f>
        <v>653320</v>
      </c>
      <c r="D116" s="2" t="str">
        <f>IFERROR(__xludf.DUMMYFUNCTION("""COMPUTED_VALUE"""),"DB3")</f>
        <v>DB3</v>
      </c>
      <c r="E116" s="2" t="str">
        <f>IFERROR(__xludf.DUMMYFUNCTION("""COMPUTED_VALUE"""),"Imported from file Digizag.xlsx")</f>
        <v>Imported from file Digizag.xlsx</v>
      </c>
      <c r="F116" s="2" t="str">
        <f>IFERROR(__xludf.DUMMYFUNCTION("""COMPUTED_VALUE"""),"XKL527485")</f>
        <v>XKL527485</v>
      </c>
      <c r="G116" s="2" t="str">
        <f>IFERROR(__xludf.DUMMYFUNCTION("""COMPUTED_VALUE"""),"Kuwait")</f>
        <v>Kuwait</v>
      </c>
      <c r="H116" s="4">
        <f>IFERROR(__xludf.DUMMYFUNCTION("""COMPUTED_VALUE"""),30.71)</f>
        <v>30.71</v>
      </c>
      <c r="I116" s="3">
        <f>IFERROR(__xludf.DUMMYFUNCTION("""COMPUTED_VALUE"""),0.0)</f>
        <v>0</v>
      </c>
      <c r="J116" s="4">
        <f>IFERROR(__xludf.DUMMYFUNCTION("""COMPUTED_VALUE"""),3.071)</f>
        <v>3.071</v>
      </c>
      <c r="K116" s="2"/>
      <c r="L116" s="2" t="str">
        <f>IFERROR(__xludf.DUMMYFUNCTION("""COMPUTED_VALUE"""),"Delivered")</f>
        <v>Delivered</v>
      </c>
      <c r="M116" s="2" t="str">
        <f>IFERROR(__xludf.DUMMYFUNCTION("""COMPUTED_VALUE"""),"KD")</f>
        <v>KD</v>
      </c>
      <c r="N116" s="2" t="str">
        <f>IFERROR(__xludf.DUMMYFUNCTION("""COMPUTED_VALUE"""),"Credit, Debit, Knet")</f>
        <v>Credit, Debit, Knet</v>
      </c>
      <c r="O116" s="4">
        <f>IFERROR(__xludf.DUMMYFUNCTION("""COMPUTED_VALUE"""),0.0)</f>
        <v>0</v>
      </c>
      <c r="P116" s="2">
        <f>IFERROR(__xludf.DUMMYFUNCTION("""COMPUTED_VALUE"""),23.0)</f>
        <v>23</v>
      </c>
      <c r="Q116" s="2">
        <f>IFERROR(__xludf.DUMMYFUNCTION("""COMPUTED_VALUE"""),3.0)</f>
        <v>3</v>
      </c>
      <c r="R116" s="2">
        <f>IFERROR(__xludf.DUMMYFUNCTION("""COMPUTED_VALUE"""),2025.0)</f>
        <v>2025</v>
      </c>
      <c r="S116" s="2" t="str">
        <f>IFERROR(__xludf.DUMMYFUNCTION("""COMPUTED_VALUE"""),"Digizag")</f>
        <v>Digizag</v>
      </c>
      <c r="T116" s="2" t="str">
        <f>IFERROR(__xludf.DUMMYFUNCTION("""COMPUTED_VALUE"""),"Digizag")</f>
        <v>Digizag</v>
      </c>
      <c r="U116" s="5">
        <f>IFERROR(__xludf.DUMMYFUNCTION("""COMPUTED_VALUE"""),100.1336402)</f>
        <v>100.1336402</v>
      </c>
      <c r="V116" s="2"/>
      <c r="W116" s="2"/>
      <c r="X116" s="2"/>
      <c r="Y116" s="2"/>
      <c r="Z116" s="2"/>
    </row>
    <row r="117">
      <c r="A117" s="6">
        <f>IFERROR(__xludf.DUMMYFUNCTION("""COMPUTED_VALUE"""),45739.57482638889)</f>
        <v>45739.57483</v>
      </c>
      <c r="B117" s="2" t="str">
        <f>IFERROR(__xludf.DUMMYFUNCTION("""COMPUTED_VALUE"""),"March")</f>
        <v>March</v>
      </c>
      <c r="C117" s="3">
        <f>IFERROR(__xludf.DUMMYFUNCTION("""COMPUTED_VALUE"""),707832.0)</f>
        <v>707832</v>
      </c>
      <c r="D117" s="2" t="str">
        <f>IFERROR(__xludf.DUMMYFUNCTION("""COMPUTED_VALUE"""),"DB3")</f>
        <v>DB3</v>
      </c>
      <c r="E117" s="2" t="str">
        <f>IFERROR(__xludf.DUMMYFUNCTION("""COMPUTED_VALUE"""),"Imported from file Digizag.xlsx")</f>
        <v>Imported from file Digizag.xlsx</v>
      </c>
      <c r="F117" s="2" t="str">
        <f>IFERROR(__xludf.DUMMYFUNCTION("""COMPUTED_VALUE"""),"VKH109835")</f>
        <v>VKH109835</v>
      </c>
      <c r="G117" s="2" t="str">
        <f>IFERROR(__xludf.DUMMYFUNCTION("""COMPUTED_VALUE"""),"Kingdom of Saudi Arabia")</f>
        <v>Kingdom of Saudi Arabia</v>
      </c>
      <c r="H117" s="4">
        <f>IFERROR(__xludf.DUMMYFUNCTION("""COMPUTED_VALUE"""),94.0)</f>
        <v>94</v>
      </c>
      <c r="I117" s="3">
        <f>IFERROR(__xludf.DUMMYFUNCTION("""COMPUTED_VALUE"""),0.0)</f>
        <v>0</v>
      </c>
      <c r="J117" s="4">
        <f>IFERROR(__xludf.DUMMYFUNCTION("""COMPUTED_VALUE"""),9.4)</f>
        <v>9.4</v>
      </c>
      <c r="K117" s="2"/>
      <c r="L117" s="2" t="str">
        <f>IFERROR(__xludf.DUMMYFUNCTION("""COMPUTED_VALUE"""),"Delivered")</f>
        <v>Delivered</v>
      </c>
      <c r="M117" s="2" t="str">
        <f>IFERROR(__xludf.DUMMYFUNCTION("""COMPUTED_VALUE"""),"SR")</f>
        <v>SR</v>
      </c>
      <c r="N117" s="2" t="str">
        <f>IFERROR(__xludf.DUMMYFUNCTION("""COMPUTED_VALUE"""),"Credit, Debit, Apple Pay")</f>
        <v>Credit, Debit, Apple Pay</v>
      </c>
      <c r="O117" s="4">
        <f>IFERROR(__xludf.DUMMYFUNCTION("""COMPUTED_VALUE"""),0.0)</f>
        <v>0</v>
      </c>
      <c r="P117" s="2">
        <f>IFERROR(__xludf.DUMMYFUNCTION("""COMPUTED_VALUE"""),23.0)</f>
        <v>23</v>
      </c>
      <c r="Q117" s="2">
        <f>IFERROR(__xludf.DUMMYFUNCTION("""COMPUTED_VALUE"""),3.0)</f>
        <v>3</v>
      </c>
      <c r="R117" s="2">
        <f>IFERROR(__xludf.DUMMYFUNCTION("""COMPUTED_VALUE"""),2025.0)</f>
        <v>2025</v>
      </c>
      <c r="S117" s="2" t="str">
        <f>IFERROR(__xludf.DUMMYFUNCTION("""COMPUTED_VALUE"""),"Digizag")</f>
        <v>Digizag</v>
      </c>
      <c r="T117" s="2" t="str">
        <f>IFERROR(__xludf.DUMMYFUNCTION("""COMPUTED_VALUE"""),"Digizag")</f>
        <v>Digizag</v>
      </c>
      <c r="U117" s="5">
        <f>IFERROR(__xludf.DUMMYFUNCTION("""COMPUTED_VALUE"""),25.064728324)</f>
        <v>25.06472832</v>
      </c>
      <c r="V117" s="2"/>
      <c r="W117" s="2"/>
      <c r="X117" s="2"/>
      <c r="Y117" s="2"/>
      <c r="Z117" s="2"/>
    </row>
    <row r="118">
      <c r="A118" s="6">
        <f>IFERROR(__xludf.DUMMYFUNCTION("""COMPUTED_VALUE"""),45739.638391203705)</f>
        <v>45739.63839</v>
      </c>
      <c r="B118" s="2" t="str">
        <f>IFERROR(__xludf.DUMMYFUNCTION("""COMPUTED_VALUE"""),"March")</f>
        <v>March</v>
      </c>
      <c r="C118" s="3">
        <f>IFERROR(__xludf.DUMMYFUNCTION("""COMPUTED_VALUE"""),313628.0)</f>
        <v>313628</v>
      </c>
      <c r="D118" s="2" t="str">
        <f>IFERROR(__xludf.DUMMYFUNCTION("""COMPUTED_VALUE"""),"BITS")</f>
        <v>BITS</v>
      </c>
      <c r="E118" s="2" t="str">
        <f>IFERROR(__xludf.DUMMYFUNCTION("""COMPUTED_VALUE"""),"Imported from file DigiZag Codes 25Feb25.xlsx")</f>
        <v>Imported from file DigiZag Codes 25Feb25.xlsx</v>
      </c>
      <c r="F118" s="2" t="str">
        <f>IFERROR(__xludf.DUMMYFUNCTION("""COMPUTED_VALUE"""),"YMP360642")</f>
        <v>YMP360642</v>
      </c>
      <c r="G118" s="2" t="str">
        <f>IFERROR(__xludf.DUMMYFUNCTION("""COMPUTED_VALUE"""),"UAE")</f>
        <v>UAE</v>
      </c>
      <c r="H118" s="4">
        <f>IFERROR(__xludf.DUMMYFUNCTION("""COMPUTED_VALUE"""),439.0)</f>
        <v>439</v>
      </c>
      <c r="I118" s="3">
        <f>IFERROR(__xludf.DUMMYFUNCTION("""COMPUTED_VALUE"""),0.0)</f>
        <v>0</v>
      </c>
      <c r="J118" s="4">
        <f>IFERROR(__xludf.DUMMYFUNCTION("""COMPUTED_VALUE"""),43.9)</f>
        <v>43.9</v>
      </c>
      <c r="K118" s="2"/>
      <c r="L118" s="2" t="str">
        <f>IFERROR(__xludf.DUMMYFUNCTION("""COMPUTED_VALUE"""),"Delivered")</f>
        <v>Delivered</v>
      </c>
      <c r="M118" s="2" t="str">
        <f>IFERROR(__xludf.DUMMYFUNCTION("""COMPUTED_VALUE"""),"AED")</f>
        <v>AED</v>
      </c>
      <c r="N118" s="2" t="str">
        <f>IFERROR(__xludf.DUMMYFUNCTION("""COMPUTED_VALUE"""),"Tamara: split in 3, interest-free")</f>
        <v>Tamara: split in 3, interest-free</v>
      </c>
      <c r="O118" s="4">
        <f>IFERROR(__xludf.DUMMYFUNCTION("""COMPUTED_VALUE"""),0.0)</f>
        <v>0</v>
      </c>
      <c r="P118" s="2">
        <f>IFERROR(__xludf.DUMMYFUNCTION("""COMPUTED_VALUE"""),23.0)</f>
        <v>23</v>
      </c>
      <c r="Q118" s="2">
        <f>IFERROR(__xludf.DUMMYFUNCTION("""COMPUTED_VALUE"""),3.0)</f>
        <v>3</v>
      </c>
      <c r="R118" s="2">
        <f>IFERROR(__xludf.DUMMYFUNCTION("""COMPUTED_VALUE"""),2025.0)</f>
        <v>2025</v>
      </c>
      <c r="S118" s="2" t="str">
        <f>IFERROR(__xludf.DUMMYFUNCTION("""COMPUTED_VALUE"""),"Digizag")</f>
        <v>Digizag</v>
      </c>
      <c r="T118" s="2" t="str">
        <f>IFERROR(__xludf.DUMMYFUNCTION("""COMPUTED_VALUE"""),"Digizag")</f>
        <v>Digizag</v>
      </c>
      <c r="U118" s="5">
        <f>IFERROR(__xludf.DUMMYFUNCTION("""COMPUTED_VALUE"""),119.537100242)</f>
        <v>119.5371002</v>
      </c>
      <c r="V118" s="2"/>
      <c r="W118" s="2"/>
      <c r="X118" s="2"/>
      <c r="Y118" s="2"/>
      <c r="Z118" s="2"/>
    </row>
    <row r="119">
      <c r="A119" s="6">
        <f>IFERROR(__xludf.DUMMYFUNCTION("""COMPUTED_VALUE"""),45739.68677083333)</f>
        <v>45739.68677</v>
      </c>
      <c r="B119" s="2" t="str">
        <f>IFERROR(__xludf.DUMMYFUNCTION("""COMPUTED_VALUE"""),"March")</f>
        <v>March</v>
      </c>
      <c r="C119" s="3">
        <f>IFERROR(__xludf.DUMMYFUNCTION("""COMPUTED_VALUE"""),135507.0)</f>
        <v>135507</v>
      </c>
      <c r="D119" s="2" t="str">
        <f>IFERROR(__xludf.DUMMYFUNCTION("""COMPUTED_VALUE"""),"MNN16")</f>
        <v>MNN16</v>
      </c>
      <c r="E119" s="2" t="str">
        <f>IFERROR(__xludf.DUMMYFUNCTION("""COMPUTED_VALUE"""),"Imported from file DigiZag Codes 25Feb25.xlsx")</f>
        <v>Imported from file DigiZag Codes 25Feb25.xlsx</v>
      </c>
      <c r="F119" s="2" t="str">
        <f>IFERROR(__xludf.DUMMYFUNCTION("""COMPUTED_VALUE"""),"DGZ394792")</f>
        <v>DGZ394792</v>
      </c>
      <c r="G119" s="2" t="str">
        <f>IFERROR(__xludf.DUMMYFUNCTION("""COMPUTED_VALUE"""),"UAE")</f>
        <v>UAE</v>
      </c>
      <c r="H119" s="4">
        <f>IFERROR(__xludf.DUMMYFUNCTION("""COMPUTED_VALUE"""),122.0)</f>
        <v>122</v>
      </c>
      <c r="I119" s="3">
        <f>IFERROR(__xludf.DUMMYFUNCTION("""COMPUTED_VALUE"""),0.0)</f>
        <v>0</v>
      </c>
      <c r="J119" s="4">
        <f>IFERROR(__xludf.DUMMYFUNCTION("""COMPUTED_VALUE"""),12.2)</f>
        <v>12.2</v>
      </c>
      <c r="K119" s="2"/>
      <c r="L119" s="2" t="str">
        <f>IFERROR(__xludf.DUMMYFUNCTION("""COMPUTED_VALUE"""),"Delivered")</f>
        <v>Delivered</v>
      </c>
      <c r="M119" s="2" t="str">
        <f>IFERROR(__xludf.DUMMYFUNCTION("""COMPUTED_VALUE"""),"AED")</f>
        <v>AED</v>
      </c>
      <c r="N119" s="2" t="str">
        <f>IFERROR(__xludf.DUMMYFUNCTION("""COMPUTED_VALUE"""),"Credit, Debit , Apple Pay")</f>
        <v>Credit, Debit , Apple Pay</v>
      </c>
      <c r="O119" s="4">
        <f>IFERROR(__xludf.DUMMYFUNCTION("""COMPUTED_VALUE"""),0.0)</f>
        <v>0</v>
      </c>
      <c r="P119" s="2">
        <f>IFERROR(__xludf.DUMMYFUNCTION("""COMPUTED_VALUE"""),23.0)</f>
        <v>23</v>
      </c>
      <c r="Q119" s="2">
        <f>IFERROR(__xludf.DUMMYFUNCTION("""COMPUTED_VALUE"""),3.0)</f>
        <v>3</v>
      </c>
      <c r="R119" s="2">
        <f>IFERROR(__xludf.DUMMYFUNCTION("""COMPUTED_VALUE"""),2025.0)</f>
        <v>2025</v>
      </c>
      <c r="S119" s="2" t="str">
        <f>IFERROR(__xludf.DUMMYFUNCTION("""COMPUTED_VALUE"""),"Digizag")</f>
        <v>Digizag</v>
      </c>
      <c r="T119" s="2" t="str">
        <f>IFERROR(__xludf.DUMMYFUNCTION("""COMPUTED_VALUE"""),"Digizag")</f>
        <v>Digizag</v>
      </c>
      <c r="U119" s="5">
        <f>IFERROR(__xludf.DUMMYFUNCTION("""COMPUTED_VALUE"""),33.219877516)</f>
        <v>33.21987752</v>
      </c>
      <c r="V119" s="2"/>
      <c r="W119" s="2"/>
      <c r="X119" s="2"/>
      <c r="Y119" s="2"/>
      <c r="Z119" s="2"/>
    </row>
    <row r="120">
      <c r="A120" s="6">
        <f>IFERROR(__xludf.DUMMYFUNCTION("""COMPUTED_VALUE"""),45739.75368055555)</f>
        <v>45739.75368</v>
      </c>
      <c r="B120" s="2" t="str">
        <f>IFERROR(__xludf.DUMMYFUNCTION("""COMPUTED_VALUE"""),"March")</f>
        <v>March</v>
      </c>
      <c r="C120" s="3">
        <f>IFERROR(__xludf.DUMMYFUNCTION("""COMPUTED_VALUE"""),508415.0)</f>
        <v>508415</v>
      </c>
      <c r="D120" s="2" t="str">
        <f>IFERROR(__xludf.DUMMYFUNCTION("""COMPUTED_VALUE"""),"MNN16")</f>
        <v>MNN16</v>
      </c>
      <c r="E120" s="2" t="str">
        <f>IFERROR(__xludf.DUMMYFUNCTION("""COMPUTED_VALUE"""),"Imported from file DigiZag Codes 25Feb25.xlsx")</f>
        <v>Imported from file DigiZag Codes 25Feb25.xlsx</v>
      </c>
      <c r="F120" s="2" t="str">
        <f>IFERROR(__xludf.DUMMYFUNCTION("""COMPUTED_VALUE"""),"ZPT223207")</f>
        <v>ZPT223207</v>
      </c>
      <c r="G120" s="2" t="str">
        <f>IFERROR(__xludf.DUMMYFUNCTION("""COMPUTED_VALUE"""),"UAE")</f>
        <v>UAE</v>
      </c>
      <c r="H120" s="4">
        <f>IFERROR(__xludf.DUMMYFUNCTION("""COMPUTED_VALUE"""),169.89)</f>
        <v>169.89</v>
      </c>
      <c r="I120" s="3">
        <f>IFERROR(__xludf.DUMMYFUNCTION("""COMPUTED_VALUE"""),0.0)</f>
        <v>0</v>
      </c>
      <c r="J120" s="4">
        <f>IFERROR(__xludf.DUMMYFUNCTION("""COMPUTED_VALUE"""),16.98)</f>
        <v>16.98</v>
      </c>
      <c r="K120" s="2"/>
      <c r="L120" s="2" t="str">
        <f>IFERROR(__xludf.DUMMYFUNCTION("""COMPUTED_VALUE"""),"Delivered")</f>
        <v>Delivered</v>
      </c>
      <c r="M120" s="2" t="str">
        <f>IFERROR(__xludf.DUMMYFUNCTION("""COMPUTED_VALUE"""),"AED")</f>
        <v>AED</v>
      </c>
      <c r="N120" s="2" t="str">
        <f>IFERROR(__xludf.DUMMYFUNCTION("""COMPUTED_VALUE"""),"Credit, Debit , Apple Pay")</f>
        <v>Credit, Debit , Apple Pay</v>
      </c>
      <c r="O120" s="4">
        <f>IFERROR(__xludf.DUMMYFUNCTION("""COMPUTED_VALUE"""),0.0)</f>
        <v>0</v>
      </c>
      <c r="P120" s="2">
        <f>IFERROR(__xludf.DUMMYFUNCTION("""COMPUTED_VALUE"""),23.0)</f>
        <v>23</v>
      </c>
      <c r="Q120" s="2">
        <f>IFERROR(__xludf.DUMMYFUNCTION("""COMPUTED_VALUE"""),3.0)</f>
        <v>3</v>
      </c>
      <c r="R120" s="2">
        <f>IFERROR(__xludf.DUMMYFUNCTION("""COMPUTED_VALUE"""),2025.0)</f>
        <v>2025</v>
      </c>
      <c r="S120" s="2" t="str">
        <f>IFERROR(__xludf.DUMMYFUNCTION("""COMPUTED_VALUE"""),"Digizag")</f>
        <v>Digizag</v>
      </c>
      <c r="T120" s="2" t="str">
        <f>IFERROR(__xludf.DUMMYFUNCTION("""COMPUTED_VALUE"""),"Digizag")</f>
        <v>Digizag</v>
      </c>
      <c r="U120" s="5">
        <f>IFERROR(__xludf.DUMMYFUNCTION("""COMPUTED_VALUE"""),46.26004091141999)</f>
        <v>46.26004091</v>
      </c>
      <c r="V120" s="2"/>
      <c r="W120" s="2"/>
      <c r="X120" s="2"/>
      <c r="Y120" s="2"/>
      <c r="Z120" s="2"/>
    </row>
    <row r="121">
      <c r="A121" s="6">
        <f>IFERROR(__xludf.DUMMYFUNCTION("""COMPUTED_VALUE"""),45739.811585648145)</f>
        <v>45739.81159</v>
      </c>
      <c r="B121" s="2" t="str">
        <f>IFERROR(__xludf.DUMMYFUNCTION("""COMPUTED_VALUE"""),"March")</f>
        <v>March</v>
      </c>
      <c r="C121" s="3">
        <f>IFERROR(__xludf.DUMMYFUNCTION("""COMPUTED_VALUE"""),708553.0)</f>
        <v>708553</v>
      </c>
      <c r="D121" s="2" t="str">
        <f>IFERROR(__xludf.DUMMYFUNCTION("""COMPUTED_VALUE"""),"MNN16")</f>
        <v>MNN16</v>
      </c>
      <c r="E121" s="2" t="str">
        <f>IFERROR(__xludf.DUMMYFUNCTION("""COMPUTED_VALUE"""),"Imported from file DigiZag Bidding Codes.xlsx")</f>
        <v>Imported from file DigiZag Bidding Codes.xlsx</v>
      </c>
      <c r="F121" s="2" t="str">
        <f>IFERROR(__xludf.DUMMYFUNCTION("""COMPUTED_VALUE"""),"YAY705418")</f>
        <v>YAY705418</v>
      </c>
      <c r="G121" s="2" t="str">
        <f>IFERROR(__xludf.DUMMYFUNCTION("""COMPUTED_VALUE"""),"Kingdom of Saudi Arabia")</f>
        <v>Kingdom of Saudi Arabia</v>
      </c>
      <c r="H121" s="4">
        <f>IFERROR(__xludf.DUMMYFUNCTION("""COMPUTED_VALUE"""),155.14)</f>
        <v>155.14</v>
      </c>
      <c r="I121" s="3">
        <f>IFERROR(__xludf.DUMMYFUNCTION("""COMPUTED_VALUE"""),0.0)</f>
        <v>0</v>
      </c>
      <c r="J121" s="4">
        <f>IFERROR(__xludf.DUMMYFUNCTION("""COMPUTED_VALUE"""),15.5)</f>
        <v>15.5</v>
      </c>
      <c r="K121" s="2"/>
      <c r="L121" s="2" t="str">
        <f>IFERROR(__xludf.DUMMYFUNCTION("""COMPUTED_VALUE"""),"Delivered")</f>
        <v>Delivered</v>
      </c>
      <c r="M121" s="2" t="str">
        <f>IFERROR(__xludf.DUMMYFUNCTION("""COMPUTED_VALUE"""),"SR")</f>
        <v>SR</v>
      </c>
      <c r="N121" s="2" t="str">
        <f>IFERROR(__xludf.DUMMYFUNCTION("""COMPUTED_VALUE"""),"Credit, Debit, Apple Pay")</f>
        <v>Credit, Debit, Apple Pay</v>
      </c>
      <c r="O121" s="4">
        <f>IFERROR(__xludf.DUMMYFUNCTION("""COMPUTED_VALUE"""),0.0)</f>
        <v>0</v>
      </c>
      <c r="P121" s="2">
        <f>IFERROR(__xludf.DUMMYFUNCTION("""COMPUTED_VALUE"""),23.0)</f>
        <v>23</v>
      </c>
      <c r="Q121" s="2">
        <f>IFERROR(__xludf.DUMMYFUNCTION("""COMPUTED_VALUE"""),3.0)</f>
        <v>3</v>
      </c>
      <c r="R121" s="2">
        <f>IFERROR(__xludf.DUMMYFUNCTION("""COMPUTED_VALUE"""),2025.0)</f>
        <v>2025</v>
      </c>
      <c r="S121" s="2" t="str">
        <f>IFERROR(__xludf.DUMMYFUNCTION("""COMPUTED_VALUE"""),"Digizag")</f>
        <v>Digizag</v>
      </c>
      <c r="T121" s="2" t="str">
        <f>IFERROR(__xludf.DUMMYFUNCTION("""COMPUTED_VALUE"""),"Digizag")</f>
        <v>Digizag</v>
      </c>
      <c r="U121" s="5">
        <f>IFERROR(__xludf.DUMMYFUNCTION("""COMPUTED_VALUE"""),41.36746757644)</f>
        <v>41.36746758</v>
      </c>
      <c r="V121" s="2"/>
      <c r="W121" s="2"/>
      <c r="X121" s="2"/>
      <c r="Y121" s="2"/>
      <c r="Z121" s="2"/>
    </row>
    <row r="122">
      <c r="A122" s="6">
        <f>IFERROR(__xludf.DUMMYFUNCTION("""COMPUTED_VALUE"""),45739.83546296296)</f>
        <v>45739.83546</v>
      </c>
      <c r="B122" s="2" t="str">
        <f>IFERROR(__xludf.DUMMYFUNCTION("""COMPUTED_VALUE"""),"March")</f>
        <v>March</v>
      </c>
      <c r="C122" s="3">
        <f>IFERROR(__xludf.DUMMYFUNCTION("""COMPUTED_VALUE"""),36508.0)</f>
        <v>36508</v>
      </c>
      <c r="D122" s="2" t="str">
        <f>IFERROR(__xludf.DUMMYFUNCTION("""COMPUTED_VALUE"""),"MNN16")</f>
        <v>MNN16</v>
      </c>
      <c r="E122" s="2" t="str">
        <f>IFERROR(__xludf.DUMMYFUNCTION("""COMPUTED_VALUE"""),"Imported from file DigiZag Codes 25Feb25.xlsx")</f>
        <v>Imported from file DigiZag Codes 25Feb25.xlsx</v>
      </c>
      <c r="F122" s="2" t="str">
        <f>IFERROR(__xludf.DUMMYFUNCTION("""COMPUTED_VALUE"""),"SMJ562549")</f>
        <v>SMJ562549</v>
      </c>
      <c r="G122" s="2" t="str">
        <f>IFERROR(__xludf.DUMMYFUNCTION("""COMPUTED_VALUE"""),"Kuwait")</f>
        <v>Kuwait</v>
      </c>
      <c r="H122" s="4">
        <f>IFERROR(__xludf.DUMMYFUNCTION("""COMPUTED_VALUE"""),22.95)</f>
        <v>22.95</v>
      </c>
      <c r="I122" s="3">
        <f>IFERROR(__xludf.DUMMYFUNCTION("""COMPUTED_VALUE"""),0.0)</f>
        <v>0</v>
      </c>
      <c r="J122" s="4">
        <f>IFERROR(__xludf.DUMMYFUNCTION("""COMPUTED_VALUE"""),2.295)</f>
        <v>2.295</v>
      </c>
      <c r="K122" s="2"/>
      <c r="L122" s="2" t="str">
        <f>IFERROR(__xludf.DUMMYFUNCTION("""COMPUTED_VALUE"""),"Delivered")</f>
        <v>Delivered</v>
      </c>
      <c r="M122" s="2" t="str">
        <f>IFERROR(__xludf.DUMMYFUNCTION("""COMPUTED_VALUE"""),"KD")</f>
        <v>KD</v>
      </c>
      <c r="N122" s="2" t="str">
        <f>IFERROR(__xludf.DUMMYFUNCTION("""COMPUTED_VALUE"""),"Credit, Debit, Knet")</f>
        <v>Credit, Debit, Knet</v>
      </c>
      <c r="O122" s="4">
        <f>IFERROR(__xludf.DUMMYFUNCTION("""COMPUTED_VALUE"""),0.0)</f>
        <v>0</v>
      </c>
      <c r="P122" s="2">
        <f>IFERROR(__xludf.DUMMYFUNCTION("""COMPUTED_VALUE"""),23.0)</f>
        <v>23</v>
      </c>
      <c r="Q122" s="2">
        <f>IFERROR(__xludf.DUMMYFUNCTION("""COMPUTED_VALUE"""),3.0)</f>
        <v>3</v>
      </c>
      <c r="R122" s="2">
        <f>IFERROR(__xludf.DUMMYFUNCTION("""COMPUTED_VALUE"""),2025.0)</f>
        <v>2025</v>
      </c>
      <c r="S122" s="2" t="str">
        <f>IFERROR(__xludf.DUMMYFUNCTION("""COMPUTED_VALUE"""),"Digizag")</f>
        <v>Digizag</v>
      </c>
      <c r="T122" s="2" t="str">
        <f>IFERROR(__xludf.DUMMYFUNCTION("""COMPUTED_VALUE"""),"Digizag")</f>
        <v>Digizag</v>
      </c>
      <c r="U122" s="5">
        <f>IFERROR(__xludf.DUMMYFUNCTION("""COMPUTED_VALUE"""),74.831229)</f>
        <v>74.831229</v>
      </c>
      <c r="V122" s="2"/>
      <c r="W122" s="2"/>
      <c r="X122" s="2"/>
      <c r="Y122" s="2"/>
      <c r="Z122" s="2"/>
    </row>
    <row r="123">
      <c r="A123" s="6">
        <f>IFERROR(__xludf.DUMMYFUNCTION("""COMPUTED_VALUE"""),45739.88484953703)</f>
        <v>45739.88485</v>
      </c>
      <c r="B123" s="2" t="str">
        <f>IFERROR(__xludf.DUMMYFUNCTION("""COMPUTED_VALUE"""),"March")</f>
        <v>March</v>
      </c>
      <c r="C123" s="3">
        <f>IFERROR(__xludf.DUMMYFUNCTION("""COMPUTED_VALUE"""),141661.0)</f>
        <v>141661</v>
      </c>
      <c r="D123" s="2" t="str">
        <f>IFERROR(__xludf.DUMMYFUNCTION("""COMPUTED_VALUE"""),"MNN16")</f>
        <v>MNN16</v>
      </c>
      <c r="E123" s="2" t="str">
        <f>IFERROR(__xludf.DUMMYFUNCTION("""COMPUTED_VALUE"""),"Imported from file DigiZag Codes 25Feb25.xlsx")</f>
        <v>Imported from file DigiZag Codes 25Feb25.xlsx</v>
      </c>
      <c r="F123" s="2" t="str">
        <f>IFERROR(__xludf.DUMMYFUNCTION("""COMPUTED_VALUE"""),"EVL417771")</f>
        <v>EVL417771</v>
      </c>
      <c r="G123" s="2" t="str">
        <f>IFERROR(__xludf.DUMMYFUNCTION("""COMPUTED_VALUE"""),"Kuwait")</f>
        <v>Kuwait</v>
      </c>
      <c r="H123" s="4">
        <f>IFERROR(__xludf.DUMMYFUNCTION("""COMPUTED_VALUE"""),10.45)</f>
        <v>10.45</v>
      </c>
      <c r="I123" s="3">
        <f>IFERROR(__xludf.DUMMYFUNCTION("""COMPUTED_VALUE"""),0.0)</f>
        <v>0</v>
      </c>
      <c r="J123" s="4">
        <f>IFERROR(__xludf.DUMMYFUNCTION("""COMPUTED_VALUE"""),1.045)</f>
        <v>1.045</v>
      </c>
      <c r="K123" s="2"/>
      <c r="L123" s="2" t="str">
        <f>IFERROR(__xludf.DUMMYFUNCTION("""COMPUTED_VALUE"""),"Delivered")</f>
        <v>Delivered</v>
      </c>
      <c r="M123" s="2" t="str">
        <f>IFERROR(__xludf.DUMMYFUNCTION("""COMPUTED_VALUE"""),"KD")</f>
        <v>KD</v>
      </c>
      <c r="N123" s="2" t="str">
        <f>IFERROR(__xludf.DUMMYFUNCTION("""COMPUTED_VALUE"""),"Credit, Debit, Knet")</f>
        <v>Credit, Debit, Knet</v>
      </c>
      <c r="O123" s="4">
        <f>IFERROR(__xludf.DUMMYFUNCTION("""COMPUTED_VALUE"""),0.0)</f>
        <v>0</v>
      </c>
      <c r="P123" s="2">
        <f>IFERROR(__xludf.DUMMYFUNCTION("""COMPUTED_VALUE"""),23.0)</f>
        <v>23</v>
      </c>
      <c r="Q123" s="2">
        <f>IFERROR(__xludf.DUMMYFUNCTION("""COMPUTED_VALUE"""),3.0)</f>
        <v>3</v>
      </c>
      <c r="R123" s="2">
        <f>IFERROR(__xludf.DUMMYFUNCTION("""COMPUTED_VALUE"""),2025.0)</f>
        <v>2025</v>
      </c>
      <c r="S123" s="2" t="str">
        <f>IFERROR(__xludf.DUMMYFUNCTION("""COMPUTED_VALUE"""),"Digizag")</f>
        <v>Digizag</v>
      </c>
      <c r="T123" s="2" t="str">
        <f>IFERROR(__xludf.DUMMYFUNCTION("""COMPUTED_VALUE"""),"Digizag")</f>
        <v>Digizag</v>
      </c>
      <c r="U123" s="5">
        <f>IFERROR(__xludf.DUMMYFUNCTION("""COMPUTED_VALUE"""),34.073479)</f>
        <v>34.073479</v>
      </c>
      <c r="V123" s="2"/>
      <c r="W123" s="2"/>
      <c r="X123" s="2"/>
      <c r="Y123" s="2"/>
      <c r="Z123" s="2"/>
    </row>
    <row r="124">
      <c r="A124" s="6">
        <f>IFERROR(__xludf.DUMMYFUNCTION("""COMPUTED_VALUE"""),45740.04815972222)</f>
        <v>45740.04816</v>
      </c>
      <c r="B124" s="2" t="str">
        <f>IFERROR(__xludf.DUMMYFUNCTION("""COMPUTED_VALUE"""),"March")</f>
        <v>March</v>
      </c>
      <c r="C124" s="3">
        <f>IFERROR(__xludf.DUMMYFUNCTION("""COMPUTED_VALUE"""),708132.0)</f>
        <v>708132</v>
      </c>
      <c r="D124" s="2" t="str">
        <f>IFERROR(__xludf.DUMMYFUNCTION("""COMPUTED_VALUE"""),"MNN16")</f>
        <v>MNN16</v>
      </c>
      <c r="E124" s="2" t="str">
        <f>IFERROR(__xludf.DUMMYFUNCTION("""COMPUTED_VALUE"""),"Imported from file DigiZag Bidding Codes.xlsx")</f>
        <v>Imported from file DigiZag Bidding Codes.xlsx</v>
      </c>
      <c r="F124" s="2" t="str">
        <f>IFERROR(__xludf.DUMMYFUNCTION("""COMPUTED_VALUE"""),"VHX244905")</f>
        <v>VHX244905</v>
      </c>
      <c r="G124" s="2" t="str">
        <f>IFERROR(__xludf.DUMMYFUNCTION("""COMPUTED_VALUE"""),"Kingdom of Saudi Arabia")</f>
        <v>Kingdom of Saudi Arabia</v>
      </c>
      <c r="H124" s="4">
        <f>IFERROR(__xludf.DUMMYFUNCTION("""COMPUTED_VALUE"""),257.21)</f>
        <v>257.21</v>
      </c>
      <c r="I124" s="3">
        <f>IFERROR(__xludf.DUMMYFUNCTION("""COMPUTED_VALUE"""),0.0)</f>
        <v>0</v>
      </c>
      <c r="J124" s="4">
        <f>IFERROR(__xludf.DUMMYFUNCTION("""COMPUTED_VALUE"""),25.72)</f>
        <v>25.72</v>
      </c>
      <c r="K124" s="2"/>
      <c r="L124" s="2" t="str">
        <f>IFERROR(__xludf.DUMMYFUNCTION("""COMPUTED_VALUE"""),"Delivered")</f>
        <v>Delivered</v>
      </c>
      <c r="M124" s="2" t="str">
        <f>IFERROR(__xludf.DUMMYFUNCTION("""COMPUTED_VALUE"""),"SR")</f>
        <v>SR</v>
      </c>
      <c r="N124" s="2" t="str">
        <f>IFERROR(__xludf.DUMMYFUNCTION("""COMPUTED_VALUE"""),"Pay in 4. No interest, no fees")</f>
        <v>Pay in 4. No interest, no fees</v>
      </c>
      <c r="O124" s="4">
        <f>IFERROR(__xludf.DUMMYFUNCTION("""COMPUTED_VALUE"""),0.0)</f>
        <v>0</v>
      </c>
      <c r="P124" s="2">
        <f>IFERROR(__xludf.DUMMYFUNCTION("""COMPUTED_VALUE"""),24.0)</f>
        <v>24</v>
      </c>
      <c r="Q124" s="2">
        <f>IFERROR(__xludf.DUMMYFUNCTION("""COMPUTED_VALUE"""),3.0)</f>
        <v>3</v>
      </c>
      <c r="R124" s="2">
        <f>IFERROR(__xludf.DUMMYFUNCTION("""COMPUTED_VALUE"""),2025.0)</f>
        <v>2025</v>
      </c>
      <c r="S124" s="2" t="str">
        <f>IFERROR(__xludf.DUMMYFUNCTION("""COMPUTED_VALUE"""),"Digizag")</f>
        <v>Digizag</v>
      </c>
      <c r="T124" s="2" t="str">
        <f>IFERROR(__xludf.DUMMYFUNCTION("""COMPUTED_VALUE"""),"Digizag")</f>
        <v>Digizag</v>
      </c>
      <c r="U124" s="5">
        <f>IFERROR(__xludf.DUMMYFUNCTION("""COMPUTED_VALUE"""),68.58402949166)</f>
        <v>68.58402949</v>
      </c>
      <c r="V124" s="2"/>
      <c r="W124" s="2"/>
      <c r="X124" s="2"/>
      <c r="Y124" s="2"/>
      <c r="Z124" s="2"/>
    </row>
    <row r="125">
      <c r="A125" s="6">
        <f>IFERROR(__xludf.DUMMYFUNCTION("""COMPUTED_VALUE"""),45740.149143518516)</f>
        <v>45740.14914</v>
      </c>
      <c r="B125" s="2" t="str">
        <f>IFERROR(__xludf.DUMMYFUNCTION("""COMPUTED_VALUE"""),"March")</f>
        <v>March</v>
      </c>
      <c r="C125" s="3">
        <f>IFERROR(__xludf.DUMMYFUNCTION("""COMPUTED_VALUE"""),111253.0)</f>
        <v>111253</v>
      </c>
      <c r="D125" s="2" t="str">
        <f>IFERROR(__xludf.DUMMYFUNCTION("""COMPUTED_VALUE"""),"NAA10")</f>
        <v>NAA10</v>
      </c>
      <c r="E125" s="2" t="str">
        <f>IFERROR(__xludf.DUMMYFUNCTION("""COMPUTED_VALUE"""),"Imported from file DigiZag Bidding Codes.xlsx")</f>
        <v>Imported from file DigiZag Bidding Codes.xlsx</v>
      </c>
      <c r="F125" s="2" t="str">
        <f>IFERROR(__xludf.DUMMYFUNCTION("""COMPUTED_VALUE"""),"DKW869190")</f>
        <v>DKW869190</v>
      </c>
      <c r="G125" s="2" t="str">
        <f>IFERROR(__xludf.DUMMYFUNCTION("""COMPUTED_VALUE"""),"Kingdom of Saudi Arabia")</f>
        <v>Kingdom of Saudi Arabia</v>
      </c>
      <c r="H125" s="4">
        <f>IFERROR(__xludf.DUMMYFUNCTION("""COMPUTED_VALUE"""),691.3)</f>
        <v>691.3</v>
      </c>
      <c r="I125" s="3">
        <f>IFERROR(__xludf.DUMMYFUNCTION("""COMPUTED_VALUE"""),0.0)</f>
        <v>0</v>
      </c>
      <c r="J125" s="4">
        <f>IFERROR(__xludf.DUMMYFUNCTION("""COMPUTED_VALUE"""),69.1)</f>
        <v>69.1</v>
      </c>
      <c r="K125" s="2"/>
      <c r="L125" s="2" t="str">
        <f>IFERROR(__xludf.DUMMYFUNCTION("""COMPUTED_VALUE"""),"Delivered")</f>
        <v>Delivered</v>
      </c>
      <c r="M125" s="2" t="str">
        <f>IFERROR(__xludf.DUMMYFUNCTION("""COMPUTED_VALUE"""),"SR")</f>
        <v>SR</v>
      </c>
      <c r="N125" s="2" t="str">
        <f>IFERROR(__xludf.DUMMYFUNCTION("""COMPUTED_VALUE"""),"Credit, Debit, Apple Pay")</f>
        <v>Credit, Debit, Apple Pay</v>
      </c>
      <c r="O125" s="4">
        <f>IFERROR(__xludf.DUMMYFUNCTION("""COMPUTED_VALUE"""),0.0)</f>
        <v>0</v>
      </c>
      <c r="P125" s="2">
        <f>IFERROR(__xludf.DUMMYFUNCTION("""COMPUTED_VALUE"""),24.0)</f>
        <v>24</v>
      </c>
      <c r="Q125" s="2">
        <f>IFERROR(__xludf.DUMMYFUNCTION("""COMPUTED_VALUE"""),3.0)</f>
        <v>3</v>
      </c>
      <c r="R125" s="2">
        <f>IFERROR(__xludf.DUMMYFUNCTION("""COMPUTED_VALUE"""),2025.0)</f>
        <v>2025</v>
      </c>
      <c r="S125" s="2" t="str">
        <f>IFERROR(__xludf.DUMMYFUNCTION("""COMPUTED_VALUE"""),"Digizag")</f>
        <v>Digizag</v>
      </c>
      <c r="T125" s="2" t="str">
        <f>IFERROR(__xludf.DUMMYFUNCTION("""COMPUTED_VALUE"""),"Digizag")</f>
        <v>Digizag</v>
      </c>
      <c r="U125" s="5">
        <f>IFERROR(__xludf.DUMMYFUNCTION("""COMPUTED_VALUE"""),184.3324115998)</f>
        <v>184.3324116</v>
      </c>
      <c r="V125" s="2"/>
      <c r="W125" s="2"/>
      <c r="X125" s="2"/>
      <c r="Y125" s="2"/>
      <c r="Z125" s="2"/>
    </row>
    <row r="126">
      <c r="A126" s="6">
        <f>IFERROR(__xludf.DUMMYFUNCTION("""COMPUTED_VALUE"""),45740.21947916666)</f>
        <v>45740.21948</v>
      </c>
      <c r="B126" s="2" t="str">
        <f>IFERROR(__xludf.DUMMYFUNCTION("""COMPUTED_VALUE"""),"March")</f>
        <v>March</v>
      </c>
      <c r="C126" s="3">
        <f>IFERROR(__xludf.DUMMYFUNCTION("""COMPUTED_VALUE"""),150252.0)</f>
        <v>150252</v>
      </c>
      <c r="D126" s="2" t="str">
        <f>IFERROR(__xludf.DUMMYFUNCTION("""COMPUTED_VALUE"""),"BITS")</f>
        <v>BITS</v>
      </c>
      <c r="E126" s="2" t="str">
        <f>IFERROR(__xludf.DUMMYFUNCTION("""COMPUTED_VALUE"""),"Imported from file DigiZag Codes 25Feb25.xlsx")</f>
        <v>Imported from file DigiZag Codes 25Feb25.xlsx</v>
      </c>
      <c r="F126" s="2" t="str">
        <f>IFERROR(__xludf.DUMMYFUNCTION("""COMPUTED_VALUE"""),"CAN208583")</f>
        <v>CAN208583</v>
      </c>
      <c r="G126" s="2" t="str">
        <f>IFERROR(__xludf.DUMMYFUNCTION("""COMPUTED_VALUE"""),"UAE")</f>
        <v>UAE</v>
      </c>
      <c r="H126" s="4">
        <f>IFERROR(__xludf.DUMMYFUNCTION("""COMPUTED_VALUE"""),117.71)</f>
        <v>117.71</v>
      </c>
      <c r="I126" s="3">
        <f>IFERROR(__xludf.DUMMYFUNCTION("""COMPUTED_VALUE"""),0.0)</f>
        <v>0</v>
      </c>
      <c r="J126" s="4">
        <f>IFERROR(__xludf.DUMMYFUNCTION("""COMPUTED_VALUE"""),11.77)</f>
        <v>11.77</v>
      </c>
      <c r="K126" s="2"/>
      <c r="L126" s="2" t="str">
        <f>IFERROR(__xludf.DUMMYFUNCTION("""COMPUTED_VALUE"""),"Delivered")</f>
        <v>Delivered</v>
      </c>
      <c r="M126" s="2" t="str">
        <f>IFERROR(__xludf.DUMMYFUNCTION("""COMPUTED_VALUE"""),"AED")</f>
        <v>AED</v>
      </c>
      <c r="N126" s="2" t="str">
        <f>IFERROR(__xludf.DUMMYFUNCTION("""COMPUTED_VALUE"""),"Credit, Debit , Apple Pay")</f>
        <v>Credit, Debit , Apple Pay</v>
      </c>
      <c r="O126" s="4">
        <f>IFERROR(__xludf.DUMMYFUNCTION("""COMPUTED_VALUE"""),0.0)</f>
        <v>0</v>
      </c>
      <c r="P126" s="2">
        <f>IFERROR(__xludf.DUMMYFUNCTION("""COMPUTED_VALUE"""),24.0)</f>
        <v>24</v>
      </c>
      <c r="Q126" s="2">
        <f>IFERROR(__xludf.DUMMYFUNCTION("""COMPUTED_VALUE"""),3.0)</f>
        <v>3</v>
      </c>
      <c r="R126" s="2">
        <f>IFERROR(__xludf.DUMMYFUNCTION("""COMPUTED_VALUE"""),2025.0)</f>
        <v>2025</v>
      </c>
      <c r="S126" s="2" t="str">
        <f>IFERROR(__xludf.DUMMYFUNCTION("""COMPUTED_VALUE"""),"Digizag")</f>
        <v>Digizag</v>
      </c>
      <c r="T126" s="2" t="str">
        <f>IFERROR(__xludf.DUMMYFUNCTION("""COMPUTED_VALUE"""),"Digizag")</f>
        <v>Digizag</v>
      </c>
      <c r="U126" s="5">
        <f>IFERROR(__xludf.DUMMYFUNCTION("""COMPUTED_VALUE"""),32.05173592138)</f>
        <v>32.05173592</v>
      </c>
      <c r="V126" s="2"/>
      <c r="W126" s="2"/>
      <c r="X126" s="2"/>
      <c r="Y126" s="2"/>
      <c r="Z126" s="2"/>
    </row>
    <row r="127">
      <c r="A127" s="6">
        <f>IFERROR(__xludf.DUMMYFUNCTION("""COMPUTED_VALUE"""),45740.37300925926)</f>
        <v>45740.37301</v>
      </c>
      <c r="B127" s="2" t="str">
        <f>IFERROR(__xludf.DUMMYFUNCTION("""COMPUTED_VALUE"""),"March")</f>
        <v>March</v>
      </c>
      <c r="C127" s="3">
        <f>IFERROR(__xludf.DUMMYFUNCTION("""COMPUTED_VALUE"""),435634.0)</f>
        <v>435634</v>
      </c>
      <c r="D127" s="2" t="str">
        <f>IFERROR(__xludf.DUMMYFUNCTION("""COMPUTED_VALUE"""),"MNN16")</f>
        <v>MNN16</v>
      </c>
      <c r="E127" s="2" t="str">
        <f>IFERROR(__xludf.DUMMYFUNCTION("""COMPUTED_VALUE"""),"Imported from file DigiZag Codes 25Feb25.xlsx")</f>
        <v>Imported from file DigiZag Codes 25Feb25.xlsx</v>
      </c>
      <c r="F127" s="2" t="str">
        <f>IFERROR(__xludf.DUMMYFUNCTION("""COMPUTED_VALUE"""),"GLZ183726")</f>
        <v>GLZ183726</v>
      </c>
      <c r="G127" s="2" t="str">
        <f>IFERROR(__xludf.DUMMYFUNCTION("""COMPUTED_VALUE"""),"Kuwait")</f>
        <v>Kuwait</v>
      </c>
      <c r="H127" s="4">
        <f>IFERROR(__xludf.DUMMYFUNCTION("""COMPUTED_VALUE"""),61.4)</f>
        <v>61.4</v>
      </c>
      <c r="I127" s="3">
        <f>IFERROR(__xludf.DUMMYFUNCTION("""COMPUTED_VALUE"""),0.0)</f>
        <v>0</v>
      </c>
      <c r="J127" s="4">
        <f>IFERROR(__xludf.DUMMYFUNCTION("""COMPUTED_VALUE"""),6.14)</f>
        <v>6.14</v>
      </c>
      <c r="K127" s="2"/>
      <c r="L127" s="2" t="str">
        <f>IFERROR(__xludf.DUMMYFUNCTION("""COMPUTED_VALUE"""),"Delivered")</f>
        <v>Delivered</v>
      </c>
      <c r="M127" s="2" t="str">
        <f>IFERROR(__xludf.DUMMYFUNCTION("""COMPUTED_VALUE"""),"KD")</f>
        <v>KD</v>
      </c>
      <c r="N127" s="2" t="str">
        <f>IFERROR(__xludf.DUMMYFUNCTION("""COMPUTED_VALUE"""),"Credit, Debit, Knet")</f>
        <v>Credit, Debit, Knet</v>
      </c>
      <c r="O127" s="4">
        <f>IFERROR(__xludf.DUMMYFUNCTION("""COMPUTED_VALUE"""),0.0)</f>
        <v>0</v>
      </c>
      <c r="P127" s="2">
        <f>IFERROR(__xludf.DUMMYFUNCTION("""COMPUTED_VALUE"""),24.0)</f>
        <v>24</v>
      </c>
      <c r="Q127" s="2">
        <f>IFERROR(__xludf.DUMMYFUNCTION("""COMPUTED_VALUE"""),3.0)</f>
        <v>3</v>
      </c>
      <c r="R127" s="2">
        <f>IFERROR(__xludf.DUMMYFUNCTION("""COMPUTED_VALUE"""),2025.0)</f>
        <v>2025</v>
      </c>
      <c r="S127" s="2" t="str">
        <f>IFERROR(__xludf.DUMMYFUNCTION("""COMPUTED_VALUE"""),"Digizag")</f>
        <v>Digizag</v>
      </c>
      <c r="T127" s="2" t="str">
        <f>IFERROR(__xludf.DUMMYFUNCTION("""COMPUTED_VALUE"""),"Digizag")</f>
        <v>Digizag</v>
      </c>
      <c r="U127" s="5">
        <f>IFERROR(__xludf.DUMMYFUNCTION("""COMPUTED_VALUE"""),200.202068)</f>
        <v>200.202068</v>
      </c>
      <c r="V127" s="2"/>
      <c r="W127" s="2"/>
      <c r="X127" s="2"/>
      <c r="Y127" s="2"/>
      <c r="Z127" s="2"/>
    </row>
    <row r="128">
      <c r="A128" s="6">
        <f>IFERROR(__xludf.DUMMYFUNCTION("""COMPUTED_VALUE"""),45740.54091435185)</f>
        <v>45740.54091</v>
      </c>
      <c r="B128" s="2" t="str">
        <f>IFERROR(__xludf.DUMMYFUNCTION("""COMPUTED_VALUE"""),"March")</f>
        <v>March</v>
      </c>
      <c r="C128" s="3">
        <f>IFERROR(__xludf.DUMMYFUNCTION("""COMPUTED_VALUE"""),661599.0)</f>
        <v>661599</v>
      </c>
      <c r="D128" s="2" t="str">
        <f>IFERROR(__xludf.DUMMYFUNCTION("""COMPUTED_VALUE"""),"MNN16")</f>
        <v>MNN16</v>
      </c>
      <c r="E128" s="2" t="str">
        <f>IFERROR(__xludf.DUMMYFUNCTION("""COMPUTED_VALUE"""),"Imported from file DigiZag Codes 25Feb25.xlsx")</f>
        <v>Imported from file DigiZag Codes 25Feb25.xlsx</v>
      </c>
      <c r="F128" s="2" t="str">
        <f>IFERROR(__xludf.DUMMYFUNCTION("""COMPUTED_VALUE"""),"LJR133711")</f>
        <v>LJR133711</v>
      </c>
      <c r="G128" s="2" t="str">
        <f>IFERROR(__xludf.DUMMYFUNCTION("""COMPUTED_VALUE"""),"UAE")</f>
        <v>UAE</v>
      </c>
      <c r="H128" s="4">
        <f>IFERROR(__xludf.DUMMYFUNCTION("""COMPUTED_VALUE"""),168.0)</f>
        <v>168</v>
      </c>
      <c r="I128" s="3">
        <f>IFERROR(__xludf.DUMMYFUNCTION("""COMPUTED_VALUE"""),0.0)</f>
        <v>0</v>
      </c>
      <c r="J128" s="4">
        <f>IFERROR(__xludf.DUMMYFUNCTION("""COMPUTED_VALUE"""),16.8)</f>
        <v>16.8</v>
      </c>
      <c r="K128" s="2"/>
      <c r="L128" s="2" t="str">
        <f>IFERROR(__xludf.DUMMYFUNCTION("""COMPUTED_VALUE"""),"Delivered")</f>
        <v>Delivered</v>
      </c>
      <c r="M128" s="2" t="str">
        <f>IFERROR(__xludf.DUMMYFUNCTION("""COMPUTED_VALUE"""),"AED")</f>
        <v>AED</v>
      </c>
      <c r="N128" s="2" t="str">
        <f>IFERROR(__xludf.DUMMYFUNCTION("""COMPUTED_VALUE"""),"Tamara: split in 3, interest-free")</f>
        <v>Tamara: split in 3, interest-free</v>
      </c>
      <c r="O128" s="4">
        <f>IFERROR(__xludf.DUMMYFUNCTION("""COMPUTED_VALUE"""),0.0)</f>
        <v>0</v>
      </c>
      <c r="P128" s="2">
        <f>IFERROR(__xludf.DUMMYFUNCTION("""COMPUTED_VALUE"""),24.0)</f>
        <v>24</v>
      </c>
      <c r="Q128" s="2">
        <f>IFERROR(__xludf.DUMMYFUNCTION("""COMPUTED_VALUE"""),3.0)</f>
        <v>3</v>
      </c>
      <c r="R128" s="2">
        <f>IFERROR(__xludf.DUMMYFUNCTION("""COMPUTED_VALUE"""),2025.0)</f>
        <v>2025</v>
      </c>
      <c r="S128" s="2" t="str">
        <f>IFERROR(__xludf.DUMMYFUNCTION("""COMPUTED_VALUE"""),"Digizag")</f>
        <v>Digizag</v>
      </c>
      <c r="T128" s="2" t="str">
        <f>IFERROR(__xludf.DUMMYFUNCTION("""COMPUTED_VALUE"""),"Digizag")</f>
        <v>Digizag</v>
      </c>
      <c r="U128" s="5">
        <f>IFERROR(__xludf.DUMMYFUNCTION("""COMPUTED_VALUE"""),45.745405104)</f>
        <v>45.7454051</v>
      </c>
      <c r="V128" s="2"/>
      <c r="W128" s="2"/>
      <c r="X128" s="2"/>
      <c r="Y128" s="2"/>
      <c r="Z128" s="2"/>
    </row>
    <row r="129">
      <c r="A129" s="6">
        <f>IFERROR(__xludf.DUMMYFUNCTION("""COMPUTED_VALUE"""),45740.59045138889)</f>
        <v>45740.59045</v>
      </c>
      <c r="B129" s="2" t="str">
        <f>IFERROR(__xludf.DUMMYFUNCTION("""COMPUTED_VALUE"""),"March")</f>
        <v>March</v>
      </c>
      <c r="C129" s="3">
        <f>IFERROR(__xludf.DUMMYFUNCTION("""COMPUTED_VALUE"""),708866.0)</f>
        <v>708866</v>
      </c>
      <c r="D129" s="2" t="str">
        <f>IFERROR(__xludf.DUMMYFUNCTION("""COMPUTED_VALUE"""),"MNN16")</f>
        <v>MNN16</v>
      </c>
      <c r="E129" s="2" t="str">
        <f>IFERROR(__xludf.DUMMYFUNCTION("""COMPUTED_VALUE"""),"Imported from file DigiZag Bidding Codes.xlsx")</f>
        <v>Imported from file DigiZag Bidding Codes.xlsx</v>
      </c>
      <c r="F129" s="2" t="str">
        <f>IFERROR(__xludf.DUMMYFUNCTION("""COMPUTED_VALUE"""),"YYS266621")</f>
        <v>YYS266621</v>
      </c>
      <c r="G129" s="2" t="str">
        <f>IFERROR(__xludf.DUMMYFUNCTION("""COMPUTED_VALUE"""),"Kingdom of Saudi Arabia")</f>
        <v>Kingdom of Saudi Arabia</v>
      </c>
      <c r="H129" s="4">
        <f>IFERROR(__xludf.DUMMYFUNCTION("""COMPUTED_VALUE"""),660.0)</f>
        <v>660</v>
      </c>
      <c r="I129" s="3">
        <f>IFERROR(__xludf.DUMMYFUNCTION("""COMPUTED_VALUE"""),0.0)</f>
        <v>0</v>
      </c>
      <c r="J129" s="4">
        <f>IFERROR(__xludf.DUMMYFUNCTION("""COMPUTED_VALUE"""),66.0)</f>
        <v>66</v>
      </c>
      <c r="K129" s="2"/>
      <c r="L129" s="2" t="str">
        <f>IFERROR(__xludf.DUMMYFUNCTION("""COMPUTED_VALUE"""),"Delivered")</f>
        <v>Delivered</v>
      </c>
      <c r="M129" s="2" t="str">
        <f>IFERROR(__xludf.DUMMYFUNCTION("""COMPUTED_VALUE"""),"SR")</f>
        <v>SR</v>
      </c>
      <c r="N129" s="2" t="str">
        <f>IFERROR(__xludf.DUMMYFUNCTION("""COMPUTED_VALUE"""),"Credit, Debit, Apple Pay")</f>
        <v>Credit, Debit, Apple Pay</v>
      </c>
      <c r="O129" s="4">
        <f>IFERROR(__xludf.DUMMYFUNCTION("""COMPUTED_VALUE"""),0.0)</f>
        <v>0</v>
      </c>
      <c r="P129" s="2">
        <f>IFERROR(__xludf.DUMMYFUNCTION("""COMPUTED_VALUE"""),24.0)</f>
        <v>24</v>
      </c>
      <c r="Q129" s="2">
        <f>IFERROR(__xludf.DUMMYFUNCTION("""COMPUTED_VALUE"""),3.0)</f>
        <v>3</v>
      </c>
      <c r="R129" s="2">
        <f>IFERROR(__xludf.DUMMYFUNCTION("""COMPUTED_VALUE"""),2025.0)</f>
        <v>2025</v>
      </c>
      <c r="S129" s="2" t="str">
        <f>IFERROR(__xludf.DUMMYFUNCTION("""COMPUTED_VALUE"""),"Digizag")</f>
        <v>Digizag</v>
      </c>
      <c r="T129" s="2" t="str">
        <f>IFERROR(__xludf.DUMMYFUNCTION("""COMPUTED_VALUE"""),"Digizag")</f>
        <v>Digizag</v>
      </c>
      <c r="U129" s="5">
        <f>IFERROR(__xludf.DUMMYFUNCTION("""COMPUTED_VALUE"""),175.98639036000003)</f>
        <v>175.9863904</v>
      </c>
      <c r="V129" s="2"/>
      <c r="W129" s="2"/>
      <c r="X129" s="2"/>
      <c r="Y129" s="2"/>
      <c r="Z129" s="2"/>
    </row>
    <row r="130">
      <c r="A130" s="6">
        <f>IFERROR(__xludf.DUMMYFUNCTION("""COMPUTED_VALUE"""),45740.60011574074)</f>
        <v>45740.60012</v>
      </c>
      <c r="B130" s="2" t="str">
        <f>IFERROR(__xludf.DUMMYFUNCTION("""COMPUTED_VALUE"""),"March")</f>
        <v>March</v>
      </c>
      <c r="C130" s="3">
        <f>IFERROR(__xludf.DUMMYFUNCTION("""COMPUTED_VALUE"""),505613.0)</f>
        <v>505613</v>
      </c>
      <c r="D130" s="2" t="str">
        <f>IFERROR(__xludf.DUMMYFUNCTION("""COMPUTED_VALUE"""),"MIMI44")</f>
        <v>MIMI44</v>
      </c>
      <c r="E130" s="2" t="str">
        <f>IFERROR(__xludf.DUMMYFUNCTION("""COMPUTED_VALUE"""),"Imported from file DigiZag Codes 25Feb25.xlsx")</f>
        <v>Imported from file DigiZag Codes 25Feb25.xlsx</v>
      </c>
      <c r="F130" s="2" t="str">
        <f>IFERROR(__xludf.DUMMYFUNCTION("""COMPUTED_VALUE"""),"WZP578584")</f>
        <v>WZP578584</v>
      </c>
      <c r="G130" s="2" t="str">
        <f>IFERROR(__xludf.DUMMYFUNCTION("""COMPUTED_VALUE"""),"Kuwait")</f>
        <v>Kuwait</v>
      </c>
      <c r="H130" s="4">
        <f>IFERROR(__xludf.DUMMYFUNCTION("""COMPUTED_VALUE"""),6.88)</f>
        <v>6.88</v>
      </c>
      <c r="I130" s="3">
        <f>IFERROR(__xludf.DUMMYFUNCTION("""COMPUTED_VALUE"""),0.0)</f>
        <v>0</v>
      </c>
      <c r="J130" s="4">
        <f>IFERROR(__xludf.DUMMYFUNCTION("""COMPUTED_VALUE"""),0.688)</f>
        <v>0.688</v>
      </c>
      <c r="K130" s="2"/>
      <c r="L130" s="2" t="str">
        <f>IFERROR(__xludf.DUMMYFUNCTION("""COMPUTED_VALUE"""),"Delivered")</f>
        <v>Delivered</v>
      </c>
      <c r="M130" s="2" t="str">
        <f>IFERROR(__xludf.DUMMYFUNCTION("""COMPUTED_VALUE"""),"KD")</f>
        <v>KD</v>
      </c>
      <c r="N130" s="2" t="str">
        <f>IFERROR(__xludf.DUMMYFUNCTION("""COMPUTED_VALUE"""),"Credit, Debit, Knet")</f>
        <v>Credit, Debit, Knet</v>
      </c>
      <c r="O130" s="4">
        <f>IFERROR(__xludf.DUMMYFUNCTION("""COMPUTED_VALUE"""),0.0)</f>
        <v>0</v>
      </c>
      <c r="P130" s="2">
        <f>IFERROR(__xludf.DUMMYFUNCTION("""COMPUTED_VALUE"""),24.0)</f>
        <v>24</v>
      </c>
      <c r="Q130" s="2">
        <f>IFERROR(__xludf.DUMMYFUNCTION("""COMPUTED_VALUE"""),3.0)</f>
        <v>3</v>
      </c>
      <c r="R130" s="2">
        <f>IFERROR(__xludf.DUMMYFUNCTION("""COMPUTED_VALUE"""),2025.0)</f>
        <v>2025</v>
      </c>
      <c r="S130" s="2" t="str">
        <f>IFERROR(__xludf.DUMMYFUNCTION("""COMPUTED_VALUE"""),"Digizag")</f>
        <v>Digizag</v>
      </c>
      <c r="T130" s="2" t="str">
        <f>IFERROR(__xludf.DUMMYFUNCTION("""COMPUTED_VALUE"""),"Digizag")</f>
        <v>Digizag</v>
      </c>
      <c r="U130" s="5">
        <f>IFERROR(__xludf.DUMMYFUNCTION("""COMPUTED_VALUE"""),22.4330656)</f>
        <v>22.4330656</v>
      </c>
      <c r="V130" s="2"/>
      <c r="W130" s="2"/>
      <c r="X130" s="2"/>
      <c r="Y130" s="2"/>
      <c r="Z130" s="2"/>
    </row>
    <row r="131">
      <c r="A131" s="6">
        <f>IFERROR(__xludf.DUMMYFUNCTION("""COMPUTED_VALUE"""),45740.66819444444)</f>
        <v>45740.66819</v>
      </c>
      <c r="B131" s="2" t="str">
        <f>IFERROR(__xludf.DUMMYFUNCTION("""COMPUTED_VALUE"""),"March")</f>
        <v>March</v>
      </c>
      <c r="C131" s="3">
        <f>IFERROR(__xludf.DUMMYFUNCTION("""COMPUTED_VALUE"""),66018.0)</f>
        <v>66018</v>
      </c>
      <c r="D131" s="2" t="str">
        <f>IFERROR(__xludf.DUMMYFUNCTION("""COMPUTED_VALUE"""),"MIMI44")</f>
        <v>MIMI44</v>
      </c>
      <c r="E131" s="2" t="str">
        <f>IFERROR(__xludf.DUMMYFUNCTION("""COMPUTED_VALUE"""),"Imported from file DigiZag Codes 25Feb25.xlsx")</f>
        <v>Imported from file DigiZag Codes 25Feb25.xlsx</v>
      </c>
      <c r="F131" s="2" t="str">
        <f>IFERROR(__xludf.DUMMYFUNCTION("""COMPUTED_VALUE"""),"TRS656412")</f>
        <v>TRS656412</v>
      </c>
      <c r="G131" s="2" t="str">
        <f>IFERROR(__xludf.DUMMYFUNCTION("""COMPUTED_VALUE"""),"Kuwait")</f>
        <v>Kuwait</v>
      </c>
      <c r="H131" s="4">
        <f>IFERROR(__xludf.DUMMYFUNCTION("""COMPUTED_VALUE"""),5.9)</f>
        <v>5.9</v>
      </c>
      <c r="I131" s="3">
        <f>IFERROR(__xludf.DUMMYFUNCTION("""COMPUTED_VALUE"""),0.0)</f>
        <v>0</v>
      </c>
      <c r="J131" s="4">
        <f>IFERROR(__xludf.DUMMYFUNCTION("""COMPUTED_VALUE"""),0.59)</f>
        <v>0.59</v>
      </c>
      <c r="K131" s="2"/>
      <c r="L131" s="2" t="str">
        <f>IFERROR(__xludf.DUMMYFUNCTION("""COMPUTED_VALUE"""),"Delivered")</f>
        <v>Delivered</v>
      </c>
      <c r="M131" s="2" t="str">
        <f>IFERROR(__xludf.DUMMYFUNCTION("""COMPUTED_VALUE"""),"KD")</f>
        <v>KD</v>
      </c>
      <c r="N131" s="2" t="str">
        <f>IFERROR(__xludf.DUMMYFUNCTION("""COMPUTED_VALUE"""),"Credit, Debit, Knet")</f>
        <v>Credit, Debit, Knet</v>
      </c>
      <c r="O131" s="4">
        <f>IFERROR(__xludf.DUMMYFUNCTION("""COMPUTED_VALUE"""),0.0)</f>
        <v>0</v>
      </c>
      <c r="P131" s="2">
        <f>IFERROR(__xludf.DUMMYFUNCTION("""COMPUTED_VALUE"""),24.0)</f>
        <v>24</v>
      </c>
      <c r="Q131" s="2">
        <f>IFERROR(__xludf.DUMMYFUNCTION("""COMPUTED_VALUE"""),3.0)</f>
        <v>3</v>
      </c>
      <c r="R131" s="2">
        <f>IFERROR(__xludf.DUMMYFUNCTION("""COMPUTED_VALUE"""),2025.0)</f>
        <v>2025</v>
      </c>
      <c r="S131" s="2" t="str">
        <f>IFERROR(__xludf.DUMMYFUNCTION("""COMPUTED_VALUE"""),"Digizag")</f>
        <v>Digizag</v>
      </c>
      <c r="T131" s="2" t="str">
        <f>IFERROR(__xludf.DUMMYFUNCTION("""COMPUTED_VALUE"""),"Digizag")</f>
        <v>Digizag</v>
      </c>
      <c r="U131" s="5">
        <f>IFERROR(__xludf.DUMMYFUNCTION("""COMPUTED_VALUE"""),19.237658)</f>
        <v>19.237658</v>
      </c>
      <c r="V131" s="2"/>
      <c r="W131" s="2"/>
      <c r="X131" s="2"/>
      <c r="Y131" s="2"/>
      <c r="Z131" s="2"/>
    </row>
    <row r="132">
      <c r="A132" s="6">
        <f>IFERROR(__xludf.DUMMYFUNCTION("""COMPUTED_VALUE"""),45740.69447916667)</f>
        <v>45740.69448</v>
      </c>
      <c r="B132" s="2" t="str">
        <f>IFERROR(__xludf.DUMMYFUNCTION("""COMPUTED_VALUE"""),"March")</f>
        <v>March</v>
      </c>
      <c r="C132" s="3">
        <f>IFERROR(__xludf.DUMMYFUNCTION("""COMPUTED_VALUE"""),708963.0)</f>
        <v>708963</v>
      </c>
      <c r="D132" s="2" t="str">
        <f>IFERROR(__xludf.DUMMYFUNCTION("""COMPUTED_VALUE"""),"MNN16")</f>
        <v>MNN16</v>
      </c>
      <c r="E132" s="2" t="str">
        <f>IFERROR(__xludf.DUMMYFUNCTION("""COMPUTED_VALUE"""),"Imported from file DigiZag Bidding Codes.xlsx")</f>
        <v>Imported from file DigiZag Bidding Codes.xlsx</v>
      </c>
      <c r="F132" s="2" t="str">
        <f>IFERROR(__xludf.DUMMYFUNCTION("""COMPUTED_VALUE"""),"SHJ931891")</f>
        <v>SHJ931891</v>
      </c>
      <c r="G132" s="2" t="str">
        <f>IFERROR(__xludf.DUMMYFUNCTION("""COMPUTED_VALUE"""),"Kingdom of Saudi Arabia")</f>
        <v>Kingdom of Saudi Arabia</v>
      </c>
      <c r="H132" s="4">
        <f>IFERROR(__xludf.DUMMYFUNCTION("""COMPUTED_VALUE"""),219.0)</f>
        <v>219</v>
      </c>
      <c r="I132" s="3">
        <f>IFERROR(__xludf.DUMMYFUNCTION("""COMPUTED_VALUE"""),0.0)</f>
        <v>0</v>
      </c>
      <c r="J132" s="4">
        <f>IFERROR(__xludf.DUMMYFUNCTION("""COMPUTED_VALUE"""),21.9)</f>
        <v>21.9</v>
      </c>
      <c r="K132" s="2"/>
      <c r="L132" s="2" t="str">
        <f>IFERROR(__xludf.DUMMYFUNCTION("""COMPUTED_VALUE"""),"Delivered")</f>
        <v>Delivered</v>
      </c>
      <c r="M132" s="2" t="str">
        <f>IFERROR(__xludf.DUMMYFUNCTION("""COMPUTED_VALUE"""),"SR")</f>
        <v>SR</v>
      </c>
      <c r="N132" s="2" t="str">
        <f>IFERROR(__xludf.DUMMYFUNCTION("""COMPUTED_VALUE"""),"Credit, Debit, Apple Pay")</f>
        <v>Credit, Debit, Apple Pay</v>
      </c>
      <c r="O132" s="4">
        <f>IFERROR(__xludf.DUMMYFUNCTION("""COMPUTED_VALUE"""),0.0)</f>
        <v>0</v>
      </c>
      <c r="P132" s="2">
        <f>IFERROR(__xludf.DUMMYFUNCTION("""COMPUTED_VALUE"""),24.0)</f>
        <v>24</v>
      </c>
      <c r="Q132" s="2">
        <f>IFERROR(__xludf.DUMMYFUNCTION("""COMPUTED_VALUE"""),3.0)</f>
        <v>3</v>
      </c>
      <c r="R132" s="2">
        <f>IFERROR(__xludf.DUMMYFUNCTION("""COMPUTED_VALUE"""),2025.0)</f>
        <v>2025</v>
      </c>
      <c r="S132" s="2" t="str">
        <f>IFERROR(__xludf.DUMMYFUNCTION("""COMPUTED_VALUE"""),"Digizag")</f>
        <v>Digizag</v>
      </c>
      <c r="T132" s="2" t="str">
        <f>IFERROR(__xludf.DUMMYFUNCTION("""COMPUTED_VALUE"""),"Digizag")</f>
        <v>Digizag</v>
      </c>
      <c r="U132" s="5">
        <f>IFERROR(__xludf.DUMMYFUNCTION("""COMPUTED_VALUE"""),58.395484074)</f>
        <v>58.39548407</v>
      </c>
      <c r="V132" s="2"/>
      <c r="W132" s="2"/>
      <c r="X132" s="2"/>
      <c r="Y132" s="2"/>
      <c r="Z132" s="2"/>
    </row>
    <row r="133">
      <c r="A133" s="6">
        <f>IFERROR(__xludf.DUMMYFUNCTION("""COMPUTED_VALUE"""),45740.85834490741)</f>
        <v>45740.85834</v>
      </c>
      <c r="B133" s="2" t="str">
        <f>IFERROR(__xludf.DUMMYFUNCTION("""COMPUTED_VALUE"""),"March")</f>
        <v>March</v>
      </c>
      <c r="C133" s="3">
        <f>IFERROR(__xludf.DUMMYFUNCTION("""COMPUTED_VALUE"""),570592.0)</f>
        <v>570592</v>
      </c>
      <c r="D133" s="2" t="str">
        <f>IFERROR(__xludf.DUMMYFUNCTION("""COMPUTED_VALUE"""),"MNN16")</f>
        <v>MNN16</v>
      </c>
      <c r="E133" s="2" t="str">
        <f>IFERROR(__xludf.DUMMYFUNCTION("""COMPUTED_VALUE"""),"Imported from file DigiZag Bidding Codes.xlsx")</f>
        <v>Imported from file DigiZag Bidding Codes.xlsx</v>
      </c>
      <c r="F133" s="2" t="str">
        <f>IFERROR(__xludf.DUMMYFUNCTION("""COMPUTED_VALUE"""),"QEW219137")</f>
        <v>QEW219137</v>
      </c>
      <c r="G133" s="2" t="str">
        <f>IFERROR(__xludf.DUMMYFUNCTION("""COMPUTED_VALUE"""),"Kingdom of Saudi Arabia")</f>
        <v>Kingdom of Saudi Arabia</v>
      </c>
      <c r="H133" s="4">
        <f>IFERROR(__xludf.DUMMYFUNCTION("""COMPUTED_VALUE"""),199.0)</f>
        <v>199</v>
      </c>
      <c r="I133" s="3">
        <f>IFERROR(__xludf.DUMMYFUNCTION("""COMPUTED_VALUE"""),0.0)</f>
        <v>0</v>
      </c>
      <c r="J133" s="4">
        <f>IFERROR(__xludf.DUMMYFUNCTION("""COMPUTED_VALUE"""),19.9)</f>
        <v>19.9</v>
      </c>
      <c r="K133" s="2"/>
      <c r="L133" s="2" t="str">
        <f>IFERROR(__xludf.DUMMYFUNCTION("""COMPUTED_VALUE"""),"Delivered")</f>
        <v>Delivered</v>
      </c>
      <c r="M133" s="2" t="str">
        <f>IFERROR(__xludf.DUMMYFUNCTION("""COMPUTED_VALUE"""),"SR")</f>
        <v>SR</v>
      </c>
      <c r="N133" s="2" t="str">
        <f>IFERROR(__xludf.DUMMYFUNCTION("""COMPUTED_VALUE"""),"Credit, Debit, Apple Pay")</f>
        <v>Credit, Debit, Apple Pay</v>
      </c>
      <c r="O133" s="4">
        <f>IFERROR(__xludf.DUMMYFUNCTION("""COMPUTED_VALUE"""),0.0)</f>
        <v>0</v>
      </c>
      <c r="P133" s="2">
        <f>IFERROR(__xludf.DUMMYFUNCTION("""COMPUTED_VALUE"""),24.0)</f>
        <v>24</v>
      </c>
      <c r="Q133" s="2">
        <f>IFERROR(__xludf.DUMMYFUNCTION("""COMPUTED_VALUE"""),3.0)</f>
        <v>3</v>
      </c>
      <c r="R133" s="2">
        <f>IFERROR(__xludf.DUMMYFUNCTION("""COMPUTED_VALUE"""),2025.0)</f>
        <v>2025</v>
      </c>
      <c r="S133" s="2" t="str">
        <f>IFERROR(__xludf.DUMMYFUNCTION("""COMPUTED_VALUE"""),"Digizag")</f>
        <v>Digizag</v>
      </c>
      <c r="T133" s="2" t="str">
        <f>IFERROR(__xludf.DUMMYFUNCTION("""COMPUTED_VALUE"""),"Digizag")</f>
        <v>Digizag</v>
      </c>
      <c r="U133" s="5">
        <f>IFERROR(__xludf.DUMMYFUNCTION("""COMPUTED_VALUE"""),53.062563154)</f>
        <v>53.06256315</v>
      </c>
      <c r="V133" s="2"/>
      <c r="W133" s="2"/>
      <c r="X133" s="2"/>
      <c r="Y133" s="2"/>
      <c r="Z133" s="2"/>
    </row>
    <row r="134">
      <c r="A134" s="6">
        <f>IFERROR(__xludf.DUMMYFUNCTION("""COMPUTED_VALUE"""),45741.030648148146)</f>
        <v>45741.03065</v>
      </c>
      <c r="B134" s="2" t="str">
        <f>IFERROR(__xludf.DUMMYFUNCTION("""COMPUTED_VALUE"""),"March")</f>
        <v>March</v>
      </c>
      <c r="C134" s="3">
        <f>IFERROR(__xludf.DUMMYFUNCTION("""COMPUTED_VALUE"""),709205.0)</f>
        <v>709205</v>
      </c>
      <c r="D134" s="2" t="str">
        <f>IFERROR(__xludf.DUMMYFUNCTION("""COMPUTED_VALUE"""),"MIMI44")</f>
        <v>MIMI44</v>
      </c>
      <c r="E134" s="2" t="str">
        <f>IFERROR(__xludf.DUMMYFUNCTION("""COMPUTED_VALUE"""),"Digizag")</f>
        <v>Digizag</v>
      </c>
      <c r="F134" s="2" t="str">
        <f>IFERROR(__xludf.DUMMYFUNCTION("""COMPUTED_VALUE"""),"JED805096")</f>
        <v>JED805096</v>
      </c>
      <c r="G134" s="2" t="str">
        <f>IFERROR(__xludf.DUMMYFUNCTION("""COMPUTED_VALUE"""),"Kingdom of Saudi Arabia")</f>
        <v>Kingdom of Saudi Arabia</v>
      </c>
      <c r="H134" s="4">
        <f>IFERROR(__xludf.DUMMYFUNCTION("""COMPUTED_VALUE"""),245.09)</f>
        <v>245.09</v>
      </c>
      <c r="I134" s="3">
        <f>IFERROR(__xludf.DUMMYFUNCTION("""COMPUTED_VALUE"""),0.0)</f>
        <v>0</v>
      </c>
      <c r="J134" s="4">
        <f>IFERROR(__xludf.DUMMYFUNCTION("""COMPUTED_VALUE"""),24.5)</f>
        <v>24.5</v>
      </c>
      <c r="K134" s="2"/>
      <c r="L134" s="2" t="str">
        <f>IFERROR(__xludf.DUMMYFUNCTION("""COMPUTED_VALUE"""),"Delivered")</f>
        <v>Delivered</v>
      </c>
      <c r="M134" s="2" t="str">
        <f>IFERROR(__xludf.DUMMYFUNCTION("""COMPUTED_VALUE"""),"SR")</f>
        <v>SR</v>
      </c>
      <c r="N134" s="2" t="str">
        <f>IFERROR(__xludf.DUMMYFUNCTION("""COMPUTED_VALUE"""),"Tamara: Split in 3, interest-free")</f>
        <v>Tamara: Split in 3, interest-free</v>
      </c>
      <c r="O134" s="4">
        <f>IFERROR(__xludf.DUMMYFUNCTION("""COMPUTED_VALUE"""),0.0)</f>
        <v>0</v>
      </c>
      <c r="P134" s="2">
        <f>IFERROR(__xludf.DUMMYFUNCTION("""COMPUTED_VALUE"""),25.0)</f>
        <v>25</v>
      </c>
      <c r="Q134" s="2">
        <f>IFERROR(__xludf.DUMMYFUNCTION("""COMPUTED_VALUE"""),3.0)</f>
        <v>3</v>
      </c>
      <c r="R134" s="2">
        <f>IFERROR(__xludf.DUMMYFUNCTION("""COMPUTED_VALUE"""),2025.0)</f>
        <v>2025</v>
      </c>
      <c r="S134" s="2" t="str">
        <f>IFERROR(__xludf.DUMMYFUNCTION("""COMPUTED_VALUE"""),"Digizag")</f>
        <v>Digizag</v>
      </c>
      <c r="T134" s="2" t="str">
        <f>IFERROR(__xludf.DUMMYFUNCTION("""COMPUTED_VALUE"""),"Digizag")</f>
        <v>Digizag</v>
      </c>
      <c r="U134" s="5">
        <f>IFERROR(__xludf.DUMMYFUNCTION("""COMPUTED_VALUE"""),65.35227941414001)</f>
        <v>65.35227941</v>
      </c>
      <c r="V134" s="2"/>
      <c r="W134" s="2"/>
      <c r="X134" s="2"/>
      <c r="Y134" s="2"/>
      <c r="Z134" s="2"/>
    </row>
    <row r="135">
      <c r="A135" s="6">
        <f>IFERROR(__xludf.DUMMYFUNCTION("""COMPUTED_VALUE"""),45741.10533564815)</f>
        <v>45741.10534</v>
      </c>
      <c r="B135" s="2" t="str">
        <f>IFERROR(__xludf.DUMMYFUNCTION("""COMPUTED_VALUE"""),"March")</f>
        <v>March</v>
      </c>
      <c r="C135" s="3">
        <f>IFERROR(__xludf.DUMMYFUNCTION("""COMPUTED_VALUE"""),127220.0)</f>
        <v>127220</v>
      </c>
      <c r="D135" s="2" t="str">
        <f>IFERROR(__xludf.DUMMYFUNCTION("""COMPUTED_VALUE"""),"DB3")</f>
        <v>DB3</v>
      </c>
      <c r="E135" s="2" t="str">
        <f>IFERROR(__xludf.DUMMYFUNCTION("""COMPUTED_VALUE"""),"Imported from file Digizag.xlsx")</f>
        <v>Imported from file Digizag.xlsx</v>
      </c>
      <c r="F135" s="2" t="str">
        <f>IFERROR(__xludf.DUMMYFUNCTION("""COMPUTED_VALUE"""),"MMX697438")</f>
        <v>MMX697438</v>
      </c>
      <c r="G135" s="2" t="str">
        <f>IFERROR(__xludf.DUMMYFUNCTION("""COMPUTED_VALUE"""),"Kingdom of Saudi Arabia")</f>
        <v>Kingdom of Saudi Arabia</v>
      </c>
      <c r="H135" s="4">
        <f>IFERROR(__xludf.DUMMYFUNCTION("""COMPUTED_VALUE"""),193.35)</f>
        <v>193.35</v>
      </c>
      <c r="I135" s="3">
        <f>IFERROR(__xludf.DUMMYFUNCTION("""COMPUTED_VALUE"""),0.0)</f>
        <v>0</v>
      </c>
      <c r="J135" s="4">
        <f>IFERROR(__xludf.DUMMYFUNCTION("""COMPUTED_VALUE"""),19.33)</f>
        <v>19.33</v>
      </c>
      <c r="K135" s="2"/>
      <c r="L135" s="2" t="str">
        <f>IFERROR(__xludf.DUMMYFUNCTION("""COMPUTED_VALUE"""),"Delivered")</f>
        <v>Delivered</v>
      </c>
      <c r="M135" s="2" t="str">
        <f>IFERROR(__xludf.DUMMYFUNCTION("""COMPUTED_VALUE"""),"SR")</f>
        <v>SR</v>
      </c>
      <c r="N135" s="2" t="str">
        <f>IFERROR(__xludf.DUMMYFUNCTION("""COMPUTED_VALUE"""),"Credit, Debit, Apple Pay")</f>
        <v>Credit, Debit, Apple Pay</v>
      </c>
      <c r="O135" s="4">
        <f>IFERROR(__xludf.DUMMYFUNCTION("""COMPUTED_VALUE"""),0.0)</f>
        <v>0</v>
      </c>
      <c r="P135" s="2">
        <f>IFERROR(__xludf.DUMMYFUNCTION("""COMPUTED_VALUE"""),25.0)</f>
        <v>25</v>
      </c>
      <c r="Q135" s="2">
        <f>IFERROR(__xludf.DUMMYFUNCTION("""COMPUTED_VALUE"""),3.0)</f>
        <v>3</v>
      </c>
      <c r="R135" s="2">
        <f>IFERROR(__xludf.DUMMYFUNCTION("""COMPUTED_VALUE"""),2025.0)</f>
        <v>2025</v>
      </c>
      <c r="S135" s="2" t="str">
        <f>IFERROR(__xludf.DUMMYFUNCTION("""COMPUTED_VALUE"""),"Digizag")</f>
        <v>Digizag</v>
      </c>
      <c r="T135" s="2" t="str">
        <f>IFERROR(__xludf.DUMMYFUNCTION("""COMPUTED_VALUE"""),"Digizag")</f>
        <v>Digizag</v>
      </c>
      <c r="U135" s="5">
        <f>IFERROR(__xludf.DUMMYFUNCTION("""COMPUTED_VALUE"""),51.5560129941)</f>
        <v>51.55601299</v>
      </c>
      <c r="V135" s="2"/>
      <c r="W135" s="2"/>
      <c r="X135" s="2"/>
      <c r="Y135" s="2"/>
      <c r="Z135" s="2"/>
    </row>
    <row r="136">
      <c r="A136" s="6">
        <f>IFERROR(__xludf.DUMMYFUNCTION("""COMPUTED_VALUE"""),45741.466469907406)</f>
        <v>45741.46647</v>
      </c>
      <c r="B136" s="2" t="str">
        <f>IFERROR(__xludf.DUMMYFUNCTION("""COMPUTED_VALUE"""),"March")</f>
        <v>March</v>
      </c>
      <c r="C136" s="3">
        <f>IFERROR(__xludf.DUMMYFUNCTION("""COMPUTED_VALUE"""),407717.0)</f>
        <v>407717</v>
      </c>
      <c r="D136" s="2" t="str">
        <f>IFERROR(__xludf.DUMMYFUNCTION("""COMPUTED_VALUE"""),"MNN16")</f>
        <v>MNN16</v>
      </c>
      <c r="E136" s="2" t="str">
        <f>IFERROR(__xludf.DUMMYFUNCTION("""COMPUTED_VALUE"""),"Imported from file DigiZag Bidding Codes.xlsx")</f>
        <v>Imported from file DigiZag Bidding Codes.xlsx</v>
      </c>
      <c r="F136" s="2" t="str">
        <f>IFERROR(__xludf.DUMMYFUNCTION("""COMPUTED_VALUE"""),"LBY566195")</f>
        <v>LBY566195</v>
      </c>
      <c r="G136" s="2" t="str">
        <f>IFERROR(__xludf.DUMMYFUNCTION("""COMPUTED_VALUE"""),"Kingdom of Saudi Arabia")</f>
        <v>Kingdom of Saudi Arabia</v>
      </c>
      <c r="H136" s="4">
        <f>IFERROR(__xludf.DUMMYFUNCTION("""COMPUTED_VALUE"""),520.87)</f>
        <v>520.87</v>
      </c>
      <c r="I136" s="3">
        <f>IFERROR(__xludf.DUMMYFUNCTION("""COMPUTED_VALUE"""),0.0)</f>
        <v>0</v>
      </c>
      <c r="J136" s="4">
        <f>IFERROR(__xludf.DUMMYFUNCTION("""COMPUTED_VALUE"""),52.08)</f>
        <v>52.08</v>
      </c>
      <c r="K136" s="2"/>
      <c r="L136" s="2" t="str">
        <f>IFERROR(__xludf.DUMMYFUNCTION("""COMPUTED_VALUE"""),"Delivered")</f>
        <v>Delivered</v>
      </c>
      <c r="M136" s="2" t="str">
        <f>IFERROR(__xludf.DUMMYFUNCTION("""COMPUTED_VALUE"""),"SR")</f>
        <v>SR</v>
      </c>
      <c r="N136" s="2" t="str">
        <f>IFERROR(__xludf.DUMMYFUNCTION("""COMPUTED_VALUE"""),"Credit, Debit, Apple Pay")</f>
        <v>Credit, Debit, Apple Pay</v>
      </c>
      <c r="O136" s="4">
        <f>IFERROR(__xludf.DUMMYFUNCTION("""COMPUTED_VALUE"""),0.0)</f>
        <v>0</v>
      </c>
      <c r="P136" s="2">
        <f>IFERROR(__xludf.DUMMYFUNCTION("""COMPUTED_VALUE"""),25.0)</f>
        <v>25</v>
      </c>
      <c r="Q136" s="2">
        <f>IFERROR(__xludf.DUMMYFUNCTION("""COMPUTED_VALUE"""),3.0)</f>
        <v>3</v>
      </c>
      <c r="R136" s="2">
        <f>IFERROR(__xludf.DUMMYFUNCTION("""COMPUTED_VALUE"""),2025.0)</f>
        <v>2025</v>
      </c>
      <c r="S136" s="2" t="str">
        <f>IFERROR(__xludf.DUMMYFUNCTION("""COMPUTED_VALUE"""),"Digizag")</f>
        <v>Digizag</v>
      </c>
      <c r="T136" s="2" t="str">
        <f>IFERROR(__xludf.DUMMYFUNCTION("""COMPUTED_VALUE"""),"Digizag")</f>
        <v>Digizag</v>
      </c>
      <c r="U136" s="5">
        <f>IFERROR(__xludf.DUMMYFUNCTION("""COMPUTED_VALUE"""),138.88792598002001)</f>
        <v>138.887926</v>
      </c>
      <c r="V136" s="2"/>
      <c r="W136" s="2"/>
      <c r="X136" s="2"/>
      <c r="Y136" s="2"/>
      <c r="Z136" s="2"/>
    </row>
    <row r="137">
      <c r="A137" s="6">
        <f>IFERROR(__xludf.DUMMYFUNCTION("""COMPUTED_VALUE"""),45741.4859375)</f>
        <v>45741.48594</v>
      </c>
      <c r="B137" s="2" t="str">
        <f>IFERROR(__xludf.DUMMYFUNCTION("""COMPUTED_VALUE"""),"March")</f>
        <v>March</v>
      </c>
      <c r="C137" s="3">
        <f>IFERROR(__xludf.DUMMYFUNCTION("""COMPUTED_VALUE"""),476082.0)</f>
        <v>476082</v>
      </c>
      <c r="D137" s="2" t="str">
        <f>IFERROR(__xludf.DUMMYFUNCTION("""COMPUTED_VALUE"""),"DB3")</f>
        <v>DB3</v>
      </c>
      <c r="E137" s="2" t="str">
        <f>IFERROR(__xludf.DUMMYFUNCTION("""COMPUTED_VALUE"""),"Imported from file Digizag.xlsx")</f>
        <v>Imported from file Digizag.xlsx</v>
      </c>
      <c r="F137" s="2" t="str">
        <f>IFERROR(__xludf.DUMMYFUNCTION("""COMPUTED_VALUE"""),"EHT946860")</f>
        <v>EHT946860</v>
      </c>
      <c r="G137" s="2" t="str">
        <f>IFERROR(__xludf.DUMMYFUNCTION("""COMPUTED_VALUE"""),"Kingdom of Saudi Arabia")</f>
        <v>Kingdom of Saudi Arabia</v>
      </c>
      <c r="H137" s="4">
        <f>IFERROR(__xludf.DUMMYFUNCTION("""COMPUTED_VALUE"""),591.48)</f>
        <v>591.48</v>
      </c>
      <c r="I137" s="3">
        <f>IFERROR(__xludf.DUMMYFUNCTION("""COMPUTED_VALUE"""),0.0)</f>
        <v>0</v>
      </c>
      <c r="J137" s="4">
        <f>IFERROR(__xludf.DUMMYFUNCTION("""COMPUTED_VALUE"""),59.14)</f>
        <v>59.14</v>
      </c>
      <c r="K137" s="2"/>
      <c r="L137" s="2" t="str">
        <f>IFERROR(__xludf.DUMMYFUNCTION("""COMPUTED_VALUE"""),"Delivered")</f>
        <v>Delivered</v>
      </c>
      <c r="M137" s="2" t="str">
        <f>IFERROR(__xludf.DUMMYFUNCTION("""COMPUTED_VALUE"""),"SR")</f>
        <v>SR</v>
      </c>
      <c r="N137" s="2" t="str">
        <f>IFERROR(__xludf.DUMMYFUNCTION("""COMPUTED_VALUE"""),"Credit, Debit, Apple Pay")</f>
        <v>Credit, Debit, Apple Pay</v>
      </c>
      <c r="O137" s="4">
        <f>IFERROR(__xludf.DUMMYFUNCTION("""COMPUTED_VALUE"""),0.0)</f>
        <v>0</v>
      </c>
      <c r="P137" s="2">
        <f>IFERROR(__xludf.DUMMYFUNCTION("""COMPUTED_VALUE"""),25.0)</f>
        <v>25</v>
      </c>
      <c r="Q137" s="2">
        <f>IFERROR(__xludf.DUMMYFUNCTION("""COMPUTED_VALUE"""),3.0)</f>
        <v>3</v>
      </c>
      <c r="R137" s="2">
        <f>IFERROR(__xludf.DUMMYFUNCTION("""COMPUTED_VALUE"""),2025.0)</f>
        <v>2025</v>
      </c>
      <c r="S137" s="2" t="str">
        <f>IFERROR(__xludf.DUMMYFUNCTION("""COMPUTED_VALUE"""),"Digizag")</f>
        <v>Digizag</v>
      </c>
      <c r="T137" s="2" t="str">
        <f>IFERROR(__xludf.DUMMYFUNCTION("""COMPUTED_VALUE"""),"Digizag")</f>
        <v>Digizag</v>
      </c>
      <c r="U137" s="5">
        <f>IFERROR(__xludf.DUMMYFUNCTION("""COMPUTED_VALUE"""),157.71580328808002)</f>
        <v>157.7158033</v>
      </c>
      <c r="V137" s="2"/>
      <c r="W137" s="2"/>
      <c r="X137" s="2"/>
      <c r="Y137" s="2"/>
      <c r="Z137" s="2"/>
    </row>
    <row r="138">
      <c r="A138" s="6">
        <f>IFERROR(__xludf.DUMMYFUNCTION("""COMPUTED_VALUE"""),45741.499513888884)</f>
        <v>45741.49951</v>
      </c>
      <c r="B138" s="2" t="str">
        <f>IFERROR(__xludf.DUMMYFUNCTION("""COMPUTED_VALUE"""),"March")</f>
        <v>March</v>
      </c>
      <c r="C138" s="3">
        <f>IFERROR(__xludf.DUMMYFUNCTION("""COMPUTED_VALUE"""),437967.0)</f>
        <v>437967</v>
      </c>
      <c r="D138" s="2" t="str">
        <f>IFERROR(__xludf.DUMMYFUNCTION("""COMPUTED_VALUE"""),"MNN16")</f>
        <v>MNN16</v>
      </c>
      <c r="E138" s="2" t="str">
        <f>IFERROR(__xludf.DUMMYFUNCTION("""COMPUTED_VALUE"""),"Imported from file DigiZag Codes 25Feb25.xlsx")</f>
        <v>Imported from file DigiZag Codes 25Feb25.xlsx</v>
      </c>
      <c r="F138" s="2" t="str">
        <f>IFERROR(__xludf.DUMMYFUNCTION("""COMPUTED_VALUE"""),"PLX897886")</f>
        <v>PLX897886</v>
      </c>
      <c r="G138" s="2" t="str">
        <f>IFERROR(__xludf.DUMMYFUNCTION("""COMPUTED_VALUE"""),"Kuwait")</f>
        <v>Kuwait</v>
      </c>
      <c r="H138" s="4">
        <f>IFERROR(__xludf.DUMMYFUNCTION("""COMPUTED_VALUE"""),26.8)</f>
        <v>26.8</v>
      </c>
      <c r="I138" s="3">
        <f>IFERROR(__xludf.DUMMYFUNCTION("""COMPUTED_VALUE"""),0.0)</f>
        <v>0</v>
      </c>
      <c r="J138" s="4">
        <f>IFERROR(__xludf.DUMMYFUNCTION("""COMPUTED_VALUE"""),2.68)</f>
        <v>2.68</v>
      </c>
      <c r="K138" s="2"/>
      <c r="L138" s="2" t="str">
        <f>IFERROR(__xludf.DUMMYFUNCTION("""COMPUTED_VALUE"""),"Delivered")</f>
        <v>Delivered</v>
      </c>
      <c r="M138" s="2" t="str">
        <f>IFERROR(__xludf.DUMMYFUNCTION("""COMPUTED_VALUE"""),"KD")</f>
        <v>KD</v>
      </c>
      <c r="N138" s="2" t="str">
        <f>IFERROR(__xludf.DUMMYFUNCTION("""COMPUTED_VALUE"""),"Credit, Debit, Knet")</f>
        <v>Credit, Debit, Knet</v>
      </c>
      <c r="O138" s="4">
        <f>IFERROR(__xludf.DUMMYFUNCTION("""COMPUTED_VALUE"""),0.0)</f>
        <v>0</v>
      </c>
      <c r="P138" s="2">
        <f>IFERROR(__xludf.DUMMYFUNCTION("""COMPUTED_VALUE"""),25.0)</f>
        <v>25</v>
      </c>
      <c r="Q138" s="2">
        <f>IFERROR(__xludf.DUMMYFUNCTION("""COMPUTED_VALUE"""),3.0)</f>
        <v>3</v>
      </c>
      <c r="R138" s="2">
        <f>IFERROR(__xludf.DUMMYFUNCTION("""COMPUTED_VALUE"""),2025.0)</f>
        <v>2025</v>
      </c>
      <c r="S138" s="2" t="str">
        <f>IFERROR(__xludf.DUMMYFUNCTION("""COMPUTED_VALUE"""),"Digizag")</f>
        <v>Digizag</v>
      </c>
      <c r="T138" s="2" t="str">
        <f>IFERROR(__xludf.DUMMYFUNCTION("""COMPUTED_VALUE"""),"Digizag")</f>
        <v>Digizag</v>
      </c>
      <c r="U138" s="5">
        <f>IFERROR(__xludf.DUMMYFUNCTION("""COMPUTED_VALUE"""),87.384616)</f>
        <v>87.384616</v>
      </c>
      <c r="V138" s="2"/>
      <c r="W138" s="2"/>
      <c r="X138" s="2"/>
      <c r="Y138" s="2"/>
      <c r="Z138" s="2"/>
    </row>
    <row r="139">
      <c r="A139" s="6">
        <f>IFERROR(__xludf.DUMMYFUNCTION("""COMPUTED_VALUE"""),45741.54094907407)</f>
        <v>45741.54095</v>
      </c>
      <c r="B139" s="2" t="str">
        <f>IFERROR(__xludf.DUMMYFUNCTION("""COMPUTED_VALUE"""),"March")</f>
        <v>March</v>
      </c>
      <c r="C139" s="3">
        <f>IFERROR(__xludf.DUMMYFUNCTION("""COMPUTED_VALUE"""),115753.0)</f>
        <v>115753</v>
      </c>
      <c r="D139" s="2" t="str">
        <f>IFERROR(__xludf.DUMMYFUNCTION("""COMPUTED_VALUE"""),"BITS")</f>
        <v>BITS</v>
      </c>
      <c r="E139" s="2" t="str">
        <f>IFERROR(__xludf.DUMMYFUNCTION("""COMPUTED_VALUE"""),"Imported from file DigiZag Codes 25Feb25.xlsx")</f>
        <v>Imported from file DigiZag Codes 25Feb25.xlsx</v>
      </c>
      <c r="F139" s="2" t="str">
        <f>IFERROR(__xludf.DUMMYFUNCTION("""COMPUTED_VALUE"""),"HEA438443")</f>
        <v>HEA438443</v>
      </c>
      <c r="G139" s="2" t="str">
        <f>IFERROR(__xludf.DUMMYFUNCTION("""COMPUTED_VALUE"""),"Kuwait")</f>
        <v>Kuwait</v>
      </c>
      <c r="H139" s="4">
        <f>IFERROR(__xludf.DUMMYFUNCTION("""COMPUTED_VALUE"""),7.9)</f>
        <v>7.9</v>
      </c>
      <c r="I139" s="3">
        <f>IFERROR(__xludf.DUMMYFUNCTION("""COMPUTED_VALUE"""),0.0)</f>
        <v>0</v>
      </c>
      <c r="J139" s="4">
        <f>IFERROR(__xludf.DUMMYFUNCTION("""COMPUTED_VALUE"""),0.79)</f>
        <v>0.79</v>
      </c>
      <c r="K139" s="2"/>
      <c r="L139" s="2" t="str">
        <f>IFERROR(__xludf.DUMMYFUNCTION("""COMPUTED_VALUE"""),"Delivered")</f>
        <v>Delivered</v>
      </c>
      <c r="M139" s="2" t="str">
        <f>IFERROR(__xludf.DUMMYFUNCTION("""COMPUTED_VALUE"""),"KD")</f>
        <v>KD</v>
      </c>
      <c r="N139" s="2" t="str">
        <f>IFERROR(__xludf.DUMMYFUNCTION("""COMPUTED_VALUE"""),"Credit, Debit, Knet")</f>
        <v>Credit, Debit, Knet</v>
      </c>
      <c r="O139" s="4">
        <f>IFERROR(__xludf.DUMMYFUNCTION("""COMPUTED_VALUE"""),0.0)</f>
        <v>0</v>
      </c>
      <c r="P139" s="2">
        <f>IFERROR(__xludf.DUMMYFUNCTION("""COMPUTED_VALUE"""),25.0)</f>
        <v>25</v>
      </c>
      <c r="Q139" s="2">
        <f>IFERROR(__xludf.DUMMYFUNCTION("""COMPUTED_VALUE"""),3.0)</f>
        <v>3</v>
      </c>
      <c r="R139" s="2">
        <f>IFERROR(__xludf.DUMMYFUNCTION("""COMPUTED_VALUE"""),2025.0)</f>
        <v>2025</v>
      </c>
      <c r="S139" s="2" t="str">
        <f>IFERROR(__xludf.DUMMYFUNCTION("""COMPUTED_VALUE"""),"Digizag")</f>
        <v>Digizag</v>
      </c>
      <c r="T139" s="2" t="str">
        <f>IFERROR(__xludf.DUMMYFUNCTION("""COMPUTED_VALUE"""),"Digizag")</f>
        <v>Digizag</v>
      </c>
      <c r="U139" s="5">
        <f>IFERROR(__xludf.DUMMYFUNCTION("""COMPUTED_VALUE"""),25.758898)</f>
        <v>25.758898</v>
      </c>
      <c r="V139" s="2"/>
      <c r="W139" s="2"/>
      <c r="X139" s="2"/>
      <c r="Y139" s="2"/>
      <c r="Z139" s="2"/>
    </row>
    <row r="140">
      <c r="A140" s="6">
        <f>IFERROR(__xludf.DUMMYFUNCTION("""COMPUTED_VALUE"""),45741.54690972222)</f>
        <v>45741.54691</v>
      </c>
      <c r="B140" s="2" t="str">
        <f>IFERROR(__xludf.DUMMYFUNCTION("""COMPUTED_VALUE"""),"March")</f>
        <v>March</v>
      </c>
      <c r="C140" s="3">
        <f>IFERROR(__xludf.DUMMYFUNCTION("""COMPUTED_VALUE"""),101168.0)</f>
        <v>101168</v>
      </c>
      <c r="D140" s="2" t="str">
        <f>IFERROR(__xludf.DUMMYFUNCTION("""COMPUTED_VALUE"""),"MNN16")</f>
        <v>MNN16</v>
      </c>
      <c r="E140" s="2" t="str">
        <f>IFERROR(__xludf.DUMMYFUNCTION("""COMPUTED_VALUE"""),"Imported from file DigiZag Codes 25Feb25.xlsx")</f>
        <v>Imported from file DigiZag Codes 25Feb25.xlsx</v>
      </c>
      <c r="F140" s="2" t="str">
        <f>IFERROR(__xludf.DUMMYFUNCTION("""COMPUTED_VALUE"""),"YRK135966")</f>
        <v>YRK135966</v>
      </c>
      <c r="G140" s="2" t="str">
        <f>IFERROR(__xludf.DUMMYFUNCTION("""COMPUTED_VALUE"""),"UAE")</f>
        <v>UAE</v>
      </c>
      <c r="H140" s="4">
        <f>IFERROR(__xludf.DUMMYFUNCTION("""COMPUTED_VALUE"""),366.15)</f>
        <v>366.15</v>
      </c>
      <c r="I140" s="3">
        <f>IFERROR(__xludf.DUMMYFUNCTION("""COMPUTED_VALUE"""),0.0)</f>
        <v>0</v>
      </c>
      <c r="J140" s="4">
        <f>IFERROR(__xludf.DUMMYFUNCTION("""COMPUTED_VALUE"""),36.61)</f>
        <v>36.61</v>
      </c>
      <c r="K140" s="2"/>
      <c r="L140" s="2" t="str">
        <f>IFERROR(__xludf.DUMMYFUNCTION("""COMPUTED_VALUE"""),"Delivered")</f>
        <v>Delivered</v>
      </c>
      <c r="M140" s="2" t="str">
        <f>IFERROR(__xludf.DUMMYFUNCTION("""COMPUTED_VALUE"""),"AED")</f>
        <v>AED</v>
      </c>
      <c r="N140" s="2" t="str">
        <f>IFERROR(__xludf.DUMMYFUNCTION("""COMPUTED_VALUE"""),"Credit, Debit , Apple Pay")</f>
        <v>Credit, Debit , Apple Pay</v>
      </c>
      <c r="O140" s="4">
        <f>IFERROR(__xludf.DUMMYFUNCTION("""COMPUTED_VALUE"""),0.0)</f>
        <v>0</v>
      </c>
      <c r="P140" s="2">
        <f>IFERROR(__xludf.DUMMYFUNCTION("""COMPUTED_VALUE"""),25.0)</f>
        <v>25</v>
      </c>
      <c r="Q140" s="2">
        <f>IFERROR(__xludf.DUMMYFUNCTION("""COMPUTED_VALUE"""),3.0)</f>
        <v>3</v>
      </c>
      <c r="R140" s="2">
        <f>IFERROR(__xludf.DUMMYFUNCTION("""COMPUTED_VALUE"""),2025.0)</f>
        <v>2025</v>
      </c>
      <c r="S140" s="2" t="str">
        <f>IFERROR(__xludf.DUMMYFUNCTION("""COMPUTED_VALUE"""),"Digizag")</f>
        <v>Digizag</v>
      </c>
      <c r="T140" s="2" t="str">
        <f>IFERROR(__xludf.DUMMYFUNCTION("""COMPUTED_VALUE"""),"Digizag")</f>
        <v>Digizag</v>
      </c>
      <c r="U140" s="5">
        <f>IFERROR(__xludf.DUMMYFUNCTION("""COMPUTED_VALUE"""),99.70047665969999)</f>
        <v>99.70047666</v>
      </c>
      <c r="V140" s="2"/>
      <c r="W140" s="2"/>
      <c r="X140" s="2"/>
      <c r="Y140" s="2"/>
      <c r="Z140" s="2"/>
    </row>
    <row r="141">
      <c r="A141" s="6">
        <f>IFERROR(__xludf.DUMMYFUNCTION("""COMPUTED_VALUE"""),45741.55001157407)</f>
        <v>45741.55001</v>
      </c>
      <c r="B141" s="2" t="str">
        <f>IFERROR(__xludf.DUMMYFUNCTION("""COMPUTED_VALUE"""),"March")</f>
        <v>March</v>
      </c>
      <c r="C141" s="3">
        <f>IFERROR(__xludf.DUMMYFUNCTION("""COMPUTED_VALUE"""),261657.0)</f>
        <v>261657</v>
      </c>
      <c r="D141" s="2" t="str">
        <f>IFERROR(__xludf.DUMMYFUNCTION("""COMPUTED_VALUE"""),"DB3")</f>
        <v>DB3</v>
      </c>
      <c r="E141" s="2" t="str">
        <f>IFERROR(__xludf.DUMMYFUNCTION("""COMPUTED_VALUE"""),"Imported from file Digizag.xlsx")</f>
        <v>Imported from file Digizag.xlsx</v>
      </c>
      <c r="F141" s="2" t="str">
        <f>IFERROR(__xludf.DUMMYFUNCTION("""COMPUTED_VALUE"""),"HJK630109")</f>
        <v>HJK630109</v>
      </c>
      <c r="G141" s="2" t="str">
        <f>IFERROR(__xludf.DUMMYFUNCTION("""COMPUTED_VALUE"""),"Kingdom of Saudi Arabia")</f>
        <v>Kingdom of Saudi Arabia</v>
      </c>
      <c r="H141" s="4">
        <f>IFERROR(__xludf.DUMMYFUNCTION("""COMPUTED_VALUE"""),133.65)</f>
        <v>133.65</v>
      </c>
      <c r="I141" s="3">
        <f>IFERROR(__xludf.DUMMYFUNCTION("""COMPUTED_VALUE"""),0.0)</f>
        <v>0</v>
      </c>
      <c r="J141" s="4">
        <f>IFERROR(__xludf.DUMMYFUNCTION("""COMPUTED_VALUE"""),13.36)</f>
        <v>13.36</v>
      </c>
      <c r="K141" s="2"/>
      <c r="L141" s="2" t="str">
        <f>IFERROR(__xludf.DUMMYFUNCTION("""COMPUTED_VALUE"""),"Delivered")</f>
        <v>Delivered</v>
      </c>
      <c r="M141" s="2" t="str">
        <f>IFERROR(__xludf.DUMMYFUNCTION("""COMPUTED_VALUE"""),"SR")</f>
        <v>SR</v>
      </c>
      <c r="N141" s="2" t="str">
        <f>IFERROR(__xludf.DUMMYFUNCTION("""COMPUTED_VALUE"""),"Credit, Debit, Apple Pay")</f>
        <v>Credit, Debit, Apple Pay</v>
      </c>
      <c r="O141" s="4">
        <f>IFERROR(__xludf.DUMMYFUNCTION("""COMPUTED_VALUE"""),0.0)</f>
        <v>0</v>
      </c>
      <c r="P141" s="2">
        <f>IFERROR(__xludf.DUMMYFUNCTION("""COMPUTED_VALUE"""),25.0)</f>
        <v>25</v>
      </c>
      <c r="Q141" s="2">
        <f>IFERROR(__xludf.DUMMYFUNCTION("""COMPUTED_VALUE"""),3.0)</f>
        <v>3</v>
      </c>
      <c r="R141" s="2">
        <f>IFERROR(__xludf.DUMMYFUNCTION("""COMPUTED_VALUE"""),2025.0)</f>
        <v>2025</v>
      </c>
      <c r="S141" s="2" t="str">
        <f>IFERROR(__xludf.DUMMYFUNCTION("""COMPUTED_VALUE"""),"Digizag")</f>
        <v>Digizag</v>
      </c>
      <c r="T141" s="2" t="str">
        <f>IFERROR(__xludf.DUMMYFUNCTION("""COMPUTED_VALUE"""),"Digizag")</f>
        <v>Digizag</v>
      </c>
      <c r="U141" s="5">
        <f>IFERROR(__xludf.DUMMYFUNCTION("""COMPUTED_VALUE"""),35.637244047900005)</f>
        <v>35.63724405</v>
      </c>
      <c r="V141" s="2"/>
      <c r="W141" s="2"/>
      <c r="X141" s="2"/>
      <c r="Y141" s="2"/>
      <c r="Z141" s="2"/>
    </row>
    <row r="142">
      <c r="A142" s="6">
        <f>IFERROR(__xludf.DUMMYFUNCTION("""COMPUTED_VALUE"""),45741.64892361111)</f>
        <v>45741.64892</v>
      </c>
      <c r="B142" s="2" t="str">
        <f>IFERROR(__xludf.DUMMYFUNCTION("""COMPUTED_VALUE"""),"March")</f>
        <v>March</v>
      </c>
      <c r="C142" s="3">
        <f>IFERROR(__xludf.DUMMYFUNCTION("""COMPUTED_VALUE"""),686822.0)</f>
        <v>686822</v>
      </c>
      <c r="D142" s="2" t="str">
        <f>IFERROR(__xludf.DUMMYFUNCTION("""COMPUTED_VALUE"""),"MNN16")</f>
        <v>MNN16</v>
      </c>
      <c r="E142" s="2" t="str">
        <f>IFERROR(__xludf.DUMMYFUNCTION("""COMPUTED_VALUE"""),"Imported from file DigiZag Bidding Codes.xlsx")</f>
        <v>Imported from file DigiZag Bidding Codes.xlsx</v>
      </c>
      <c r="F142" s="2" t="str">
        <f>IFERROR(__xludf.DUMMYFUNCTION("""COMPUTED_VALUE"""),"QVC381443")</f>
        <v>QVC381443</v>
      </c>
      <c r="G142" s="2" t="str">
        <f>IFERROR(__xludf.DUMMYFUNCTION("""COMPUTED_VALUE"""),"Kingdom of Saudi Arabia")</f>
        <v>Kingdom of Saudi Arabia</v>
      </c>
      <c r="H142" s="4">
        <f>IFERROR(__xludf.DUMMYFUNCTION("""COMPUTED_VALUE"""),202.0)</f>
        <v>202</v>
      </c>
      <c r="I142" s="3">
        <f>IFERROR(__xludf.DUMMYFUNCTION("""COMPUTED_VALUE"""),1.0)</f>
        <v>1</v>
      </c>
      <c r="J142" s="4">
        <f>IFERROR(__xludf.DUMMYFUNCTION("""COMPUTED_VALUE"""),20.2)</f>
        <v>20.2</v>
      </c>
      <c r="K142" s="2"/>
      <c r="L142" s="2" t="str">
        <f>IFERROR(__xludf.DUMMYFUNCTION("""COMPUTED_VALUE"""),"Cancelled")</f>
        <v>Cancelled</v>
      </c>
      <c r="M142" s="2" t="str">
        <f>IFERROR(__xludf.DUMMYFUNCTION("""COMPUTED_VALUE"""),"SR")</f>
        <v>SR</v>
      </c>
      <c r="N142" s="2" t="str">
        <f>IFERROR(__xludf.DUMMYFUNCTION("""COMPUTED_VALUE"""),"Credit, Debit, Apple Pay")</f>
        <v>Credit, Debit, Apple Pay</v>
      </c>
      <c r="O142" s="4">
        <f>IFERROR(__xludf.DUMMYFUNCTION("""COMPUTED_VALUE"""),181.8)</f>
        <v>181.8</v>
      </c>
      <c r="P142" s="2">
        <f>IFERROR(__xludf.DUMMYFUNCTION("""COMPUTED_VALUE"""),25.0)</f>
        <v>25</v>
      </c>
      <c r="Q142" s="2">
        <f>IFERROR(__xludf.DUMMYFUNCTION("""COMPUTED_VALUE"""),3.0)</f>
        <v>3</v>
      </c>
      <c r="R142" s="2">
        <f>IFERROR(__xludf.DUMMYFUNCTION("""COMPUTED_VALUE"""),2025.0)</f>
        <v>2025</v>
      </c>
      <c r="S142" s="2" t="str">
        <f>IFERROR(__xludf.DUMMYFUNCTION("""COMPUTED_VALUE"""),"Digizag")</f>
        <v>Digizag</v>
      </c>
      <c r="T142" s="2" t="str">
        <f>IFERROR(__xludf.DUMMYFUNCTION("""COMPUTED_VALUE"""),"Digizag")</f>
        <v>Digizag</v>
      </c>
      <c r="U142" s="5">
        <f>IFERROR(__xludf.DUMMYFUNCTION("""COMPUTED_VALUE"""),53.862501292000005)</f>
        <v>53.86250129</v>
      </c>
      <c r="V142" s="2"/>
      <c r="W142" s="2"/>
      <c r="X142" s="2"/>
      <c r="Y142" s="2"/>
      <c r="Z142" s="2"/>
    </row>
    <row r="143">
      <c r="A143" s="6">
        <f>IFERROR(__xludf.DUMMYFUNCTION("""COMPUTED_VALUE"""),45741.69542824074)</f>
        <v>45741.69543</v>
      </c>
      <c r="B143" s="2" t="str">
        <f>IFERROR(__xludf.DUMMYFUNCTION("""COMPUTED_VALUE"""),"March")</f>
        <v>March</v>
      </c>
      <c r="C143" s="3">
        <f>IFERROR(__xludf.DUMMYFUNCTION("""COMPUTED_VALUE"""),709541.0)</f>
        <v>709541</v>
      </c>
      <c r="D143" s="2" t="str">
        <f>IFERROR(__xludf.DUMMYFUNCTION("""COMPUTED_VALUE"""),"MNN16")</f>
        <v>MNN16</v>
      </c>
      <c r="E143" s="2" t="str">
        <f>IFERROR(__xludf.DUMMYFUNCTION("""COMPUTED_VALUE"""),"Imported from file DigiZag Codes 25Feb25.xlsx")</f>
        <v>Imported from file DigiZag Codes 25Feb25.xlsx</v>
      </c>
      <c r="F143" s="2" t="str">
        <f>IFERROR(__xludf.DUMMYFUNCTION("""COMPUTED_VALUE"""),"EBJ274321")</f>
        <v>EBJ274321</v>
      </c>
      <c r="G143" s="2" t="str">
        <f>IFERROR(__xludf.DUMMYFUNCTION("""COMPUTED_VALUE"""),"Kuwait")</f>
        <v>Kuwait</v>
      </c>
      <c r="H143" s="4">
        <f>IFERROR(__xludf.DUMMYFUNCTION("""COMPUTED_VALUE"""),43.85)</f>
        <v>43.85</v>
      </c>
      <c r="I143" s="3">
        <f>IFERROR(__xludf.DUMMYFUNCTION("""COMPUTED_VALUE"""),0.0)</f>
        <v>0</v>
      </c>
      <c r="J143" s="4">
        <f>IFERROR(__xludf.DUMMYFUNCTION("""COMPUTED_VALUE"""),4.385)</f>
        <v>4.385</v>
      </c>
      <c r="K143" s="2"/>
      <c r="L143" s="2" t="str">
        <f>IFERROR(__xludf.DUMMYFUNCTION("""COMPUTED_VALUE"""),"Delivered")</f>
        <v>Delivered</v>
      </c>
      <c r="M143" s="2" t="str">
        <f>IFERROR(__xludf.DUMMYFUNCTION("""COMPUTED_VALUE"""),"KD")</f>
        <v>KD</v>
      </c>
      <c r="N143" s="2" t="str">
        <f>IFERROR(__xludf.DUMMYFUNCTION("""COMPUTED_VALUE"""),"Credit, Debit, Knet")</f>
        <v>Credit, Debit, Knet</v>
      </c>
      <c r="O143" s="4">
        <f>IFERROR(__xludf.DUMMYFUNCTION("""COMPUTED_VALUE"""),0.0)</f>
        <v>0</v>
      </c>
      <c r="P143" s="2">
        <f>IFERROR(__xludf.DUMMYFUNCTION("""COMPUTED_VALUE"""),25.0)</f>
        <v>25</v>
      </c>
      <c r="Q143" s="2">
        <f>IFERROR(__xludf.DUMMYFUNCTION("""COMPUTED_VALUE"""),3.0)</f>
        <v>3</v>
      </c>
      <c r="R143" s="2">
        <f>IFERROR(__xludf.DUMMYFUNCTION("""COMPUTED_VALUE"""),2025.0)</f>
        <v>2025</v>
      </c>
      <c r="S143" s="2" t="str">
        <f>IFERROR(__xludf.DUMMYFUNCTION("""COMPUTED_VALUE"""),"Digizag")</f>
        <v>Digizag</v>
      </c>
      <c r="T143" s="2" t="str">
        <f>IFERROR(__xludf.DUMMYFUNCTION("""COMPUTED_VALUE"""),"Digizag")</f>
        <v>Digizag</v>
      </c>
      <c r="U143" s="5">
        <f>IFERROR(__xludf.DUMMYFUNCTION("""COMPUTED_VALUE"""),142.978187)</f>
        <v>142.978187</v>
      </c>
      <c r="V143" s="2"/>
      <c r="W143" s="2"/>
      <c r="X143" s="2"/>
      <c r="Y143" s="2"/>
      <c r="Z143" s="2"/>
    </row>
    <row r="144">
      <c r="A144" s="6">
        <f>IFERROR(__xludf.DUMMYFUNCTION("""COMPUTED_VALUE"""),45741.71326388889)</f>
        <v>45741.71326</v>
      </c>
      <c r="B144" s="2" t="str">
        <f>IFERROR(__xludf.DUMMYFUNCTION("""COMPUTED_VALUE"""),"March")</f>
        <v>March</v>
      </c>
      <c r="C144" s="3">
        <f>IFERROR(__xludf.DUMMYFUNCTION("""COMPUTED_VALUE"""),409239.0)</f>
        <v>409239</v>
      </c>
      <c r="D144" s="2" t="str">
        <f>IFERROR(__xludf.DUMMYFUNCTION("""COMPUTED_VALUE"""),"MNN16")</f>
        <v>MNN16</v>
      </c>
      <c r="E144" s="2" t="str">
        <f>IFERROR(__xludf.DUMMYFUNCTION("""COMPUTED_VALUE"""),"Imported from file DigiZag Bidding Codes.xlsx")</f>
        <v>Imported from file DigiZag Bidding Codes.xlsx</v>
      </c>
      <c r="F144" s="2" t="str">
        <f>IFERROR(__xludf.DUMMYFUNCTION("""COMPUTED_VALUE"""),"HKJ930626")</f>
        <v>HKJ930626</v>
      </c>
      <c r="G144" s="2" t="str">
        <f>IFERROR(__xludf.DUMMYFUNCTION("""COMPUTED_VALUE"""),"Kingdom of Saudi Arabia")</f>
        <v>Kingdom of Saudi Arabia</v>
      </c>
      <c r="H144" s="4">
        <f>IFERROR(__xludf.DUMMYFUNCTION("""COMPUTED_VALUE"""),1115.9)</f>
        <v>1115.9</v>
      </c>
      <c r="I144" s="3">
        <f>IFERROR(__xludf.DUMMYFUNCTION("""COMPUTED_VALUE"""),0.0)</f>
        <v>0</v>
      </c>
      <c r="J144" s="4">
        <f>IFERROR(__xludf.DUMMYFUNCTION("""COMPUTED_VALUE"""),111.58)</f>
        <v>111.58</v>
      </c>
      <c r="K144" s="2"/>
      <c r="L144" s="2" t="str">
        <f>IFERROR(__xludf.DUMMYFUNCTION("""COMPUTED_VALUE"""),"Delivered")</f>
        <v>Delivered</v>
      </c>
      <c r="M144" s="2" t="str">
        <f>IFERROR(__xludf.DUMMYFUNCTION("""COMPUTED_VALUE"""),"SR")</f>
        <v>SR</v>
      </c>
      <c r="N144" s="2" t="str">
        <f>IFERROR(__xludf.DUMMYFUNCTION("""COMPUTED_VALUE"""),"Pay in 4. No interest, no fees")</f>
        <v>Pay in 4. No interest, no fees</v>
      </c>
      <c r="O144" s="4">
        <f>IFERROR(__xludf.DUMMYFUNCTION("""COMPUTED_VALUE"""),0.0)</f>
        <v>0</v>
      </c>
      <c r="P144" s="2">
        <f>IFERROR(__xludf.DUMMYFUNCTION("""COMPUTED_VALUE"""),25.0)</f>
        <v>25</v>
      </c>
      <c r="Q144" s="2">
        <f>IFERROR(__xludf.DUMMYFUNCTION("""COMPUTED_VALUE"""),3.0)</f>
        <v>3</v>
      </c>
      <c r="R144" s="2">
        <f>IFERROR(__xludf.DUMMYFUNCTION("""COMPUTED_VALUE"""),2025.0)</f>
        <v>2025</v>
      </c>
      <c r="S144" s="2" t="str">
        <f>IFERROR(__xludf.DUMMYFUNCTION("""COMPUTED_VALUE"""),"Digizag")</f>
        <v>Digizag</v>
      </c>
      <c r="T144" s="2" t="str">
        <f>IFERROR(__xludf.DUMMYFUNCTION("""COMPUTED_VALUE"""),"Digizag")</f>
        <v>Digizag</v>
      </c>
      <c r="U144" s="5">
        <f>IFERROR(__xludf.DUMMYFUNCTION("""COMPUTED_VALUE"""),297.55032273140006)</f>
        <v>297.5503227</v>
      </c>
      <c r="V144" s="2"/>
      <c r="W144" s="2"/>
      <c r="X144" s="2"/>
      <c r="Y144" s="2"/>
      <c r="Z144" s="2"/>
    </row>
    <row r="145">
      <c r="A145" s="6">
        <f>IFERROR(__xludf.DUMMYFUNCTION("""COMPUTED_VALUE"""),45741.72577546296)</f>
        <v>45741.72578</v>
      </c>
      <c r="B145" s="2" t="str">
        <f>IFERROR(__xludf.DUMMYFUNCTION("""COMPUTED_VALUE"""),"March")</f>
        <v>March</v>
      </c>
      <c r="C145" s="3">
        <f>IFERROR(__xludf.DUMMYFUNCTION("""COMPUTED_VALUE"""),49118.0)</f>
        <v>49118</v>
      </c>
      <c r="D145" s="2" t="str">
        <f>IFERROR(__xludf.DUMMYFUNCTION("""COMPUTED_VALUE"""),"DB3")</f>
        <v>DB3</v>
      </c>
      <c r="E145" s="2" t="str">
        <f>IFERROR(__xludf.DUMMYFUNCTION("""COMPUTED_VALUE"""),"Imported from file Digizag.xlsx")</f>
        <v>Imported from file Digizag.xlsx</v>
      </c>
      <c r="F145" s="2" t="str">
        <f>IFERROR(__xludf.DUMMYFUNCTION("""COMPUTED_VALUE"""),"LRM261562")</f>
        <v>LRM261562</v>
      </c>
      <c r="G145" s="2" t="str">
        <f>IFERROR(__xludf.DUMMYFUNCTION("""COMPUTED_VALUE"""),"Kingdom of Saudi Arabia")</f>
        <v>Kingdom of Saudi Arabia</v>
      </c>
      <c r="H145" s="4">
        <f>IFERROR(__xludf.DUMMYFUNCTION("""COMPUTED_VALUE"""),216.0)</f>
        <v>216</v>
      </c>
      <c r="I145" s="3">
        <f>IFERROR(__xludf.DUMMYFUNCTION("""COMPUTED_VALUE"""),0.0)</f>
        <v>0</v>
      </c>
      <c r="J145" s="4">
        <f>IFERROR(__xludf.DUMMYFUNCTION("""COMPUTED_VALUE"""),21.6)</f>
        <v>21.6</v>
      </c>
      <c r="K145" s="2"/>
      <c r="L145" s="2" t="str">
        <f>IFERROR(__xludf.DUMMYFUNCTION("""COMPUTED_VALUE"""),"Delivered")</f>
        <v>Delivered</v>
      </c>
      <c r="M145" s="2" t="str">
        <f>IFERROR(__xludf.DUMMYFUNCTION("""COMPUTED_VALUE"""),"SR")</f>
        <v>SR</v>
      </c>
      <c r="N145" s="2" t="str">
        <f>IFERROR(__xludf.DUMMYFUNCTION("""COMPUTED_VALUE"""),"Credit, Debit, Apple Pay")</f>
        <v>Credit, Debit, Apple Pay</v>
      </c>
      <c r="O145" s="4">
        <f>IFERROR(__xludf.DUMMYFUNCTION("""COMPUTED_VALUE"""),0.0)</f>
        <v>0</v>
      </c>
      <c r="P145" s="2">
        <f>IFERROR(__xludf.DUMMYFUNCTION("""COMPUTED_VALUE"""),25.0)</f>
        <v>25</v>
      </c>
      <c r="Q145" s="2">
        <f>IFERROR(__xludf.DUMMYFUNCTION("""COMPUTED_VALUE"""),3.0)</f>
        <v>3</v>
      </c>
      <c r="R145" s="2">
        <f>IFERROR(__xludf.DUMMYFUNCTION("""COMPUTED_VALUE"""),2025.0)</f>
        <v>2025</v>
      </c>
      <c r="S145" s="2" t="str">
        <f>IFERROR(__xludf.DUMMYFUNCTION("""COMPUTED_VALUE"""),"Digizag")</f>
        <v>Digizag</v>
      </c>
      <c r="T145" s="2" t="str">
        <f>IFERROR(__xludf.DUMMYFUNCTION("""COMPUTED_VALUE"""),"Digizag")</f>
        <v>Digizag</v>
      </c>
      <c r="U145" s="5">
        <f>IFERROR(__xludf.DUMMYFUNCTION("""COMPUTED_VALUE"""),57.59554593600001)</f>
        <v>57.59554594</v>
      </c>
      <c r="V145" s="2"/>
      <c r="W145" s="2"/>
      <c r="X145" s="2"/>
      <c r="Y145" s="2"/>
      <c r="Z145" s="2"/>
    </row>
    <row r="146">
      <c r="A146" s="6">
        <f>IFERROR(__xludf.DUMMYFUNCTION("""COMPUTED_VALUE"""),45741.75703703704)</f>
        <v>45741.75704</v>
      </c>
      <c r="B146" s="2" t="str">
        <f>IFERROR(__xludf.DUMMYFUNCTION("""COMPUTED_VALUE"""),"March")</f>
        <v>March</v>
      </c>
      <c r="C146" s="3">
        <f>IFERROR(__xludf.DUMMYFUNCTION("""COMPUTED_VALUE"""),510619.0)</f>
        <v>510619</v>
      </c>
      <c r="D146" s="2" t="str">
        <f>IFERROR(__xludf.DUMMYFUNCTION("""COMPUTED_VALUE"""),"MNN16")</f>
        <v>MNN16</v>
      </c>
      <c r="E146" s="2" t="str">
        <f>IFERROR(__xludf.DUMMYFUNCTION("""COMPUTED_VALUE"""),"Imported from file DigiZag Bidding Codes.xlsx")</f>
        <v>Imported from file DigiZag Bidding Codes.xlsx</v>
      </c>
      <c r="F146" s="2" t="str">
        <f>IFERROR(__xludf.DUMMYFUNCTION("""COMPUTED_VALUE"""),"NGQ911776")</f>
        <v>NGQ911776</v>
      </c>
      <c r="G146" s="2" t="str">
        <f>IFERROR(__xludf.DUMMYFUNCTION("""COMPUTED_VALUE"""),"Kingdom of Saudi Arabia")</f>
        <v>Kingdom of Saudi Arabia</v>
      </c>
      <c r="H146" s="4">
        <f>IFERROR(__xludf.DUMMYFUNCTION("""COMPUTED_VALUE"""),44.88)</f>
        <v>44.88</v>
      </c>
      <c r="I146" s="3">
        <f>IFERROR(__xludf.DUMMYFUNCTION("""COMPUTED_VALUE"""),0.0)</f>
        <v>0</v>
      </c>
      <c r="J146" s="4">
        <f>IFERROR(__xludf.DUMMYFUNCTION("""COMPUTED_VALUE"""),4.48)</f>
        <v>4.48</v>
      </c>
      <c r="K146" s="2"/>
      <c r="L146" s="2" t="str">
        <f>IFERROR(__xludf.DUMMYFUNCTION("""COMPUTED_VALUE"""),"Delivered")</f>
        <v>Delivered</v>
      </c>
      <c r="M146" s="2" t="str">
        <f>IFERROR(__xludf.DUMMYFUNCTION("""COMPUTED_VALUE"""),"SR")</f>
        <v>SR</v>
      </c>
      <c r="N146" s="2" t="str">
        <f>IFERROR(__xludf.DUMMYFUNCTION("""COMPUTED_VALUE"""),"Credit, Debit, Apple Pay")</f>
        <v>Credit, Debit, Apple Pay</v>
      </c>
      <c r="O146" s="4">
        <f>IFERROR(__xludf.DUMMYFUNCTION("""COMPUTED_VALUE"""),0.0)</f>
        <v>0</v>
      </c>
      <c r="P146" s="2">
        <f>IFERROR(__xludf.DUMMYFUNCTION("""COMPUTED_VALUE"""),25.0)</f>
        <v>25</v>
      </c>
      <c r="Q146" s="2">
        <f>IFERROR(__xludf.DUMMYFUNCTION("""COMPUTED_VALUE"""),3.0)</f>
        <v>3</v>
      </c>
      <c r="R146" s="2">
        <f>IFERROR(__xludf.DUMMYFUNCTION("""COMPUTED_VALUE"""),2025.0)</f>
        <v>2025</v>
      </c>
      <c r="S146" s="2" t="str">
        <f>IFERROR(__xludf.DUMMYFUNCTION("""COMPUTED_VALUE"""),"Digizag")</f>
        <v>Digizag</v>
      </c>
      <c r="T146" s="2" t="str">
        <f>IFERROR(__xludf.DUMMYFUNCTION("""COMPUTED_VALUE"""),"Digizag")</f>
        <v>Digizag</v>
      </c>
      <c r="U146" s="5">
        <f>IFERROR(__xludf.DUMMYFUNCTION("""COMPUTED_VALUE"""),11.967074544480003)</f>
        <v>11.96707454</v>
      </c>
      <c r="V146" s="2"/>
      <c r="W146" s="2"/>
      <c r="X146" s="2"/>
      <c r="Y146" s="2"/>
      <c r="Z146" s="2"/>
    </row>
    <row r="147">
      <c r="A147" s="6">
        <f>IFERROR(__xludf.DUMMYFUNCTION("""COMPUTED_VALUE"""),45741.83155092593)</f>
        <v>45741.83155</v>
      </c>
      <c r="B147" s="2" t="str">
        <f>IFERROR(__xludf.DUMMYFUNCTION("""COMPUTED_VALUE"""),"March")</f>
        <v>March</v>
      </c>
      <c r="C147" s="3">
        <f>IFERROR(__xludf.DUMMYFUNCTION("""COMPUTED_VALUE"""),582906.0)</f>
        <v>582906</v>
      </c>
      <c r="D147" s="2" t="str">
        <f>IFERROR(__xludf.DUMMYFUNCTION("""COMPUTED_VALUE"""),"MNN16")</f>
        <v>MNN16</v>
      </c>
      <c r="E147" s="2" t="str">
        <f>IFERROR(__xludf.DUMMYFUNCTION("""COMPUTED_VALUE"""),"Imported from file DigiZag Bidding Codes.xlsx")</f>
        <v>Imported from file DigiZag Bidding Codes.xlsx</v>
      </c>
      <c r="F147" s="2" t="str">
        <f>IFERROR(__xludf.DUMMYFUNCTION("""COMPUTED_VALUE"""),"HGV260678")</f>
        <v>HGV260678</v>
      </c>
      <c r="G147" s="2" t="str">
        <f>IFERROR(__xludf.DUMMYFUNCTION("""COMPUTED_VALUE"""),"Kingdom of Saudi Arabia")</f>
        <v>Kingdom of Saudi Arabia</v>
      </c>
      <c r="H147" s="4">
        <f>IFERROR(__xludf.DUMMYFUNCTION("""COMPUTED_VALUE"""),232.0)</f>
        <v>232</v>
      </c>
      <c r="I147" s="3">
        <f>IFERROR(__xludf.DUMMYFUNCTION("""COMPUTED_VALUE"""),0.0)</f>
        <v>0</v>
      </c>
      <c r="J147" s="4">
        <f>IFERROR(__xludf.DUMMYFUNCTION("""COMPUTED_VALUE"""),23.2)</f>
        <v>23.2</v>
      </c>
      <c r="K147" s="2"/>
      <c r="L147" s="2" t="str">
        <f>IFERROR(__xludf.DUMMYFUNCTION("""COMPUTED_VALUE"""),"Delivered")</f>
        <v>Delivered</v>
      </c>
      <c r="M147" s="2" t="str">
        <f>IFERROR(__xludf.DUMMYFUNCTION("""COMPUTED_VALUE"""),"SR")</f>
        <v>SR</v>
      </c>
      <c r="N147" s="2" t="str">
        <f>IFERROR(__xludf.DUMMYFUNCTION("""COMPUTED_VALUE"""),"Credit, Debit, Apple Pay")</f>
        <v>Credit, Debit, Apple Pay</v>
      </c>
      <c r="O147" s="4">
        <f>IFERROR(__xludf.DUMMYFUNCTION("""COMPUTED_VALUE"""),0.0)</f>
        <v>0</v>
      </c>
      <c r="P147" s="2">
        <f>IFERROR(__xludf.DUMMYFUNCTION("""COMPUTED_VALUE"""),25.0)</f>
        <v>25</v>
      </c>
      <c r="Q147" s="2">
        <f>IFERROR(__xludf.DUMMYFUNCTION("""COMPUTED_VALUE"""),3.0)</f>
        <v>3</v>
      </c>
      <c r="R147" s="2">
        <f>IFERROR(__xludf.DUMMYFUNCTION("""COMPUTED_VALUE"""),2025.0)</f>
        <v>2025</v>
      </c>
      <c r="S147" s="2" t="str">
        <f>IFERROR(__xludf.DUMMYFUNCTION("""COMPUTED_VALUE"""),"Digizag")</f>
        <v>Digizag</v>
      </c>
      <c r="T147" s="2" t="str">
        <f>IFERROR(__xludf.DUMMYFUNCTION("""COMPUTED_VALUE"""),"Digizag")</f>
        <v>Digizag</v>
      </c>
      <c r="U147" s="5">
        <f>IFERROR(__xludf.DUMMYFUNCTION("""COMPUTED_VALUE"""),61.86188267200001)</f>
        <v>61.86188267</v>
      </c>
      <c r="V147" s="2"/>
      <c r="W147" s="2"/>
      <c r="X147" s="2"/>
      <c r="Y147" s="2"/>
      <c r="Z147" s="2"/>
    </row>
    <row r="148">
      <c r="A148" s="6">
        <f>IFERROR(__xludf.DUMMYFUNCTION("""COMPUTED_VALUE"""),45741.85098379629)</f>
        <v>45741.85098</v>
      </c>
      <c r="B148" s="2" t="str">
        <f>IFERROR(__xludf.DUMMYFUNCTION("""COMPUTED_VALUE"""),"March")</f>
        <v>March</v>
      </c>
      <c r="C148" s="3">
        <f>IFERROR(__xludf.DUMMYFUNCTION("""COMPUTED_VALUE"""),709699.0)</f>
        <v>709699</v>
      </c>
      <c r="D148" s="2" t="str">
        <f>IFERROR(__xludf.DUMMYFUNCTION("""COMPUTED_VALUE"""),"MNN16")</f>
        <v>MNN16</v>
      </c>
      <c r="E148" s="2" t="str">
        <f>IFERROR(__xludf.DUMMYFUNCTION("""COMPUTED_VALUE"""),"Imported from file DigiZag Bidding Codes.xlsx")</f>
        <v>Imported from file DigiZag Bidding Codes.xlsx</v>
      </c>
      <c r="F148" s="2" t="str">
        <f>IFERROR(__xludf.DUMMYFUNCTION("""COMPUTED_VALUE"""),"DQU923914")</f>
        <v>DQU923914</v>
      </c>
      <c r="G148" s="2" t="str">
        <f>IFERROR(__xludf.DUMMYFUNCTION("""COMPUTED_VALUE"""),"Kingdom of Saudi Arabia")</f>
        <v>Kingdom of Saudi Arabia</v>
      </c>
      <c r="H148" s="4">
        <f>IFERROR(__xludf.DUMMYFUNCTION("""COMPUTED_VALUE"""),481.81)</f>
        <v>481.81</v>
      </c>
      <c r="I148" s="3">
        <f>IFERROR(__xludf.DUMMYFUNCTION("""COMPUTED_VALUE"""),0.0)</f>
        <v>0</v>
      </c>
      <c r="J148" s="4">
        <f>IFERROR(__xludf.DUMMYFUNCTION("""COMPUTED_VALUE"""),48.17)</f>
        <v>48.17</v>
      </c>
      <c r="K148" s="2"/>
      <c r="L148" s="2" t="str">
        <f>IFERROR(__xludf.DUMMYFUNCTION("""COMPUTED_VALUE"""),"Delivered")</f>
        <v>Delivered</v>
      </c>
      <c r="M148" s="2" t="str">
        <f>IFERROR(__xludf.DUMMYFUNCTION("""COMPUTED_VALUE"""),"SR")</f>
        <v>SR</v>
      </c>
      <c r="N148" s="2" t="str">
        <f>IFERROR(__xludf.DUMMYFUNCTION("""COMPUTED_VALUE"""),"Credit, Debit, Apple Pay")</f>
        <v>Credit, Debit, Apple Pay</v>
      </c>
      <c r="O148" s="4">
        <f>IFERROR(__xludf.DUMMYFUNCTION("""COMPUTED_VALUE"""),0.0)</f>
        <v>0</v>
      </c>
      <c r="P148" s="2">
        <f>IFERROR(__xludf.DUMMYFUNCTION("""COMPUTED_VALUE"""),25.0)</f>
        <v>25</v>
      </c>
      <c r="Q148" s="2">
        <f>IFERROR(__xludf.DUMMYFUNCTION("""COMPUTED_VALUE"""),3.0)</f>
        <v>3</v>
      </c>
      <c r="R148" s="2">
        <f>IFERROR(__xludf.DUMMYFUNCTION("""COMPUTED_VALUE"""),2025.0)</f>
        <v>2025</v>
      </c>
      <c r="S148" s="2" t="str">
        <f>IFERROR(__xludf.DUMMYFUNCTION("""COMPUTED_VALUE"""),"Digizag")</f>
        <v>Digizag</v>
      </c>
      <c r="T148" s="2" t="str">
        <f>IFERROR(__xludf.DUMMYFUNCTION("""COMPUTED_VALUE"""),"Digizag")</f>
        <v>Digizag</v>
      </c>
      <c r="U148" s="5">
        <f>IFERROR(__xludf.DUMMYFUNCTION("""COMPUTED_VALUE"""),128.47273142326)</f>
        <v>128.4727314</v>
      </c>
      <c r="V148" s="2"/>
      <c r="W148" s="2"/>
      <c r="X148" s="2"/>
      <c r="Y148" s="2"/>
      <c r="Z148" s="2"/>
    </row>
    <row r="149">
      <c r="A149" s="6">
        <f>IFERROR(__xludf.DUMMYFUNCTION("""COMPUTED_VALUE"""),45741.88335648148)</f>
        <v>45741.88336</v>
      </c>
      <c r="B149" s="2" t="str">
        <f>IFERROR(__xludf.DUMMYFUNCTION("""COMPUTED_VALUE"""),"March")</f>
        <v>March</v>
      </c>
      <c r="C149" s="3">
        <f>IFERROR(__xludf.DUMMYFUNCTION("""COMPUTED_VALUE"""),709722.0)</f>
        <v>709722</v>
      </c>
      <c r="D149" s="2" t="str">
        <f>IFERROR(__xludf.DUMMYFUNCTION("""COMPUTED_VALUE"""),"DB3")</f>
        <v>DB3</v>
      </c>
      <c r="E149" s="2" t="str">
        <f>IFERROR(__xludf.DUMMYFUNCTION("""COMPUTED_VALUE"""),"Imported from file Digizag.xlsx")</f>
        <v>Imported from file Digizag.xlsx</v>
      </c>
      <c r="F149" s="2" t="str">
        <f>IFERROR(__xludf.DUMMYFUNCTION("""COMPUTED_VALUE"""),"BLN475480")</f>
        <v>BLN475480</v>
      </c>
      <c r="G149" s="2" t="str">
        <f>IFERROR(__xludf.DUMMYFUNCTION("""COMPUTED_VALUE"""),"Kingdom of Saudi Arabia")</f>
        <v>Kingdom of Saudi Arabia</v>
      </c>
      <c r="H149" s="4">
        <f>IFERROR(__xludf.DUMMYFUNCTION("""COMPUTED_VALUE"""),226.74)</f>
        <v>226.74</v>
      </c>
      <c r="I149" s="3">
        <f>IFERROR(__xludf.DUMMYFUNCTION("""COMPUTED_VALUE"""),0.0)</f>
        <v>0</v>
      </c>
      <c r="J149" s="4">
        <f>IFERROR(__xludf.DUMMYFUNCTION("""COMPUTED_VALUE"""),22.66)</f>
        <v>22.66</v>
      </c>
      <c r="K149" s="2"/>
      <c r="L149" s="2" t="str">
        <f>IFERROR(__xludf.DUMMYFUNCTION("""COMPUTED_VALUE"""),"Delivered")</f>
        <v>Delivered</v>
      </c>
      <c r="M149" s="2" t="str">
        <f>IFERROR(__xludf.DUMMYFUNCTION("""COMPUTED_VALUE"""),"SR")</f>
        <v>SR</v>
      </c>
      <c r="N149" s="2" t="str">
        <f>IFERROR(__xludf.DUMMYFUNCTION("""COMPUTED_VALUE"""),"Pay in 4. No interest, no fees")</f>
        <v>Pay in 4. No interest, no fees</v>
      </c>
      <c r="O149" s="4">
        <f>IFERROR(__xludf.DUMMYFUNCTION("""COMPUTED_VALUE"""),0.0)</f>
        <v>0</v>
      </c>
      <c r="P149" s="2">
        <f>IFERROR(__xludf.DUMMYFUNCTION("""COMPUTED_VALUE"""),25.0)</f>
        <v>25</v>
      </c>
      <c r="Q149" s="2">
        <f>IFERROR(__xludf.DUMMYFUNCTION("""COMPUTED_VALUE"""),3.0)</f>
        <v>3</v>
      </c>
      <c r="R149" s="2">
        <f>IFERROR(__xludf.DUMMYFUNCTION("""COMPUTED_VALUE"""),2025.0)</f>
        <v>2025</v>
      </c>
      <c r="S149" s="2" t="str">
        <f>IFERROR(__xludf.DUMMYFUNCTION("""COMPUTED_VALUE"""),"Digizag")</f>
        <v>Digizag</v>
      </c>
      <c r="T149" s="2" t="str">
        <f>IFERROR(__xludf.DUMMYFUNCTION("""COMPUTED_VALUE"""),"Digizag")</f>
        <v>Digizag</v>
      </c>
      <c r="U149" s="5">
        <f>IFERROR(__xludf.DUMMYFUNCTION("""COMPUTED_VALUE"""),60.45932447004001)</f>
        <v>60.45932447</v>
      </c>
      <c r="V149" s="2"/>
      <c r="W149" s="2"/>
      <c r="X149" s="2"/>
      <c r="Y149" s="2"/>
      <c r="Z149" s="2"/>
    </row>
    <row r="150">
      <c r="A150" s="6">
        <f>IFERROR(__xludf.DUMMYFUNCTION("""COMPUTED_VALUE"""),45741.97866898148)</f>
        <v>45741.97867</v>
      </c>
      <c r="B150" s="2" t="str">
        <f>IFERROR(__xludf.DUMMYFUNCTION("""COMPUTED_VALUE"""),"March")</f>
        <v>March</v>
      </c>
      <c r="C150" s="3">
        <f>IFERROR(__xludf.DUMMYFUNCTION("""COMPUTED_VALUE"""),679754.0)</f>
        <v>679754</v>
      </c>
      <c r="D150" s="2" t="str">
        <f>IFERROR(__xludf.DUMMYFUNCTION("""COMPUTED_VALUE"""),"MNN16")</f>
        <v>MNN16</v>
      </c>
      <c r="E150" s="2" t="str">
        <f>IFERROR(__xludf.DUMMYFUNCTION("""COMPUTED_VALUE"""),"Imported from file DigiZag Codes 25Feb25.xlsx")</f>
        <v>Imported from file DigiZag Codes 25Feb25.xlsx</v>
      </c>
      <c r="F150" s="2" t="str">
        <f>IFERROR(__xludf.DUMMYFUNCTION("""COMPUTED_VALUE"""),"GGS150353")</f>
        <v>GGS150353</v>
      </c>
      <c r="G150" s="2" t="str">
        <f>IFERROR(__xludf.DUMMYFUNCTION("""COMPUTED_VALUE"""),"UAE")</f>
        <v>UAE</v>
      </c>
      <c r="H150" s="4">
        <f>IFERROR(__xludf.DUMMYFUNCTION("""COMPUTED_VALUE"""),264.0)</f>
        <v>264</v>
      </c>
      <c r="I150" s="3">
        <f>IFERROR(__xludf.DUMMYFUNCTION("""COMPUTED_VALUE"""),0.0)</f>
        <v>0</v>
      </c>
      <c r="J150" s="4">
        <f>IFERROR(__xludf.DUMMYFUNCTION("""COMPUTED_VALUE"""),26.4)</f>
        <v>26.4</v>
      </c>
      <c r="K150" s="2"/>
      <c r="L150" s="2" t="str">
        <f>IFERROR(__xludf.DUMMYFUNCTION("""COMPUTED_VALUE"""),"Delivered")</f>
        <v>Delivered</v>
      </c>
      <c r="M150" s="2" t="str">
        <f>IFERROR(__xludf.DUMMYFUNCTION("""COMPUTED_VALUE"""),"AED")</f>
        <v>AED</v>
      </c>
      <c r="N150" s="2" t="str">
        <f>IFERROR(__xludf.DUMMYFUNCTION("""COMPUTED_VALUE"""),"Credit, Debit , Apple Pay")</f>
        <v>Credit, Debit , Apple Pay</v>
      </c>
      <c r="O150" s="4">
        <f>IFERROR(__xludf.DUMMYFUNCTION("""COMPUTED_VALUE"""),0.0)</f>
        <v>0</v>
      </c>
      <c r="P150" s="2">
        <f>IFERROR(__xludf.DUMMYFUNCTION("""COMPUTED_VALUE"""),25.0)</f>
        <v>25</v>
      </c>
      <c r="Q150" s="2">
        <f>IFERROR(__xludf.DUMMYFUNCTION("""COMPUTED_VALUE"""),3.0)</f>
        <v>3</v>
      </c>
      <c r="R150" s="2">
        <f>IFERROR(__xludf.DUMMYFUNCTION("""COMPUTED_VALUE"""),2025.0)</f>
        <v>2025</v>
      </c>
      <c r="S150" s="2" t="str">
        <f>IFERROR(__xludf.DUMMYFUNCTION("""COMPUTED_VALUE"""),"Digizag")</f>
        <v>Digizag</v>
      </c>
      <c r="T150" s="2" t="str">
        <f>IFERROR(__xludf.DUMMYFUNCTION("""COMPUTED_VALUE"""),"Digizag")</f>
        <v>Digizag</v>
      </c>
      <c r="U150" s="5">
        <f>IFERROR(__xludf.DUMMYFUNCTION("""COMPUTED_VALUE"""),71.885636592)</f>
        <v>71.88563659</v>
      </c>
      <c r="V150" s="2"/>
      <c r="W150" s="2"/>
      <c r="X150" s="2"/>
      <c r="Y150" s="2"/>
      <c r="Z150" s="2"/>
    </row>
    <row r="151">
      <c r="A151" s="6">
        <f>IFERROR(__xludf.DUMMYFUNCTION("""COMPUTED_VALUE"""),45742.06575231481)</f>
        <v>45742.06575</v>
      </c>
      <c r="B151" s="2" t="str">
        <f>IFERROR(__xludf.DUMMYFUNCTION("""COMPUTED_VALUE"""),"March")</f>
        <v>March</v>
      </c>
      <c r="C151" s="3">
        <f>IFERROR(__xludf.DUMMYFUNCTION("""COMPUTED_VALUE"""),689406.0)</f>
        <v>689406</v>
      </c>
      <c r="D151" s="2" t="str">
        <f>IFERROR(__xludf.DUMMYFUNCTION("""COMPUTED_VALUE"""),"MNN16")</f>
        <v>MNN16</v>
      </c>
      <c r="E151" s="2" t="str">
        <f>IFERROR(__xludf.DUMMYFUNCTION("""COMPUTED_VALUE"""),"Imported from file DigiZag Bidding Codes.xlsx")</f>
        <v>Imported from file DigiZag Bidding Codes.xlsx</v>
      </c>
      <c r="F151" s="2" t="str">
        <f>IFERROR(__xludf.DUMMYFUNCTION("""COMPUTED_VALUE"""),"WLR825664")</f>
        <v>WLR825664</v>
      </c>
      <c r="G151" s="2" t="str">
        <f>IFERROR(__xludf.DUMMYFUNCTION("""COMPUTED_VALUE"""),"Kingdom of Saudi Arabia")</f>
        <v>Kingdom of Saudi Arabia</v>
      </c>
      <c r="H151" s="4">
        <f>IFERROR(__xludf.DUMMYFUNCTION("""COMPUTED_VALUE"""),86.0)</f>
        <v>86</v>
      </c>
      <c r="I151" s="3">
        <f>IFERROR(__xludf.DUMMYFUNCTION("""COMPUTED_VALUE"""),0.0)</f>
        <v>0</v>
      </c>
      <c r="J151" s="4">
        <f>IFERROR(__xludf.DUMMYFUNCTION("""COMPUTED_VALUE"""),8.6)</f>
        <v>8.6</v>
      </c>
      <c r="K151" s="2"/>
      <c r="L151" s="2" t="str">
        <f>IFERROR(__xludf.DUMMYFUNCTION("""COMPUTED_VALUE"""),"Delivered")</f>
        <v>Delivered</v>
      </c>
      <c r="M151" s="2" t="str">
        <f>IFERROR(__xludf.DUMMYFUNCTION("""COMPUTED_VALUE"""),"SR")</f>
        <v>SR</v>
      </c>
      <c r="N151" s="2" t="str">
        <f>IFERROR(__xludf.DUMMYFUNCTION("""COMPUTED_VALUE"""),"Credit, Debit, Apple Pay")</f>
        <v>Credit, Debit, Apple Pay</v>
      </c>
      <c r="O151" s="4">
        <f>IFERROR(__xludf.DUMMYFUNCTION("""COMPUTED_VALUE"""),0.0)</f>
        <v>0</v>
      </c>
      <c r="P151" s="2">
        <f>IFERROR(__xludf.DUMMYFUNCTION("""COMPUTED_VALUE"""),26.0)</f>
        <v>26</v>
      </c>
      <c r="Q151" s="2">
        <f>IFERROR(__xludf.DUMMYFUNCTION("""COMPUTED_VALUE"""),3.0)</f>
        <v>3</v>
      </c>
      <c r="R151" s="2">
        <f>IFERROR(__xludf.DUMMYFUNCTION("""COMPUTED_VALUE"""),2025.0)</f>
        <v>2025</v>
      </c>
      <c r="S151" s="2" t="str">
        <f>IFERROR(__xludf.DUMMYFUNCTION("""COMPUTED_VALUE"""),"Digizag")</f>
        <v>Digizag</v>
      </c>
      <c r="T151" s="2" t="str">
        <f>IFERROR(__xludf.DUMMYFUNCTION("""COMPUTED_VALUE"""),"Digizag")</f>
        <v>Digizag</v>
      </c>
      <c r="U151" s="5">
        <f>IFERROR(__xludf.DUMMYFUNCTION("""COMPUTED_VALUE"""),22.931559956)</f>
        <v>22.93155996</v>
      </c>
      <c r="V151" s="2"/>
      <c r="W151" s="2"/>
      <c r="X151" s="2"/>
      <c r="Y151" s="2"/>
      <c r="Z151" s="2"/>
    </row>
    <row r="152">
      <c r="A152" s="6">
        <f>IFERROR(__xludf.DUMMYFUNCTION("""COMPUTED_VALUE"""),45742.12982638889)</f>
        <v>45742.12983</v>
      </c>
      <c r="B152" s="2" t="str">
        <f>IFERROR(__xludf.DUMMYFUNCTION("""COMPUTED_VALUE"""),"March")</f>
        <v>March</v>
      </c>
      <c r="C152" s="3">
        <f>IFERROR(__xludf.DUMMYFUNCTION("""COMPUTED_VALUE"""),672715.0)</f>
        <v>672715</v>
      </c>
      <c r="D152" s="2" t="str">
        <f>IFERROR(__xludf.DUMMYFUNCTION("""COMPUTED_VALUE"""),"MNN16")</f>
        <v>MNN16</v>
      </c>
      <c r="E152" s="2" t="str">
        <f>IFERROR(__xludf.DUMMYFUNCTION("""COMPUTED_VALUE"""),"Imported from file DigiZag Bidding Codes.xlsx")</f>
        <v>Imported from file DigiZag Bidding Codes.xlsx</v>
      </c>
      <c r="F152" s="2" t="str">
        <f>IFERROR(__xludf.DUMMYFUNCTION("""COMPUTED_VALUE"""),"GEZ257147")</f>
        <v>GEZ257147</v>
      </c>
      <c r="G152" s="2" t="str">
        <f>IFERROR(__xludf.DUMMYFUNCTION("""COMPUTED_VALUE"""),"Kingdom of Saudi Arabia")</f>
        <v>Kingdom of Saudi Arabia</v>
      </c>
      <c r="H152" s="4">
        <f>IFERROR(__xludf.DUMMYFUNCTION("""COMPUTED_VALUE"""),264.0)</f>
        <v>264</v>
      </c>
      <c r="I152" s="3">
        <f>IFERROR(__xludf.DUMMYFUNCTION("""COMPUTED_VALUE"""),0.0)</f>
        <v>0</v>
      </c>
      <c r="J152" s="4">
        <f>IFERROR(__xludf.DUMMYFUNCTION("""COMPUTED_VALUE"""),26.4)</f>
        <v>26.4</v>
      </c>
      <c r="K152" s="2"/>
      <c r="L152" s="2" t="str">
        <f>IFERROR(__xludf.DUMMYFUNCTION("""COMPUTED_VALUE"""),"Delivered")</f>
        <v>Delivered</v>
      </c>
      <c r="M152" s="2" t="str">
        <f>IFERROR(__xludf.DUMMYFUNCTION("""COMPUTED_VALUE"""),"SR")</f>
        <v>SR</v>
      </c>
      <c r="N152" s="2" t="str">
        <f>IFERROR(__xludf.DUMMYFUNCTION("""COMPUTED_VALUE"""),"Pay in 4. No interest, no fees")</f>
        <v>Pay in 4. No interest, no fees</v>
      </c>
      <c r="O152" s="4">
        <f>IFERROR(__xludf.DUMMYFUNCTION("""COMPUTED_VALUE"""),0.0)</f>
        <v>0</v>
      </c>
      <c r="P152" s="2">
        <f>IFERROR(__xludf.DUMMYFUNCTION("""COMPUTED_VALUE"""),26.0)</f>
        <v>26</v>
      </c>
      <c r="Q152" s="2">
        <f>IFERROR(__xludf.DUMMYFUNCTION("""COMPUTED_VALUE"""),3.0)</f>
        <v>3</v>
      </c>
      <c r="R152" s="2">
        <f>IFERROR(__xludf.DUMMYFUNCTION("""COMPUTED_VALUE"""),2025.0)</f>
        <v>2025</v>
      </c>
      <c r="S152" s="2" t="str">
        <f>IFERROR(__xludf.DUMMYFUNCTION("""COMPUTED_VALUE"""),"Digizag")</f>
        <v>Digizag</v>
      </c>
      <c r="T152" s="2" t="str">
        <f>IFERROR(__xludf.DUMMYFUNCTION("""COMPUTED_VALUE"""),"Digizag")</f>
        <v>Digizag</v>
      </c>
      <c r="U152" s="5">
        <f>IFERROR(__xludf.DUMMYFUNCTION("""COMPUTED_VALUE"""),70.394556144)</f>
        <v>70.39455614</v>
      </c>
      <c r="V152" s="2"/>
      <c r="W152" s="2"/>
      <c r="X152" s="2"/>
      <c r="Y152" s="2"/>
      <c r="Z152" s="2"/>
    </row>
    <row r="153">
      <c r="A153" s="6">
        <f>IFERROR(__xludf.DUMMYFUNCTION("""COMPUTED_VALUE"""),45742.197129629625)</f>
        <v>45742.19713</v>
      </c>
      <c r="B153" s="2" t="str">
        <f>IFERROR(__xludf.DUMMYFUNCTION("""COMPUTED_VALUE"""),"March")</f>
        <v>March</v>
      </c>
      <c r="C153" s="3">
        <f>IFERROR(__xludf.DUMMYFUNCTION("""COMPUTED_VALUE"""),709934.0)</f>
        <v>709934</v>
      </c>
      <c r="D153" s="2" t="str">
        <f>IFERROR(__xludf.DUMMYFUNCTION("""COMPUTED_VALUE"""),"MNN16")</f>
        <v>MNN16</v>
      </c>
      <c r="E153" s="2" t="str">
        <f>IFERROR(__xludf.DUMMYFUNCTION("""COMPUTED_VALUE"""),"Imported from file DigiZag Bidding Codes.xlsx")</f>
        <v>Imported from file DigiZag Bidding Codes.xlsx</v>
      </c>
      <c r="F153" s="2" t="str">
        <f>IFERROR(__xludf.DUMMYFUNCTION("""COMPUTED_VALUE"""),"BBY567340")</f>
        <v>BBY567340</v>
      </c>
      <c r="G153" s="2" t="str">
        <f>IFERROR(__xludf.DUMMYFUNCTION("""COMPUTED_VALUE"""),"Kingdom of Saudi Arabia")</f>
        <v>Kingdom of Saudi Arabia</v>
      </c>
      <c r="H153" s="4">
        <f>IFERROR(__xludf.DUMMYFUNCTION("""COMPUTED_VALUE"""),132.87)</f>
        <v>132.87</v>
      </c>
      <c r="I153" s="3">
        <f>IFERROR(__xludf.DUMMYFUNCTION("""COMPUTED_VALUE"""),0.0)</f>
        <v>0</v>
      </c>
      <c r="J153" s="4">
        <f>IFERROR(__xludf.DUMMYFUNCTION("""COMPUTED_VALUE"""),13.28)</f>
        <v>13.28</v>
      </c>
      <c r="K153" s="2"/>
      <c r="L153" s="2" t="str">
        <f>IFERROR(__xludf.DUMMYFUNCTION("""COMPUTED_VALUE"""),"Delivered")</f>
        <v>Delivered</v>
      </c>
      <c r="M153" s="2" t="str">
        <f>IFERROR(__xludf.DUMMYFUNCTION("""COMPUTED_VALUE"""),"SR")</f>
        <v>SR</v>
      </c>
      <c r="N153" s="2" t="str">
        <f>IFERROR(__xludf.DUMMYFUNCTION("""COMPUTED_VALUE"""),"Credit, Debit, Apple Pay")</f>
        <v>Credit, Debit, Apple Pay</v>
      </c>
      <c r="O153" s="4">
        <f>IFERROR(__xludf.DUMMYFUNCTION("""COMPUTED_VALUE"""),0.0)</f>
        <v>0</v>
      </c>
      <c r="P153" s="2">
        <f>IFERROR(__xludf.DUMMYFUNCTION("""COMPUTED_VALUE"""),26.0)</f>
        <v>26</v>
      </c>
      <c r="Q153" s="2">
        <f>IFERROR(__xludf.DUMMYFUNCTION("""COMPUTED_VALUE"""),3.0)</f>
        <v>3</v>
      </c>
      <c r="R153" s="2">
        <f>IFERROR(__xludf.DUMMYFUNCTION("""COMPUTED_VALUE"""),2025.0)</f>
        <v>2025</v>
      </c>
      <c r="S153" s="2" t="str">
        <f>IFERROR(__xludf.DUMMYFUNCTION("""COMPUTED_VALUE"""),"Digizag")</f>
        <v>Digizag</v>
      </c>
      <c r="T153" s="2" t="str">
        <f>IFERROR(__xludf.DUMMYFUNCTION("""COMPUTED_VALUE"""),"Digizag")</f>
        <v>Digizag</v>
      </c>
      <c r="U153" s="5">
        <f>IFERROR(__xludf.DUMMYFUNCTION("""COMPUTED_VALUE"""),35.429260132020005)</f>
        <v>35.42926013</v>
      </c>
      <c r="V153" s="2"/>
      <c r="W153" s="2"/>
      <c r="X153" s="2"/>
      <c r="Y153" s="2"/>
      <c r="Z153" s="2"/>
    </row>
    <row r="154">
      <c r="A154" s="6">
        <f>IFERROR(__xludf.DUMMYFUNCTION("""COMPUTED_VALUE"""),45742.398263888885)</f>
        <v>45742.39826</v>
      </c>
      <c r="B154" s="2" t="str">
        <f>IFERROR(__xludf.DUMMYFUNCTION("""COMPUTED_VALUE"""),"March")</f>
        <v>March</v>
      </c>
      <c r="C154" s="3">
        <f>IFERROR(__xludf.DUMMYFUNCTION("""COMPUTED_VALUE"""),558472.0)</f>
        <v>558472</v>
      </c>
      <c r="D154" s="2" t="str">
        <f>IFERROR(__xludf.DUMMYFUNCTION("""COMPUTED_VALUE"""),"DB3")</f>
        <v>DB3</v>
      </c>
      <c r="E154" s="2" t="str">
        <f>IFERROR(__xludf.DUMMYFUNCTION("""COMPUTED_VALUE"""),"Imported from file Digizag.xlsx")</f>
        <v>Imported from file Digizag.xlsx</v>
      </c>
      <c r="F154" s="2" t="str">
        <f>IFERROR(__xludf.DUMMYFUNCTION("""COMPUTED_VALUE"""),"CLQ157722")</f>
        <v>CLQ157722</v>
      </c>
      <c r="G154" s="2" t="str">
        <f>IFERROR(__xludf.DUMMYFUNCTION("""COMPUTED_VALUE"""),"Kingdom of Saudi Arabia")</f>
        <v>Kingdom of Saudi Arabia</v>
      </c>
      <c r="H154" s="4">
        <f>IFERROR(__xludf.DUMMYFUNCTION("""COMPUTED_VALUE"""),224.22)</f>
        <v>224.22</v>
      </c>
      <c r="I154" s="3">
        <f>IFERROR(__xludf.DUMMYFUNCTION("""COMPUTED_VALUE"""),0.0)</f>
        <v>0</v>
      </c>
      <c r="J154" s="4">
        <f>IFERROR(__xludf.DUMMYFUNCTION("""COMPUTED_VALUE"""),22.41)</f>
        <v>22.41</v>
      </c>
      <c r="K154" s="2"/>
      <c r="L154" s="2" t="str">
        <f>IFERROR(__xludf.DUMMYFUNCTION("""COMPUTED_VALUE"""),"Delivered")</f>
        <v>Delivered</v>
      </c>
      <c r="M154" s="2" t="str">
        <f>IFERROR(__xludf.DUMMYFUNCTION("""COMPUTED_VALUE"""),"SR")</f>
        <v>SR</v>
      </c>
      <c r="N154" s="2" t="str">
        <f>IFERROR(__xludf.DUMMYFUNCTION("""COMPUTED_VALUE"""),"Pay in 4. No interest, no fees")</f>
        <v>Pay in 4. No interest, no fees</v>
      </c>
      <c r="O154" s="4">
        <f>IFERROR(__xludf.DUMMYFUNCTION("""COMPUTED_VALUE"""),0.0)</f>
        <v>0</v>
      </c>
      <c r="P154" s="2">
        <f>IFERROR(__xludf.DUMMYFUNCTION("""COMPUTED_VALUE"""),26.0)</f>
        <v>26</v>
      </c>
      <c r="Q154" s="2">
        <f>IFERROR(__xludf.DUMMYFUNCTION("""COMPUTED_VALUE"""),3.0)</f>
        <v>3</v>
      </c>
      <c r="R154" s="2">
        <f>IFERROR(__xludf.DUMMYFUNCTION("""COMPUTED_VALUE"""),2025.0)</f>
        <v>2025</v>
      </c>
      <c r="S154" s="2" t="str">
        <f>IFERROR(__xludf.DUMMYFUNCTION("""COMPUTED_VALUE"""),"Digizag")</f>
        <v>Digizag</v>
      </c>
      <c r="T154" s="2" t="str">
        <f>IFERROR(__xludf.DUMMYFUNCTION("""COMPUTED_VALUE"""),"Digizag")</f>
        <v>Digizag</v>
      </c>
      <c r="U154" s="5">
        <f>IFERROR(__xludf.DUMMYFUNCTION("""COMPUTED_VALUE"""),59.787376434120006)</f>
        <v>59.78737643</v>
      </c>
      <c r="V154" s="2"/>
      <c r="W154" s="2"/>
      <c r="X154" s="2"/>
      <c r="Y154" s="2"/>
      <c r="Z154" s="2"/>
    </row>
    <row r="155">
      <c r="A155" s="6">
        <f>IFERROR(__xludf.DUMMYFUNCTION("""COMPUTED_VALUE"""),45742.57751157407)</f>
        <v>45742.57751</v>
      </c>
      <c r="B155" s="2" t="str">
        <f>IFERROR(__xludf.DUMMYFUNCTION("""COMPUTED_VALUE"""),"March")</f>
        <v>March</v>
      </c>
      <c r="C155" s="3">
        <f>IFERROR(__xludf.DUMMYFUNCTION("""COMPUTED_VALUE"""),24295.0)</f>
        <v>24295</v>
      </c>
      <c r="D155" s="2" t="str">
        <f>IFERROR(__xludf.DUMMYFUNCTION("""COMPUTED_VALUE"""),"BITS")</f>
        <v>BITS</v>
      </c>
      <c r="E155" s="2" t="str">
        <f>IFERROR(__xludf.DUMMYFUNCTION("""COMPUTED_VALUE"""),"Imported from file DigiZag Codes 25Feb25.xlsx")</f>
        <v>Imported from file DigiZag Codes 25Feb25.xlsx</v>
      </c>
      <c r="F155" s="2" t="str">
        <f>IFERROR(__xludf.DUMMYFUNCTION("""COMPUTED_VALUE"""),"VNS494369")</f>
        <v>VNS494369</v>
      </c>
      <c r="G155" s="2" t="str">
        <f>IFERROR(__xludf.DUMMYFUNCTION("""COMPUTED_VALUE"""),"UAE")</f>
        <v>UAE</v>
      </c>
      <c r="H155" s="4">
        <f>IFERROR(__xludf.DUMMYFUNCTION("""COMPUTED_VALUE"""),253.71)</f>
        <v>253.71</v>
      </c>
      <c r="I155" s="3">
        <f>IFERROR(__xludf.DUMMYFUNCTION("""COMPUTED_VALUE"""),0.0)</f>
        <v>0</v>
      </c>
      <c r="J155" s="4">
        <f>IFERROR(__xludf.DUMMYFUNCTION("""COMPUTED_VALUE"""),25.37)</f>
        <v>25.37</v>
      </c>
      <c r="K155" s="2"/>
      <c r="L155" s="2" t="str">
        <f>IFERROR(__xludf.DUMMYFUNCTION("""COMPUTED_VALUE"""),"Delivered")</f>
        <v>Delivered</v>
      </c>
      <c r="M155" s="2" t="str">
        <f>IFERROR(__xludf.DUMMYFUNCTION("""COMPUTED_VALUE"""),"AED")</f>
        <v>AED</v>
      </c>
      <c r="N155" s="2" t="str">
        <f>IFERROR(__xludf.DUMMYFUNCTION("""COMPUTED_VALUE"""),"Credit, Debit , Apple Pay")</f>
        <v>Credit, Debit , Apple Pay</v>
      </c>
      <c r="O155" s="4">
        <f>IFERROR(__xludf.DUMMYFUNCTION("""COMPUTED_VALUE"""),0.0)</f>
        <v>0</v>
      </c>
      <c r="P155" s="2">
        <f>IFERROR(__xludf.DUMMYFUNCTION("""COMPUTED_VALUE"""),26.0)</f>
        <v>26</v>
      </c>
      <c r="Q155" s="2">
        <f>IFERROR(__xludf.DUMMYFUNCTION("""COMPUTED_VALUE"""),3.0)</f>
        <v>3</v>
      </c>
      <c r="R155" s="2">
        <f>IFERROR(__xludf.DUMMYFUNCTION("""COMPUTED_VALUE"""),2025.0)</f>
        <v>2025</v>
      </c>
      <c r="S155" s="2" t="str">
        <f>IFERROR(__xludf.DUMMYFUNCTION("""COMPUTED_VALUE"""),"Digizag")</f>
        <v>Digizag</v>
      </c>
      <c r="T155" s="2" t="str">
        <f>IFERROR(__xludf.DUMMYFUNCTION("""COMPUTED_VALUE"""),"Digizag")</f>
        <v>Digizag</v>
      </c>
      <c r="U155" s="5">
        <f>IFERROR(__xludf.DUMMYFUNCTION("""COMPUTED_VALUE"""),69.08373052938)</f>
        <v>69.08373053</v>
      </c>
      <c r="V155" s="2"/>
      <c r="W155" s="2"/>
      <c r="X155" s="2"/>
      <c r="Y155" s="2"/>
      <c r="Z155" s="2"/>
    </row>
    <row r="156">
      <c r="A156" s="6">
        <f>IFERROR(__xludf.DUMMYFUNCTION("""COMPUTED_VALUE"""),45742.580983796295)</f>
        <v>45742.58098</v>
      </c>
      <c r="B156" s="2" t="str">
        <f>IFERROR(__xludf.DUMMYFUNCTION("""COMPUTED_VALUE"""),"March")</f>
        <v>March</v>
      </c>
      <c r="C156" s="3">
        <f>IFERROR(__xludf.DUMMYFUNCTION("""COMPUTED_VALUE"""),24295.0)</f>
        <v>24295</v>
      </c>
      <c r="D156" s="2" t="str">
        <f>IFERROR(__xludf.DUMMYFUNCTION("""COMPUTED_VALUE"""),"BITS")</f>
        <v>BITS</v>
      </c>
      <c r="E156" s="2" t="str">
        <f>IFERROR(__xludf.DUMMYFUNCTION("""COMPUTED_VALUE"""),"Imported from file DigiZag Codes 25Feb25.xlsx")</f>
        <v>Imported from file DigiZag Codes 25Feb25.xlsx</v>
      </c>
      <c r="F156" s="2" t="str">
        <f>IFERROR(__xludf.DUMMYFUNCTION("""COMPUTED_VALUE"""),"PZE925474")</f>
        <v>PZE925474</v>
      </c>
      <c r="G156" s="2" t="str">
        <f>IFERROR(__xludf.DUMMYFUNCTION("""COMPUTED_VALUE"""),"UAE")</f>
        <v>UAE</v>
      </c>
      <c r="H156" s="4">
        <f>IFERROR(__xludf.DUMMYFUNCTION("""COMPUTED_VALUE"""),214.71)</f>
        <v>214.71</v>
      </c>
      <c r="I156" s="3">
        <f>IFERROR(__xludf.DUMMYFUNCTION("""COMPUTED_VALUE"""),0.0)</f>
        <v>0</v>
      </c>
      <c r="J156" s="4">
        <f>IFERROR(__xludf.DUMMYFUNCTION("""COMPUTED_VALUE"""),21.47)</f>
        <v>21.47</v>
      </c>
      <c r="K156" s="2"/>
      <c r="L156" s="2" t="str">
        <f>IFERROR(__xludf.DUMMYFUNCTION("""COMPUTED_VALUE"""),"Delivered")</f>
        <v>Delivered</v>
      </c>
      <c r="M156" s="2" t="str">
        <f>IFERROR(__xludf.DUMMYFUNCTION("""COMPUTED_VALUE"""),"AED")</f>
        <v>AED</v>
      </c>
      <c r="N156" s="2" t="str">
        <f>IFERROR(__xludf.DUMMYFUNCTION("""COMPUTED_VALUE"""),"Credit, Debit , Apple Pay")</f>
        <v>Credit, Debit , Apple Pay</v>
      </c>
      <c r="O156" s="4">
        <f>IFERROR(__xludf.DUMMYFUNCTION("""COMPUTED_VALUE"""),0.0)</f>
        <v>0</v>
      </c>
      <c r="P156" s="2">
        <f>IFERROR(__xludf.DUMMYFUNCTION("""COMPUTED_VALUE"""),26.0)</f>
        <v>26</v>
      </c>
      <c r="Q156" s="2">
        <f>IFERROR(__xludf.DUMMYFUNCTION("""COMPUTED_VALUE"""),3.0)</f>
        <v>3</v>
      </c>
      <c r="R156" s="2">
        <f>IFERROR(__xludf.DUMMYFUNCTION("""COMPUTED_VALUE"""),2025.0)</f>
        <v>2025</v>
      </c>
      <c r="S156" s="2" t="str">
        <f>IFERROR(__xludf.DUMMYFUNCTION("""COMPUTED_VALUE"""),"Digizag")</f>
        <v>Digizag</v>
      </c>
      <c r="T156" s="2" t="str">
        <f>IFERROR(__xludf.DUMMYFUNCTION("""COMPUTED_VALUE"""),"Digizag")</f>
        <v>Digizag</v>
      </c>
      <c r="U156" s="5">
        <f>IFERROR(__xludf.DUMMYFUNCTION("""COMPUTED_VALUE"""),58.46426148738)</f>
        <v>58.46426149</v>
      </c>
      <c r="V156" s="2"/>
      <c r="W156" s="2"/>
      <c r="X156" s="2"/>
      <c r="Y156" s="2"/>
      <c r="Z156" s="2"/>
    </row>
    <row r="157">
      <c r="A157" s="6">
        <f>IFERROR(__xludf.DUMMYFUNCTION("""COMPUTED_VALUE"""),45742.70466435185)</f>
        <v>45742.70466</v>
      </c>
      <c r="B157" s="2" t="str">
        <f>IFERROR(__xludf.DUMMYFUNCTION("""COMPUTED_VALUE"""),"March")</f>
        <v>March</v>
      </c>
      <c r="C157" s="3">
        <f>IFERROR(__xludf.DUMMYFUNCTION("""COMPUTED_VALUE"""),609198.0)</f>
        <v>609198</v>
      </c>
      <c r="D157" s="2" t="str">
        <f>IFERROR(__xludf.DUMMYFUNCTION("""COMPUTED_VALUE"""),"L50")</f>
        <v>L50</v>
      </c>
      <c r="E157" s="2" t="str">
        <f>IFERROR(__xludf.DUMMYFUNCTION("""COMPUTED_VALUE"""),"Imported from file DigiZag Codes 25Feb25.xlsx")</f>
        <v>Imported from file DigiZag Codes 25Feb25.xlsx</v>
      </c>
      <c r="F157" s="2" t="str">
        <f>IFERROR(__xludf.DUMMYFUNCTION("""COMPUTED_VALUE"""),"AMJ927841")</f>
        <v>AMJ927841</v>
      </c>
      <c r="G157" s="2" t="str">
        <f>IFERROR(__xludf.DUMMYFUNCTION("""COMPUTED_VALUE"""),"Kuwait")</f>
        <v>Kuwait</v>
      </c>
      <c r="H157" s="4">
        <f>IFERROR(__xludf.DUMMYFUNCTION("""COMPUTED_VALUE"""),7.85)</f>
        <v>7.85</v>
      </c>
      <c r="I157" s="3">
        <f>IFERROR(__xludf.DUMMYFUNCTION("""COMPUTED_VALUE"""),0.0)</f>
        <v>0</v>
      </c>
      <c r="J157" s="4">
        <f>IFERROR(__xludf.DUMMYFUNCTION("""COMPUTED_VALUE"""),0.785)</f>
        <v>0.785</v>
      </c>
      <c r="K157" s="2"/>
      <c r="L157" s="2" t="str">
        <f>IFERROR(__xludf.DUMMYFUNCTION("""COMPUTED_VALUE"""),"Delivered")</f>
        <v>Delivered</v>
      </c>
      <c r="M157" s="2" t="str">
        <f>IFERROR(__xludf.DUMMYFUNCTION("""COMPUTED_VALUE"""),"KD")</f>
        <v>KD</v>
      </c>
      <c r="N157" s="2" t="str">
        <f>IFERROR(__xludf.DUMMYFUNCTION("""COMPUTED_VALUE"""),"Cash")</f>
        <v>Cash</v>
      </c>
      <c r="O157" s="4">
        <f>IFERROR(__xludf.DUMMYFUNCTION("""COMPUTED_VALUE"""),0.0)</f>
        <v>0</v>
      </c>
      <c r="P157" s="2">
        <f>IFERROR(__xludf.DUMMYFUNCTION("""COMPUTED_VALUE"""),26.0)</f>
        <v>26</v>
      </c>
      <c r="Q157" s="2">
        <f>IFERROR(__xludf.DUMMYFUNCTION("""COMPUTED_VALUE"""),3.0)</f>
        <v>3</v>
      </c>
      <c r="R157" s="2">
        <f>IFERROR(__xludf.DUMMYFUNCTION("""COMPUTED_VALUE"""),2025.0)</f>
        <v>2025</v>
      </c>
      <c r="S157" s="2" t="str">
        <f>IFERROR(__xludf.DUMMYFUNCTION("""COMPUTED_VALUE"""),"Digizag")</f>
        <v>Digizag</v>
      </c>
      <c r="T157" s="2" t="str">
        <f>IFERROR(__xludf.DUMMYFUNCTION("""COMPUTED_VALUE"""),"Digizag")</f>
        <v>Digizag</v>
      </c>
      <c r="U157" s="5">
        <f>IFERROR(__xludf.DUMMYFUNCTION("""COMPUTED_VALUE"""),25.595867)</f>
        <v>25.595867</v>
      </c>
      <c r="V157" s="2"/>
      <c r="W157" s="2"/>
      <c r="X157" s="2"/>
      <c r="Y157" s="2"/>
      <c r="Z157" s="2"/>
    </row>
    <row r="158">
      <c r="A158" s="6">
        <f>IFERROR(__xludf.DUMMYFUNCTION("""COMPUTED_VALUE"""),45742.77681712963)</f>
        <v>45742.77682</v>
      </c>
      <c r="B158" s="2" t="str">
        <f>IFERROR(__xludf.DUMMYFUNCTION("""COMPUTED_VALUE"""),"March")</f>
        <v>March</v>
      </c>
      <c r="C158" s="3">
        <f>IFERROR(__xludf.DUMMYFUNCTION("""COMPUTED_VALUE"""),710298.0)</f>
        <v>710298</v>
      </c>
      <c r="D158" s="2" t="str">
        <f>IFERROR(__xludf.DUMMYFUNCTION("""COMPUTED_VALUE"""),"MNN16")</f>
        <v>MNN16</v>
      </c>
      <c r="E158" s="2" t="str">
        <f>IFERROR(__xludf.DUMMYFUNCTION("""COMPUTED_VALUE"""),"Imported from file DigiZag Bidding Codes.xlsx")</f>
        <v>Imported from file DigiZag Bidding Codes.xlsx</v>
      </c>
      <c r="F158" s="2" t="str">
        <f>IFERROR(__xludf.DUMMYFUNCTION("""COMPUTED_VALUE"""),"KPP555836")</f>
        <v>KPP555836</v>
      </c>
      <c r="G158" s="2" t="str">
        <f>IFERROR(__xludf.DUMMYFUNCTION("""COMPUTED_VALUE"""),"Kingdom of Saudi Arabia")</f>
        <v>Kingdom of Saudi Arabia</v>
      </c>
      <c r="H158" s="4">
        <f>IFERROR(__xludf.DUMMYFUNCTION("""COMPUTED_VALUE"""),357.0)</f>
        <v>357</v>
      </c>
      <c r="I158" s="3">
        <f>IFERROR(__xludf.DUMMYFUNCTION("""COMPUTED_VALUE"""),0.0)</f>
        <v>0</v>
      </c>
      <c r="J158" s="4">
        <f>IFERROR(__xludf.DUMMYFUNCTION("""COMPUTED_VALUE"""),35.7)</f>
        <v>35.7</v>
      </c>
      <c r="K158" s="2"/>
      <c r="L158" s="2" t="str">
        <f>IFERROR(__xludf.DUMMYFUNCTION("""COMPUTED_VALUE"""),"Delivered")</f>
        <v>Delivered</v>
      </c>
      <c r="M158" s="2" t="str">
        <f>IFERROR(__xludf.DUMMYFUNCTION("""COMPUTED_VALUE"""),"SR")</f>
        <v>SR</v>
      </c>
      <c r="N158" s="2" t="str">
        <f>IFERROR(__xludf.DUMMYFUNCTION("""COMPUTED_VALUE"""),"Credit, Debit, Apple Pay")</f>
        <v>Credit, Debit, Apple Pay</v>
      </c>
      <c r="O158" s="4">
        <f>IFERROR(__xludf.DUMMYFUNCTION("""COMPUTED_VALUE"""),0.0)</f>
        <v>0</v>
      </c>
      <c r="P158" s="2">
        <f>IFERROR(__xludf.DUMMYFUNCTION("""COMPUTED_VALUE"""),26.0)</f>
        <v>26</v>
      </c>
      <c r="Q158" s="2">
        <f>IFERROR(__xludf.DUMMYFUNCTION("""COMPUTED_VALUE"""),3.0)</f>
        <v>3</v>
      </c>
      <c r="R158" s="2">
        <f>IFERROR(__xludf.DUMMYFUNCTION("""COMPUTED_VALUE"""),2025.0)</f>
        <v>2025</v>
      </c>
      <c r="S158" s="2" t="str">
        <f>IFERROR(__xludf.DUMMYFUNCTION("""COMPUTED_VALUE"""),"Digizag")</f>
        <v>Digizag</v>
      </c>
      <c r="T158" s="2" t="str">
        <f>IFERROR(__xludf.DUMMYFUNCTION("""COMPUTED_VALUE"""),"Digizag")</f>
        <v>Digizag</v>
      </c>
      <c r="U158" s="5">
        <f>IFERROR(__xludf.DUMMYFUNCTION("""COMPUTED_VALUE"""),95.19263842200002)</f>
        <v>95.19263842</v>
      </c>
      <c r="V158" s="2"/>
      <c r="W158" s="2"/>
      <c r="X158" s="2"/>
      <c r="Y158" s="2"/>
      <c r="Z158" s="2"/>
    </row>
    <row r="159">
      <c r="A159" s="6">
        <f>IFERROR(__xludf.DUMMYFUNCTION("""COMPUTED_VALUE"""),45742.780127314814)</f>
        <v>45742.78013</v>
      </c>
      <c r="B159" s="2" t="str">
        <f>IFERROR(__xludf.DUMMYFUNCTION("""COMPUTED_VALUE"""),"March")</f>
        <v>March</v>
      </c>
      <c r="C159" s="3">
        <f>IFERROR(__xludf.DUMMYFUNCTION("""COMPUTED_VALUE"""),344160.0)</f>
        <v>344160</v>
      </c>
      <c r="D159" s="2" t="str">
        <f>IFERROR(__xludf.DUMMYFUNCTION("""COMPUTED_VALUE"""),"DB3")</f>
        <v>DB3</v>
      </c>
      <c r="E159" s="2" t="str">
        <f>IFERROR(__xludf.DUMMYFUNCTION("""COMPUTED_VALUE"""),"Imported from file Digizag.xlsx")</f>
        <v>Imported from file Digizag.xlsx</v>
      </c>
      <c r="F159" s="2" t="str">
        <f>IFERROR(__xludf.DUMMYFUNCTION("""COMPUTED_VALUE"""),"SMK585698")</f>
        <v>SMK585698</v>
      </c>
      <c r="G159" s="2" t="str">
        <f>IFERROR(__xludf.DUMMYFUNCTION("""COMPUTED_VALUE"""),"Kuwait")</f>
        <v>Kuwait</v>
      </c>
      <c r="H159" s="4">
        <f>IFERROR(__xludf.DUMMYFUNCTION("""COMPUTED_VALUE"""),39.0)</f>
        <v>39</v>
      </c>
      <c r="I159" s="3">
        <f>IFERROR(__xludf.DUMMYFUNCTION("""COMPUTED_VALUE"""),0.0)</f>
        <v>0</v>
      </c>
      <c r="J159" s="4">
        <f>IFERROR(__xludf.DUMMYFUNCTION("""COMPUTED_VALUE"""),3.9)</f>
        <v>3.9</v>
      </c>
      <c r="K159" s="2"/>
      <c r="L159" s="2" t="str">
        <f>IFERROR(__xludf.DUMMYFUNCTION("""COMPUTED_VALUE"""),"Delivered")</f>
        <v>Delivered</v>
      </c>
      <c r="M159" s="2" t="str">
        <f>IFERROR(__xludf.DUMMYFUNCTION("""COMPUTED_VALUE"""),"KD")</f>
        <v>KD</v>
      </c>
      <c r="N159" s="2" t="str">
        <f>IFERROR(__xludf.DUMMYFUNCTION("""COMPUTED_VALUE"""),"Credit, Debit, Knet")</f>
        <v>Credit, Debit, Knet</v>
      </c>
      <c r="O159" s="4">
        <f>IFERROR(__xludf.DUMMYFUNCTION("""COMPUTED_VALUE"""),0.0)</f>
        <v>0</v>
      </c>
      <c r="P159" s="2">
        <f>IFERROR(__xludf.DUMMYFUNCTION("""COMPUTED_VALUE"""),26.0)</f>
        <v>26</v>
      </c>
      <c r="Q159" s="2">
        <f>IFERROR(__xludf.DUMMYFUNCTION("""COMPUTED_VALUE"""),3.0)</f>
        <v>3</v>
      </c>
      <c r="R159" s="2">
        <f>IFERROR(__xludf.DUMMYFUNCTION("""COMPUTED_VALUE"""),2025.0)</f>
        <v>2025</v>
      </c>
      <c r="S159" s="2" t="str">
        <f>IFERROR(__xludf.DUMMYFUNCTION("""COMPUTED_VALUE"""),"Digizag")</f>
        <v>Digizag</v>
      </c>
      <c r="T159" s="2" t="str">
        <f>IFERROR(__xludf.DUMMYFUNCTION("""COMPUTED_VALUE"""),"Digizag")</f>
        <v>Digizag</v>
      </c>
      <c r="U159" s="5">
        <f>IFERROR(__xludf.DUMMYFUNCTION("""COMPUTED_VALUE"""),127.16417999999999)</f>
        <v>127.16418</v>
      </c>
      <c r="V159" s="2"/>
      <c r="W159" s="2"/>
      <c r="X159" s="2"/>
      <c r="Y159" s="2"/>
      <c r="Z159" s="2"/>
    </row>
    <row r="160">
      <c r="A160" s="6">
        <f>IFERROR(__xludf.DUMMYFUNCTION("""COMPUTED_VALUE"""),45742.82475694444)</f>
        <v>45742.82476</v>
      </c>
      <c r="B160" s="2" t="str">
        <f>IFERROR(__xludf.DUMMYFUNCTION("""COMPUTED_VALUE"""),"March")</f>
        <v>March</v>
      </c>
      <c r="C160" s="3">
        <f>IFERROR(__xludf.DUMMYFUNCTION("""COMPUTED_VALUE"""),677736.0)</f>
        <v>677736</v>
      </c>
      <c r="D160" s="2" t="str">
        <f>IFERROR(__xludf.DUMMYFUNCTION("""COMPUTED_VALUE"""),"DB1")</f>
        <v>DB1</v>
      </c>
      <c r="E160" s="2" t="str">
        <f>IFERROR(__xludf.DUMMYFUNCTION("""COMPUTED_VALUE"""),"Imported from file Digizag.xlsx")</f>
        <v>Imported from file Digizag.xlsx</v>
      </c>
      <c r="F160" s="2" t="str">
        <f>IFERROR(__xludf.DUMMYFUNCTION("""COMPUTED_VALUE"""),"VMZ751035")</f>
        <v>VMZ751035</v>
      </c>
      <c r="G160" s="2" t="str">
        <f>IFERROR(__xludf.DUMMYFUNCTION("""COMPUTED_VALUE"""),"Kingdom of Saudi Arabia")</f>
        <v>Kingdom of Saudi Arabia</v>
      </c>
      <c r="H160" s="4">
        <f>IFERROR(__xludf.DUMMYFUNCTION("""COMPUTED_VALUE"""),51.3)</f>
        <v>51.3</v>
      </c>
      <c r="I160" s="3">
        <f>IFERROR(__xludf.DUMMYFUNCTION("""COMPUTED_VALUE"""),0.0)</f>
        <v>0</v>
      </c>
      <c r="J160" s="4">
        <f>IFERROR(__xludf.DUMMYFUNCTION("""COMPUTED_VALUE"""),5.13)</f>
        <v>5.13</v>
      </c>
      <c r="K160" s="2"/>
      <c r="L160" s="2" t="str">
        <f>IFERROR(__xludf.DUMMYFUNCTION("""COMPUTED_VALUE"""),"Delivered")</f>
        <v>Delivered</v>
      </c>
      <c r="M160" s="2" t="str">
        <f>IFERROR(__xludf.DUMMYFUNCTION("""COMPUTED_VALUE"""),"SR")</f>
        <v>SR</v>
      </c>
      <c r="N160" s="2" t="str">
        <f>IFERROR(__xludf.DUMMYFUNCTION("""COMPUTED_VALUE"""),"Pay in 4. No interest, no fees")</f>
        <v>Pay in 4. No interest, no fees</v>
      </c>
      <c r="O160" s="4">
        <f>IFERROR(__xludf.DUMMYFUNCTION("""COMPUTED_VALUE"""),0.0)</f>
        <v>0</v>
      </c>
      <c r="P160" s="2">
        <f>IFERROR(__xludf.DUMMYFUNCTION("""COMPUTED_VALUE"""),26.0)</f>
        <v>26</v>
      </c>
      <c r="Q160" s="2">
        <f>IFERROR(__xludf.DUMMYFUNCTION("""COMPUTED_VALUE"""),3.0)</f>
        <v>3</v>
      </c>
      <c r="R160" s="2">
        <f>IFERROR(__xludf.DUMMYFUNCTION("""COMPUTED_VALUE"""),2025.0)</f>
        <v>2025</v>
      </c>
      <c r="S160" s="2" t="str">
        <f>IFERROR(__xludf.DUMMYFUNCTION("""COMPUTED_VALUE"""),"Digizag")</f>
        <v>Digizag</v>
      </c>
      <c r="T160" s="2" t="str">
        <f>IFERROR(__xludf.DUMMYFUNCTION("""COMPUTED_VALUE"""),"Digizag")</f>
        <v>Digizag</v>
      </c>
      <c r="U160" s="5">
        <f>IFERROR(__xludf.DUMMYFUNCTION("""COMPUTED_VALUE"""),13.6789421598)</f>
        <v>13.67894216</v>
      </c>
      <c r="V160" s="2"/>
      <c r="W160" s="2"/>
      <c r="X160" s="2"/>
      <c r="Y160" s="2"/>
      <c r="Z160" s="2"/>
    </row>
    <row r="161">
      <c r="A161" s="6">
        <f>IFERROR(__xludf.DUMMYFUNCTION("""COMPUTED_VALUE"""),45742.87324074074)</f>
        <v>45742.87324</v>
      </c>
      <c r="B161" s="2" t="str">
        <f>IFERROR(__xludf.DUMMYFUNCTION("""COMPUTED_VALUE"""),"March")</f>
        <v>March</v>
      </c>
      <c r="C161" s="3">
        <f>IFERROR(__xludf.DUMMYFUNCTION("""COMPUTED_VALUE"""),261255.0)</f>
        <v>261255</v>
      </c>
      <c r="D161" s="2" t="str">
        <f>IFERROR(__xludf.DUMMYFUNCTION("""COMPUTED_VALUE"""),"MNN16")</f>
        <v>MNN16</v>
      </c>
      <c r="E161" s="2" t="str">
        <f>IFERROR(__xludf.DUMMYFUNCTION("""COMPUTED_VALUE"""),"Imported from file DigiZag Bidding Codes.xlsx")</f>
        <v>Imported from file DigiZag Bidding Codes.xlsx</v>
      </c>
      <c r="F161" s="2" t="str">
        <f>IFERROR(__xludf.DUMMYFUNCTION("""COMPUTED_VALUE"""),"SAK503866")</f>
        <v>SAK503866</v>
      </c>
      <c r="G161" s="2" t="str">
        <f>IFERROR(__xludf.DUMMYFUNCTION("""COMPUTED_VALUE"""),"Kingdom of Saudi Arabia")</f>
        <v>Kingdom of Saudi Arabia</v>
      </c>
      <c r="H161" s="4">
        <f>IFERROR(__xludf.DUMMYFUNCTION("""COMPUTED_VALUE"""),149.09)</f>
        <v>149.09</v>
      </c>
      <c r="I161" s="3">
        <f>IFERROR(__xludf.DUMMYFUNCTION("""COMPUTED_VALUE"""),0.0)</f>
        <v>0</v>
      </c>
      <c r="J161" s="4">
        <f>IFERROR(__xludf.DUMMYFUNCTION("""COMPUTED_VALUE"""),14.9)</f>
        <v>14.9</v>
      </c>
      <c r="K161" s="2"/>
      <c r="L161" s="2" t="str">
        <f>IFERROR(__xludf.DUMMYFUNCTION("""COMPUTED_VALUE"""),"Delivered")</f>
        <v>Delivered</v>
      </c>
      <c r="M161" s="2" t="str">
        <f>IFERROR(__xludf.DUMMYFUNCTION("""COMPUTED_VALUE"""),"SR")</f>
        <v>SR</v>
      </c>
      <c r="N161" s="2" t="str">
        <f>IFERROR(__xludf.DUMMYFUNCTION("""COMPUTED_VALUE"""),"Credit, Debit, Apple Pay")</f>
        <v>Credit, Debit, Apple Pay</v>
      </c>
      <c r="O161" s="4">
        <f>IFERROR(__xludf.DUMMYFUNCTION("""COMPUTED_VALUE"""),0.0)</f>
        <v>0</v>
      </c>
      <c r="P161" s="2">
        <f>IFERROR(__xludf.DUMMYFUNCTION("""COMPUTED_VALUE"""),26.0)</f>
        <v>26</v>
      </c>
      <c r="Q161" s="2">
        <f>IFERROR(__xludf.DUMMYFUNCTION("""COMPUTED_VALUE"""),3.0)</f>
        <v>3</v>
      </c>
      <c r="R161" s="2">
        <f>IFERROR(__xludf.DUMMYFUNCTION("""COMPUTED_VALUE"""),2025.0)</f>
        <v>2025</v>
      </c>
      <c r="S161" s="2" t="str">
        <f>IFERROR(__xludf.DUMMYFUNCTION("""COMPUTED_VALUE"""),"Digizag")</f>
        <v>Digizag</v>
      </c>
      <c r="T161" s="2" t="str">
        <f>IFERROR(__xludf.DUMMYFUNCTION("""COMPUTED_VALUE"""),"Digizag")</f>
        <v>Digizag</v>
      </c>
      <c r="U161" s="5">
        <f>IFERROR(__xludf.DUMMYFUNCTION("""COMPUTED_VALUE"""),39.75425899814)</f>
        <v>39.754259</v>
      </c>
      <c r="V161" s="2"/>
      <c r="W161" s="2"/>
      <c r="X161" s="2"/>
      <c r="Y161" s="2"/>
      <c r="Z161" s="2"/>
    </row>
    <row r="162">
      <c r="A162" s="6">
        <f>IFERROR(__xludf.DUMMYFUNCTION("""COMPUTED_VALUE"""),45742.89853009259)</f>
        <v>45742.89853</v>
      </c>
      <c r="B162" s="2" t="str">
        <f>IFERROR(__xludf.DUMMYFUNCTION("""COMPUTED_VALUE"""),"March")</f>
        <v>March</v>
      </c>
      <c r="C162" s="3">
        <f>IFERROR(__xludf.DUMMYFUNCTION("""COMPUTED_VALUE"""),704712.0)</f>
        <v>704712</v>
      </c>
      <c r="D162" s="2" t="str">
        <f>IFERROR(__xludf.DUMMYFUNCTION("""COMPUTED_VALUE"""),"MNN16")</f>
        <v>MNN16</v>
      </c>
      <c r="E162" s="2" t="str">
        <f>IFERROR(__xludf.DUMMYFUNCTION("""COMPUTED_VALUE"""),"Imported from file DigiZag Bidding Codes.xlsx")</f>
        <v>Imported from file DigiZag Bidding Codes.xlsx</v>
      </c>
      <c r="F162" s="2" t="str">
        <f>IFERROR(__xludf.DUMMYFUNCTION("""COMPUTED_VALUE"""),"CUB252272")</f>
        <v>CUB252272</v>
      </c>
      <c r="G162" s="2" t="str">
        <f>IFERROR(__xludf.DUMMYFUNCTION("""COMPUTED_VALUE"""),"Kingdom of Saudi Arabia")</f>
        <v>Kingdom of Saudi Arabia</v>
      </c>
      <c r="H162" s="4">
        <f>IFERROR(__xludf.DUMMYFUNCTION("""COMPUTED_VALUE"""),146.7)</f>
        <v>146.7</v>
      </c>
      <c r="I162" s="3">
        <f>IFERROR(__xludf.DUMMYFUNCTION("""COMPUTED_VALUE"""),0.0)</f>
        <v>0</v>
      </c>
      <c r="J162" s="4">
        <f>IFERROR(__xludf.DUMMYFUNCTION("""COMPUTED_VALUE"""),14.66)</f>
        <v>14.66</v>
      </c>
      <c r="K162" s="2"/>
      <c r="L162" s="2" t="str">
        <f>IFERROR(__xludf.DUMMYFUNCTION("""COMPUTED_VALUE"""),"Delivered")</f>
        <v>Delivered</v>
      </c>
      <c r="M162" s="2" t="str">
        <f>IFERROR(__xludf.DUMMYFUNCTION("""COMPUTED_VALUE"""),"SR")</f>
        <v>SR</v>
      </c>
      <c r="N162" s="2" t="str">
        <f>IFERROR(__xludf.DUMMYFUNCTION("""COMPUTED_VALUE"""),"Pay in 4. No interest, no fees")</f>
        <v>Pay in 4. No interest, no fees</v>
      </c>
      <c r="O162" s="4">
        <f>IFERROR(__xludf.DUMMYFUNCTION("""COMPUTED_VALUE"""),0.0)</f>
        <v>0</v>
      </c>
      <c r="P162" s="2">
        <f>IFERROR(__xludf.DUMMYFUNCTION("""COMPUTED_VALUE"""),26.0)</f>
        <v>26</v>
      </c>
      <c r="Q162" s="2">
        <f>IFERROR(__xludf.DUMMYFUNCTION("""COMPUTED_VALUE"""),3.0)</f>
        <v>3</v>
      </c>
      <c r="R162" s="2">
        <f>IFERROR(__xludf.DUMMYFUNCTION("""COMPUTED_VALUE"""),2025.0)</f>
        <v>2025</v>
      </c>
      <c r="S162" s="2" t="str">
        <f>IFERROR(__xludf.DUMMYFUNCTION("""COMPUTED_VALUE"""),"Digizag")</f>
        <v>Digizag</v>
      </c>
      <c r="T162" s="2" t="str">
        <f>IFERROR(__xludf.DUMMYFUNCTION("""COMPUTED_VALUE"""),"Digizag")</f>
        <v>Digizag</v>
      </c>
      <c r="U162" s="5">
        <f>IFERROR(__xludf.DUMMYFUNCTION("""COMPUTED_VALUE"""),39.1169749482)</f>
        <v>39.11697495</v>
      </c>
      <c r="V162" s="2"/>
      <c r="W162" s="2"/>
      <c r="X162" s="2"/>
      <c r="Y162" s="2"/>
      <c r="Z162" s="2"/>
    </row>
    <row r="163">
      <c r="A163" s="6">
        <f>IFERROR(__xludf.DUMMYFUNCTION("""COMPUTED_VALUE"""),45743.02552083333)</f>
        <v>45743.02552</v>
      </c>
      <c r="B163" s="2" t="str">
        <f>IFERROR(__xludf.DUMMYFUNCTION("""COMPUTED_VALUE"""),"March")</f>
        <v>March</v>
      </c>
      <c r="C163" s="3">
        <f>IFERROR(__xludf.DUMMYFUNCTION("""COMPUTED_VALUE"""),710515.0)</f>
        <v>710515</v>
      </c>
      <c r="D163" s="2" t="str">
        <f>IFERROR(__xludf.DUMMYFUNCTION("""COMPUTED_VALUE"""),"DB3")</f>
        <v>DB3</v>
      </c>
      <c r="E163" s="2" t="str">
        <f>IFERROR(__xludf.DUMMYFUNCTION("""COMPUTED_VALUE"""),"Imported from file Digizag.xlsx")</f>
        <v>Imported from file Digizag.xlsx</v>
      </c>
      <c r="F163" s="2" t="str">
        <f>IFERROR(__xludf.DUMMYFUNCTION("""COMPUTED_VALUE"""),"BCQ612519")</f>
        <v>BCQ612519</v>
      </c>
      <c r="G163" s="2" t="str">
        <f>IFERROR(__xludf.DUMMYFUNCTION("""COMPUTED_VALUE"""),"Kingdom of Saudi Arabia")</f>
        <v>Kingdom of Saudi Arabia</v>
      </c>
      <c r="H163" s="4">
        <f>IFERROR(__xludf.DUMMYFUNCTION("""COMPUTED_VALUE"""),479.79)</f>
        <v>479.79</v>
      </c>
      <c r="I163" s="3">
        <f>IFERROR(__xludf.DUMMYFUNCTION("""COMPUTED_VALUE"""),0.0)</f>
        <v>0</v>
      </c>
      <c r="J163" s="4">
        <f>IFERROR(__xludf.DUMMYFUNCTION("""COMPUTED_VALUE"""),47.95)</f>
        <v>47.95</v>
      </c>
      <c r="K163" s="2"/>
      <c r="L163" s="2" t="str">
        <f>IFERROR(__xludf.DUMMYFUNCTION("""COMPUTED_VALUE"""),"Delivered")</f>
        <v>Delivered</v>
      </c>
      <c r="M163" s="2" t="str">
        <f>IFERROR(__xludf.DUMMYFUNCTION("""COMPUTED_VALUE"""),"SR")</f>
        <v>SR</v>
      </c>
      <c r="N163" s="2" t="str">
        <f>IFERROR(__xludf.DUMMYFUNCTION("""COMPUTED_VALUE"""),"Credit, Debit, Apple Pay")</f>
        <v>Credit, Debit, Apple Pay</v>
      </c>
      <c r="O163" s="4">
        <f>IFERROR(__xludf.DUMMYFUNCTION("""COMPUTED_VALUE"""),0.0)</f>
        <v>0</v>
      </c>
      <c r="P163" s="2">
        <f>IFERROR(__xludf.DUMMYFUNCTION("""COMPUTED_VALUE"""),27.0)</f>
        <v>27</v>
      </c>
      <c r="Q163" s="2">
        <f>IFERROR(__xludf.DUMMYFUNCTION("""COMPUTED_VALUE"""),3.0)</f>
        <v>3</v>
      </c>
      <c r="R163" s="2">
        <f>IFERROR(__xludf.DUMMYFUNCTION("""COMPUTED_VALUE"""),2025.0)</f>
        <v>2025</v>
      </c>
      <c r="S163" s="2" t="str">
        <f>IFERROR(__xludf.DUMMYFUNCTION("""COMPUTED_VALUE"""),"Digizag")</f>
        <v>Digizag</v>
      </c>
      <c r="T163" s="2" t="str">
        <f>IFERROR(__xludf.DUMMYFUNCTION("""COMPUTED_VALUE"""),"Digizag")</f>
        <v>Digizag</v>
      </c>
      <c r="U163" s="5">
        <f>IFERROR(__xludf.DUMMYFUNCTION("""COMPUTED_VALUE"""),127.93410641034002)</f>
        <v>127.9341064</v>
      </c>
      <c r="V163" s="2"/>
      <c r="W163" s="2"/>
      <c r="X163" s="2"/>
      <c r="Y163" s="2"/>
      <c r="Z163" s="2"/>
    </row>
    <row r="164">
      <c r="A164" s="6">
        <f>IFERROR(__xludf.DUMMYFUNCTION("""COMPUTED_VALUE"""),45743.036585648144)</f>
        <v>45743.03659</v>
      </c>
      <c r="B164" s="2" t="str">
        <f>IFERROR(__xludf.DUMMYFUNCTION("""COMPUTED_VALUE"""),"March")</f>
        <v>March</v>
      </c>
      <c r="C164" s="3">
        <f>IFERROR(__xludf.DUMMYFUNCTION("""COMPUTED_VALUE"""),24421.0)</f>
        <v>24421</v>
      </c>
      <c r="D164" s="2" t="str">
        <f>IFERROR(__xludf.DUMMYFUNCTION("""COMPUTED_VALUE"""),"NAA10")</f>
        <v>NAA10</v>
      </c>
      <c r="E164" s="2" t="str">
        <f>IFERROR(__xludf.DUMMYFUNCTION("""COMPUTED_VALUE"""),"Imported from file DigiZag Bidding Codes.xlsx")</f>
        <v>Imported from file DigiZag Bidding Codes.xlsx</v>
      </c>
      <c r="F164" s="2" t="str">
        <f>IFERROR(__xludf.DUMMYFUNCTION("""COMPUTED_VALUE"""),"CKM120290")</f>
        <v>CKM120290</v>
      </c>
      <c r="G164" s="2" t="str">
        <f>IFERROR(__xludf.DUMMYFUNCTION("""COMPUTED_VALUE"""),"Kingdom of Saudi Arabia")</f>
        <v>Kingdom of Saudi Arabia</v>
      </c>
      <c r="H164" s="4">
        <f>IFERROR(__xludf.DUMMYFUNCTION("""COMPUTED_VALUE"""),674.91)</f>
        <v>674.91</v>
      </c>
      <c r="I164" s="3">
        <f>IFERROR(__xludf.DUMMYFUNCTION("""COMPUTED_VALUE"""),0.0)</f>
        <v>0</v>
      </c>
      <c r="J164" s="4">
        <f>IFERROR(__xludf.DUMMYFUNCTION("""COMPUTED_VALUE"""),67.49)</f>
        <v>67.49</v>
      </c>
      <c r="K164" s="2"/>
      <c r="L164" s="2" t="str">
        <f>IFERROR(__xludf.DUMMYFUNCTION("""COMPUTED_VALUE"""),"Delivered")</f>
        <v>Delivered</v>
      </c>
      <c r="M164" s="2" t="str">
        <f>IFERROR(__xludf.DUMMYFUNCTION("""COMPUTED_VALUE"""),"SR")</f>
        <v>SR</v>
      </c>
      <c r="N164" s="2" t="str">
        <f>IFERROR(__xludf.DUMMYFUNCTION("""COMPUTED_VALUE"""),"Credit, Debit, Apple Pay")</f>
        <v>Credit, Debit, Apple Pay</v>
      </c>
      <c r="O164" s="4">
        <f>IFERROR(__xludf.DUMMYFUNCTION("""COMPUTED_VALUE"""),0.0)</f>
        <v>0</v>
      </c>
      <c r="P164" s="2">
        <f>IFERROR(__xludf.DUMMYFUNCTION("""COMPUTED_VALUE"""),27.0)</f>
        <v>27</v>
      </c>
      <c r="Q164" s="2">
        <f>IFERROR(__xludf.DUMMYFUNCTION("""COMPUTED_VALUE"""),3.0)</f>
        <v>3</v>
      </c>
      <c r="R164" s="2">
        <f>IFERROR(__xludf.DUMMYFUNCTION("""COMPUTED_VALUE"""),2025.0)</f>
        <v>2025</v>
      </c>
      <c r="S164" s="2" t="str">
        <f>IFERROR(__xludf.DUMMYFUNCTION("""COMPUTED_VALUE"""),"Digizag")</f>
        <v>Digizag</v>
      </c>
      <c r="T164" s="2" t="str">
        <f>IFERROR(__xludf.DUMMYFUNCTION("""COMPUTED_VALUE"""),"Digizag")</f>
        <v>Digizag</v>
      </c>
      <c r="U164" s="5">
        <f>IFERROR(__xludf.DUMMYFUNCTION("""COMPUTED_VALUE"""),179.96208290586)</f>
        <v>179.9620829</v>
      </c>
      <c r="V164" s="2"/>
      <c r="W164" s="2"/>
      <c r="X164" s="2"/>
      <c r="Y164" s="2"/>
      <c r="Z164" s="2"/>
    </row>
    <row r="165">
      <c r="A165" s="6">
        <f>IFERROR(__xludf.DUMMYFUNCTION("""COMPUTED_VALUE"""),45743.03737268518)</f>
        <v>45743.03737</v>
      </c>
      <c r="B165" s="2" t="str">
        <f>IFERROR(__xludf.DUMMYFUNCTION("""COMPUTED_VALUE"""),"March")</f>
        <v>March</v>
      </c>
      <c r="C165" s="3">
        <f>IFERROR(__xludf.DUMMYFUNCTION("""COMPUTED_VALUE"""),603946.0)</f>
        <v>603946</v>
      </c>
      <c r="D165" s="2" t="str">
        <f>IFERROR(__xludf.DUMMYFUNCTION("""COMPUTED_VALUE"""),"MNN16")</f>
        <v>MNN16</v>
      </c>
      <c r="E165" s="2" t="str">
        <f>IFERROR(__xludf.DUMMYFUNCTION("""COMPUTED_VALUE"""),"Imported from file DigiZag Codes 25Feb25.xlsx")</f>
        <v>Imported from file DigiZag Codes 25Feb25.xlsx</v>
      </c>
      <c r="F165" s="2" t="str">
        <f>IFERROR(__xludf.DUMMYFUNCTION("""COMPUTED_VALUE"""),"HRR453017")</f>
        <v>HRR453017</v>
      </c>
      <c r="G165" s="2" t="str">
        <f>IFERROR(__xludf.DUMMYFUNCTION("""COMPUTED_VALUE"""),"UAE")</f>
        <v>UAE</v>
      </c>
      <c r="H165" s="4">
        <f>IFERROR(__xludf.DUMMYFUNCTION("""COMPUTED_VALUE"""),95.0)</f>
        <v>95</v>
      </c>
      <c r="I165" s="3">
        <f>IFERROR(__xludf.DUMMYFUNCTION("""COMPUTED_VALUE"""),0.0)</f>
        <v>0</v>
      </c>
      <c r="J165" s="4">
        <f>IFERROR(__xludf.DUMMYFUNCTION("""COMPUTED_VALUE"""),9.5)</f>
        <v>9.5</v>
      </c>
      <c r="K165" s="2"/>
      <c r="L165" s="2" t="str">
        <f>IFERROR(__xludf.DUMMYFUNCTION("""COMPUTED_VALUE"""),"Delivered")</f>
        <v>Delivered</v>
      </c>
      <c r="M165" s="2" t="str">
        <f>IFERROR(__xludf.DUMMYFUNCTION("""COMPUTED_VALUE"""),"AED")</f>
        <v>AED</v>
      </c>
      <c r="N165" s="2" t="str">
        <f>IFERROR(__xludf.DUMMYFUNCTION("""COMPUTED_VALUE"""),"Cash")</f>
        <v>Cash</v>
      </c>
      <c r="O165" s="4">
        <f>IFERROR(__xludf.DUMMYFUNCTION("""COMPUTED_VALUE"""),0.0)</f>
        <v>0</v>
      </c>
      <c r="P165" s="2">
        <f>IFERROR(__xludf.DUMMYFUNCTION("""COMPUTED_VALUE"""),27.0)</f>
        <v>27</v>
      </c>
      <c r="Q165" s="2">
        <f>IFERROR(__xludf.DUMMYFUNCTION("""COMPUTED_VALUE"""),3.0)</f>
        <v>3</v>
      </c>
      <c r="R165" s="2">
        <f>IFERROR(__xludf.DUMMYFUNCTION("""COMPUTED_VALUE"""),2025.0)</f>
        <v>2025</v>
      </c>
      <c r="S165" s="2" t="str">
        <f>IFERROR(__xludf.DUMMYFUNCTION("""COMPUTED_VALUE"""),"Digizag")</f>
        <v>Digizag</v>
      </c>
      <c r="T165" s="2" t="str">
        <f>IFERROR(__xludf.DUMMYFUNCTION("""COMPUTED_VALUE"""),"Digizag")</f>
        <v>Digizag</v>
      </c>
      <c r="U165" s="5">
        <f>IFERROR(__xludf.DUMMYFUNCTION("""COMPUTED_VALUE"""),25.86793741)</f>
        <v>25.86793741</v>
      </c>
      <c r="V165" s="2"/>
      <c r="W165" s="2"/>
      <c r="X165" s="2"/>
      <c r="Y165" s="2"/>
      <c r="Z165" s="2"/>
    </row>
    <row r="166">
      <c r="A166" s="6">
        <f>IFERROR(__xludf.DUMMYFUNCTION("""COMPUTED_VALUE"""),45743.094618055555)</f>
        <v>45743.09462</v>
      </c>
      <c r="B166" s="2" t="str">
        <f>IFERROR(__xludf.DUMMYFUNCTION("""COMPUTED_VALUE"""),"March")</f>
        <v>March</v>
      </c>
      <c r="C166" s="3">
        <f>IFERROR(__xludf.DUMMYFUNCTION("""COMPUTED_VALUE"""),548780.0)</f>
        <v>548780</v>
      </c>
      <c r="D166" s="2" t="str">
        <f>IFERROR(__xludf.DUMMYFUNCTION("""COMPUTED_VALUE"""),"MNN16")</f>
        <v>MNN16</v>
      </c>
      <c r="E166" s="2" t="str">
        <f>IFERROR(__xludf.DUMMYFUNCTION("""COMPUTED_VALUE"""),"Imported from file DigiZag Bidding Codes.xlsx")</f>
        <v>Imported from file DigiZag Bidding Codes.xlsx</v>
      </c>
      <c r="F166" s="2" t="str">
        <f>IFERROR(__xludf.DUMMYFUNCTION("""COMPUTED_VALUE"""),"LPP118937")</f>
        <v>LPP118937</v>
      </c>
      <c r="G166" s="2" t="str">
        <f>IFERROR(__xludf.DUMMYFUNCTION("""COMPUTED_VALUE"""),"Kingdom of Saudi Arabia")</f>
        <v>Kingdom of Saudi Arabia</v>
      </c>
      <c r="H166" s="4">
        <f>IFERROR(__xludf.DUMMYFUNCTION("""COMPUTED_VALUE"""),128.61)</f>
        <v>128.61</v>
      </c>
      <c r="I166" s="3">
        <f>IFERROR(__xludf.DUMMYFUNCTION("""COMPUTED_VALUE"""),0.0)</f>
        <v>0</v>
      </c>
      <c r="J166" s="4">
        <f>IFERROR(__xludf.DUMMYFUNCTION("""COMPUTED_VALUE"""),12.86)</f>
        <v>12.86</v>
      </c>
      <c r="K166" s="2"/>
      <c r="L166" s="2" t="str">
        <f>IFERROR(__xludf.DUMMYFUNCTION("""COMPUTED_VALUE"""),"Delivered")</f>
        <v>Delivered</v>
      </c>
      <c r="M166" s="2" t="str">
        <f>IFERROR(__xludf.DUMMYFUNCTION("""COMPUTED_VALUE"""),"SR")</f>
        <v>SR</v>
      </c>
      <c r="N166" s="2" t="str">
        <f>IFERROR(__xludf.DUMMYFUNCTION("""COMPUTED_VALUE"""),"Credit, Debit, Apple Pay")</f>
        <v>Credit, Debit, Apple Pay</v>
      </c>
      <c r="O166" s="4">
        <f>IFERROR(__xludf.DUMMYFUNCTION("""COMPUTED_VALUE"""),0.0)</f>
        <v>0</v>
      </c>
      <c r="P166" s="2">
        <f>IFERROR(__xludf.DUMMYFUNCTION("""COMPUTED_VALUE"""),27.0)</f>
        <v>27</v>
      </c>
      <c r="Q166" s="2">
        <f>IFERROR(__xludf.DUMMYFUNCTION("""COMPUTED_VALUE"""),3.0)</f>
        <v>3</v>
      </c>
      <c r="R166" s="2">
        <f>IFERROR(__xludf.DUMMYFUNCTION("""COMPUTED_VALUE"""),2025.0)</f>
        <v>2025</v>
      </c>
      <c r="S166" s="2" t="str">
        <f>IFERROR(__xludf.DUMMYFUNCTION("""COMPUTED_VALUE"""),"Digizag")</f>
        <v>Digizag</v>
      </c>
      <c r="T166" s="2" t="str">
        <f>IFERROR(__xludf.DUMMYFUNCTION("""COMPUTED_VALUE"""),"Digizag")</f>
        <v>Digizag</v>
      </c>
      <c r="U166" s="5">
        <f>IFERROR(__xludf.DUMMYFUNCTION("""COMPUTED_VALUE"""),34.293347976060005)</f>
        <v>34.29334798</v>
      </c>
      <c r="V166" s="2"/>
      <c r="W166" s="2"/>
      <c r="X166" s="2"/>
      <c r="Y166" s="2"/>
      <c r="Z166" s="2"/>
    </row>
    <row r="167">
      <c r="A167" s="6">
        <f>IFERROR(__xludf.DUMMYFUNCTION("""COMPUTED_VALUE"""),45743.09815972222)</f>
        <v>45743.09816</v>
      </c>
      <c r="B167" s="2" t="str">
        <f>IFERROR(__xludf.DUMMYFUNCTION("""COMPUTED_VALUE"""),"March")</f>
        <v>March</v>
      </c>
      <c r="C167" s="3">
        <f>IFERROR(__xludf.DUMMYFUNCTION("""COMPUTED_VALUE"""),710566.0)</f>
        <v>710566</v>
      </c>
      <c r="D167" s="2" t="str">
        <f>IFERROR(__xludf.DUMMYFUNCTION("""COMPUTED_VALUE"""),"MNN16")</f>
        <v>MNN16</v>
      </c>
      <c r="E167" s="2" t="str">
        <f>IFERROR(__xludf.DUMMYFUNCTION("""COMPUTED_VALUE"""),"Imported from file DigiZag Bidding Codes.xlsx")</f>
        <v>Imported from file DigiZag Bidding Codes.xlsx</v>
      </c>
      <c r="F167" s="2" t="str">
        <f>IFERROR(__xludf.DUMMYFUNCTION("""COMPUTED_VALUE"""),"HQM490628")</f>
        <v>HQM490628</v>
      </c>
      <c r="G167" s="2" t="str">
        <f>IFERROR(__xludf.DUMMYFUNCTION("""COMPUTED_VALUE"""),"Kingdom of Saudi Arabia")</f>
        <v>Kingdom of Saudi Arabia</v>
      </c>
      <c r="H167" s="4">
        <f>IFERROR(__xludf.DUMMYFUNCTION("""COMPUTED_VALUE"""),599.16)</f>
        <v>599.16</v>
      </c>
      <c r="I167" s="3">
        <f>IFERROR(__xludf.DUMMYFUNCTION("""COMPUTED_VALUE"""),0.0)</f>
        <v>0</v>
      </c>
      <c r="J167" s="4">
        <f>IFERROR(__xludf.DUMMYFUNCTION("""COMPUTED_VALUE"""),59.91)</f>
        <v>59.91</v>
      </c>
      <c r="K167" s="2"/>
      <c r="L167" s="2" t="str">
        <f>IFERROR(__xludf.DUMMYFUNCTION("""COMPUTED_VALUE"""),"Delivered")</f>
        <v>Delivered</v>
      </c>
      <c r="M167" s="2" t="str">
        <f>IFERROR(__xludf.DUMMYFUNCTION("""COMPUTED_VALUE"""),"SR")</f>
        <v>SR</v>
      </c>
      <c r="N167" s="2" t="str">
        <f>IFERROR(__xludf.DUMMYFUNCTION("""COMPUTED_VALUE"""),"Credit, Debit, Apple Pay")</f>
        <v>Credit, Debit, Apple Pay</v>
      </c>
      <c r="O167" s="4">
        <f>IFERROR(__xludf.DUMMYFUNCTION("""COMPUTED_VALUE"""),0.0)</f>
        <v>0</v>
      </c>
      <c r="P167" s="2">
        <f>IFERROR(__xludf.DUMMYFUNCTION("""COMPUTED_VALUE"""),27.0)</f>
        <v>27</v>
      </c>
      <c r="Q167" s="2">
        <f>IFERROR(__xludf.DUMMYFUNCTION("""COMPUTED_VALUE"""),3.0)</f>
        <v>3</v>
      </c>
      <c r="R167" s="2">
        <f>IFERROR(__xludf.DUMMYFUNCTION("""COMPUTED_VALUE"""),2025.0)</f>
        <v>2025</v>
      </c>
      <c r="S167" s="2" t="str">
        <f>IFERROR(__xludf.DUMMYFUNCTION("""COMPUTED_VALUE"""),"Digizag")</f>
        <v>Digizag</v>
      </c>
      <c r="T167" s="2" t="str">
        <f>IFERROR(__xludf.DUMMYFUNCTION("""COMPUTED_VALUE"""),"Digizag")</f>
        <v>Digizag</v>
      </c>
      <c r="U167" s="5">
        <f>IFERROR(__xludf.DUMMYFUNCTION("""COMPUTED_VALUE"""),159.76364492136)</f>
        <v>159.7636449</v>
      </c>
      <c r="V167" s="2"/>
      <c r="W167" s="2"/>
      <c r="X167" s="2"/>
      <c r="Y167" s="2"/>
      <c r="Z167" s="2"/>
    </row>
    <row r="168">
      <c r="A168" s="6">
        <f>IFERROR(__xludf.DUMMYFUNCTION("""COMPUTED_VALUE"""),45743.15126157407)</f>
        <v>45743.15126</v>
      </c>
      <c r="B168" s="2" t="str">
        <f>IFERROR(__xludf.DUMMYFUNCTION("""COMPUTED_VALUE"""),"March")</f>
        <v>March</v>
      </c>
      <c r="C168" s="3">
        <f>IFERROR(__xludf.DUMMYFUNCTION("""COMPUTED_VALUE"""),710590.0)</f>
        <v>710590</v>
      </c>
      <c r="D168" s="2" t="str">
        <f>IFERROR(__xludf.DUMMYFUNCTION("""COMPUTED_VALUE"""),"MNN16")</f>
        <v>MNN16</v>
      </c>
      <c r="E168" s="2" t="str">
        <f>IFERROR(__xludf.DUMMYFUNCTION("""COMPUTED_VALUE"""),"Imported from file DigiZag Bidding Codes.xlsx")</f>
        <v>Imported from file DigiZag Bidding Codes.xlsx</v>
      </c>
      <c r="F168" s="2" t="str">
        <f>IFERROR(__xludf.DUMMYFUNCTION("""COMPUTED_VALUE"""),"YMG335446")</f>
        <v>YMG335446</v>
      </c>
      <c r="G168" s="2" t="str">
        <f>IFERROR(__xludf.DUMMYFUNCTION("""COMPUTED_VALUE"""),"Kingdom of Saudi Arabia")</f>
        <v>Kingdom of Saudi Arabia</v>
      </c>
      <c r="H168" s="4">
        <f>IFERROR(__xludf.DUMMYFUNCTION("""COMPUTED_VALUE"""),224.35)</f>
        <v>224.35</v>
      </c>
      <c r="I168" s="3">
        <f>IFERROR(__xludf.DUMMYFUNCTION("""COMPUTED_VALUE"""),0.0)</f>
        <v>0</v>
      </c>
      <c r="J168" s="4">
        <f>IFERROR(__xludf.DUMMYFUNCTION("""COMPUTED_VALUE"""),22.42)</f>
        <v>22.42</v>
      </c>
      <c r="K168" s="2"/>
      <c r="L168" s="2" t="str">
        <f>IFERROR(__xludf.DUMMYFUNCTION("""COMPUTED_VALUE"""),"Delivered")</f>
        <v>Delivered</v>
      </c>
      <c r="M168" s="2" t="str">
        <f>IFERROR(__xludf.DUMMYFUNCTION("""COMPUTED_VALUE"""),"SR")</f>
        <v>SR</v>
      </c>
      <c r="N168" s="2" t="str">
        <f>IFERROR(__xludf.DUMMYFUNCTION("""COMPUTED_VALUE"""),"Credit, Debit, Apple Pay")</f>
        <v>Credit, Debit, Apple Pay</v>
      </c>
      <c r="O168" s="4">
        <f>IFERROR(__xludf.DUMMYFUNCTION("""COMPUTED_VALUE"""),0.0)</f>
        <v>0</v>
      </c>
      <c r="P168" s="2">
        <f>IFERROR(__xludf.DUMMYFUNCTION("""COMPUTED_VALUE"""),27.0)</f>
        <v>27</v>
      </c>
      <c r="Q168" s="2">
        <f>IFERROR(__xludf.DUMMYFUNCTION("""COMPUTED_VALUE"""),3.0)</f>
        <v>3</v>
      </c>
      <c r="R168" s="2">
        <f>IFERROR(__xludf.DUMMYFUNCTION("""COMPUTED_VALUE"""),2025.0)</f>
        <v>2025</v>
      </c>
      <c r="S168" s="2" t="str">
        <f>IFERROR(__xludf.DUMMYFUNCTION("""COMPUTED_VALUE"""),"Digizag")</f>
        <v>Digizag</v>
      </c>
      <c r="T168" s="2" t="str">
        <f>IFERROR(__xludf.DUMMYFUNCTION("""COMPUTED_VALUE"""),"Digizag")</f>
        <v>Digizag</v>
      </c>
      <c r="U168" s="5">
        <f>IFERROR(__xludf.DUMMYFUNCTION("""COMPUTED_VALUE"""),59.8220404201)</f>
        <v>59.82204042</v>
      </c>
      <c r="V168" s="2"/>
      <c r="W168" s="2"/>
      <c r="X168" s="2"/>
      <c r="Y168" s="2"/>
      <c r="Z168" s="2"/>
    </row>
    <row r="169">
      <c r="A169" s="6">
        <f>IFERROR(__xludf.DUMMYFUNCTION("""COMPUTED_VALUE"""),45743.20202546296)</f>
        <v>45743.20203</v>
      </c>
      <c r="B169" s="2" t="str">
        <f>IFERROR(__xludf.DUMMYFUNCTION("""COMPUTED_VALUE"""),"March")</f>
        <v>March</v>
      </c>
      <c r="C169" s="3">
        <f>IFERROR(__xludf.DUMMYFUNCTION("""COMPUTED_VALUE"""),710497.0)</f>
        <v>710497</v>
      </c>
      <c r="D169" s="2" t="str">
        <f>IFERROR(__xludf.DUMMYFUNCTION("""COMPUTED_VALUE"""),"DB3")</f>
        <v>DB3</v>
      </c>
      <c r="E169" s="2" t="str">
        <f>IFERROR(__xludf.DUMMYFUNCTION("""COMPUTED_VALUE"""),"Imported from file Digizag.xlsx")</f>
        <v>Imported from file Digizag.xlsx</v>
      </c>
      <c r="F169" s="2" t="str">
        <f>IFERROR(__xludf.DUMMYFUNCTION("""COMPUTED_VALUE"""),"YLY696742")</f>
        <v>YLY696742</v>
      </c>
      <c r="G169" s="2" t="str">
        <f>IFERROR(__xludf.DUMMYFUNCTION("""COMPUTED_VALUE"""),"Kingdom of Saudi Arabia")</f>
        <v>Kingdom of Saudi Arabia</v>
      </c>
      <c r="H169" s="4">
        <f>IFERROR(__xludf.DUMMYFUNCTION("""COMPUTED_VALUE"""),71.96)</f>
        <v>71.96</v>
      </c>
      <c r="I169" s="3">
        <f>IFERROR(__xludf.DUMMYFUNCTION("""COMPUTED_VALUE"""),0.0)</f>
        <v>0</v>
      </c>
      <c r="J169" s="4">
        <f>IFERROR(__xludf.DUMMYFUNCTION("""COMPUTED_VALUE"""),7.19)</f>
        <v>7.19</v>
      </c>
      <c r="K169" s="2"/>
      <c r="L169" s="2" t="str">
        <f>IFERROR(__xludf.DUMMYFUNCTION("""COMPUTED_VALUE"""),"Delivered")</f>
        <v>Delivered</v>
      </c>
      <c r="M169" s="2" t="str">
        <f>IFERROR(__xludf.DUMMYFUNCTION("""COMPUTED_VALUE"""),"SR")</f>
        <v>SR</v>
      </c>
      <c r="N169" s="2" t="str">
        <f>IFERROR(__xludf.DUMMYFUNCTION("""COMPUTED_VALUE"""),"Credit, Debit, Apple Pay")</f>
        <v>Credit, Debit, Apple Pay</v>
      </c>
      <c r="O169" s="4">
        <f>IFERROR(__xludf.DUMMYFUNCTION("""COMPUTED_VALUE"""),0.0)</f>
        <v>0</v>
      </c>
      <c r="P169" s="2">
        <f>IFERROR(__xludf.DUMMYFUNCTION("""COMPUTED_VALUE"""),27.0)</f>
        <v>27</v>
      </c>
      <c r="Q169" s="2">
        <f>IFERROR(__xludf.DUMMYFUNCTION("""COMPUTED_VALUE"""),3.0)</f>
        <v>3</v>
      </c>
      <c r="R169" s="2">
        <f>IFERROR(__xludf.DUMMYFUNCTION("""COMPUTED_VALUE"""),2025.0)</f>
        <v>2025</v>
      </c>
      <c r="S169" s="2" t="str">
        <f>IFERROR(__xludf.DUMMYFUNCTION("""COMPUTED_VALUE"""),"Digizag")</f>
        <v>Digizag</v>
      </c>
      <c r="T169" s="2" t="str">
        <f>IFERROR(__xludf.DUMMYFUNCTION("""COMPUTED_VALUE"""),"Digizag")</f>
        <v>Digizag</v>
      </c>
      <c r="U169" s="5">
        <f>IFERROR(__xludf.DUMMYFUNCTION("""COMPUTED_VALUE"""),19.18784947016)</f>
        <v>19.18784947</v>
      </c>
      <c r="V169" s="2"/>
      <c r="W169" s="2"/>
      <c r="X169" s="2"/>
      <c r="Y169" s="2"/>
      <c r="Z169" s="2"/>
    </row>
    <row r="170">
      <c r="A170" s="6">
        <f>IFERROR(__xludf.DUMMYFUNCTION("""COMPUTED_VALUE"""),45743.338368055556)</f>
        <v>45743.33837</v>
      </c>
      <c r="B170" s="2" t="str">
        <f>IFERROR(__xludf.DUMMYFUNCTION("""COMPUTED_VALUE"""),"March")</f>
        <v>March</v>
      </c>
      <c r="C170" s="3">
        <f>IFERROR(__xludf.DUMMYFUNCTION("""COMPUTED_VALUE"""),236048.0)</f>
        <v>236048</v>
      </c>
      <c r="D170" s="2" t="str">
        <f>IFERROR(__xludf.DUMMYFUNCTION("""COMPUTED_VALUE"""),"MNN16")</f>
        <v>MNN16</v>
      </c>
      <c r="E170" s="2" t="str">
        <f>IFERROR(__xludf.DUMMYFUNCTION("""COMPUTED_VALUE"""),"Imported from file DigiZag Bidding Codes.xlsx")</f>
        <v>Imported from file DigiZag Bidding Codes.xlsx</v>
      </c>
      <c r="F170" s="2" t="str">
        <f>IFERROR(__xludf.DUMMYFUNCTION("""COMPUTED_VALUE"""),"TEB331909")</f>
        <v>TEB331909</v>
      </c>
      <c r="G170" s="2" t="str">
        <f>IFERROR(__xludf.DUMMYFUNCTION("""COMPUTED_VALUE"""),"Kingdom of Saudi Arabia")</f>
        <v>Kingdom of Saudi Arabia</v>
      </c>
      <c r="H170" s="4">
        <f>IFERROR(__xludf.DUMMYFUNCTION("""COMPUTED_VALUE"""),542.57)</f>
        <v>542.57</v>
      </c>
      <c r="I170" s="3">
        <f>IFERROR(__xludf.DUMMYFUNCTION("""COMPUTED_VALUE"""),0.0)</f>
        <v>0</v>
      </c>
      <c r="J170" s="4">
        <f>IFERROR(__xludf.DUMMYFUNCTION("""COMPUTED_VALUE"""),54.25)</f>
        <v>54.25</v>
      </c>
      <c r="K170" s="2"/>
      <c r="L170" s="2" t="str">
        <f>IFERROR(__xludf.DUMMYFUNCTION("""COMPUTED_VALUE"""),"Delivered")</f>
        <v>Delivered</v>
      </c>
      <c r="M170" s="2" t="str">
        <f>IFERROR(__xludf.DUMMYFUNCTION("""COMPUTED_VALUE"""),"SR")</f>
        <v>SR</v>
      </c>
      <c r="N170" s="2" t="str">
        <f>IFERROR(__xludf.DUMMYFUNCTION("""COMPUTED_VALUE"""),"Credit, Debit, Apple Pay")</f>
        <v>Credit, Debit, Apple Pay</v>
      </c>
      <c r="O170" s="4">
        <f>IFERROR(__xludf.DUMMYFUNCTION("""COMPUTED_VALUE"""),0.0)</f>
        <v>0</v>
      </c>
      <c r="P170" s="2">
        <f>IFERROR(__xludf.DUMMYFUNCTION("""COMPUTED_VALUE"""),27.0)</f>
        <v>27</v>
      </c>
      <c r="Q170" s="2">
        <f>IFERROR(__xludf.DUMMYFUNCTION("""COMPUTED_VALUE"""),3.0)</f>
        <v>3</v>
      </c>
      <c r="R170" s="2">
        <f>IFERROR(__xludf.DUMMYFUNCTION("""COMPUTED_VALUE"""),2025.0)</f>
        <v>2025</v>
      </c>
      <c r="S170" s="2" t="str">
        <f>IFERROR(__xludf.DUMMYFUNCTION("""COMPUTED_VALUE"""),"Digizag")</f>
        <v>Digizag</v>
      </c>
      <c r="T170" s="2" t="str">
        <f>IFERROR(__xludf.DUMMYFUNCTION("""COMPUTED_VALUE"""),"Digizag")</f>
        <v>Digizag</v>
      </c>
      <c r="U170" s="5">
        <f>IFERROR(__xludf.DUMMYFUNCTION("""COMPUTED_VALUE"""),144.67414517822002)</f>
        <v>144.6741452</v>
      </c>
      <c r="V170" s="2"/>
      <c r="W170" s="2"/>
      <c r="X170" s="2"/>
      <c r="Y170" s="2"/>
      <c r="Z170" s="2"/>
    </row>
    <row r="171">
      <c r="A171" s="6">
        <f>IFERROR(__xludf.DUMMYFUNCTION("""COMPUTED_VALUE"""),45743.48030092593)</f>
        <v>45743.4803</v>
      </c>
      <c r="B171" s="2" t="str">
        <f>IFERROR(__xludf.DUMMYFUNCTION("""COMPUTED_VALUE"""),"March")</f>
        <v>March</v>
      </c>
      <c r="C171" s="3">
        <f>IFERROR(__xludf.DUMMYFUNCTION("""COMPUTED_VALUE"""),64692.0)</f>
        <v>64692</v>
      </c>
      <c r="D171" s="2" t="str">
        <f>IFERROR(__xludf.DUMMYFUNCTION("""COMPUTED_VALUE"""),"MNN16")</f>
        <v>MNN16</v>
      </c>
      <c r="E171" s="2" t="str">
        <f>IFERROR(__xludf.DUMMYFUNCTION("""COMPUTED_VALUE"""),"Imported from file DigiZag Codes 25Feb25.xlsx")</f>
        <v>Imported from file DigiZag Codes 25Feb25.xlsx</v>
      </c>
      <c r="F171" s="2" t="str">
        <f>IFERROR(__xludf.DUMMYFUNCTION("""COMPUTED_VALUE"""),"XSM506814")</f>
        <v>XSM506814</v>
      </c>
      <c r="G171" s="2" t="str">
        <f>IFERROR(__xludf.DUMMYFUNCTION("""COMPUTED_VALUE"""),"UAE")</f>
        <v>UAE</v>
      </c>
      <c r="H171" s="4">
        <f>IFERROR(__xludf.DUMMYFUNCTION("""COMPUTED_VALUE"""),446.31)</f>
        <v>446.31</v>
      </c>
      <c r="I171" s="3">
        <f>IFERROR(__xludf.DUMMYFUNCTION("""COMPUTED_VALUE"""),0.0)</f>
        <v>0</v>
      </c>
      <c r="J171" s="4">
        <f>IFERROR(__xludf.DUMMYFUNCTION("""COMPUTED_VALUE"""),44.61)</f>
        <v>44.61</v>
      </c>
      <c r="K171" s="2"/>
      <c r="L171" s="2" t="str">
        <f>IFERROR(__xludf.DUMMYFUNCTION("""COMPUTED_VALUE"""),"Delivered")</f>
        <v>Delivered</v>
      </c>
      <c r="M171" s="2" t="str">
        <f>IFERROR(__xludf.DUMMYFUNCTION("""COMPUTED_VALUE"""),"AED")</f>
        <v>AED</v>
      </c>
      <c r="N171" s="2" t="str">
        <f>IFERROR(__xludf.DUMMYFUNCTION("""COMPUTED_VALUE"""),"Tamara: split in 3, interest-free")</f>
        <v>Tamara: split in 3, interest-free</v>
      </c>
      <c r="O171" s="4">
        <f>IFERROR(__xludf.DUMMYFUNCTION("""COMPUTED_VALUE"""),0.0)</f>
        <v>0</v>
      </c>
      <c r="P171" s="2">
        <f>IFERROR(__xludf.DUMMYFUNCTION("""COMPUTED_VALUE"""),27.0)</f>
        <v>27</v>
      </c>
      <c r="Q171" s="2">
        <f>IFERROR(__xludf.DUMMYFUNCTION("""COMPUTED_VALUE"""),3.0)</f>
        <v>3</v>
      </c>
      <c r="R171" s="2">
        <f>IFERROR(__xludf.DUMMYFUNCTION("""COMPUTED_VALUE"""),2025.0)</f>
        <v>2025</v>
      </c>
      <c r="S171" s="2" t="str">
        <f>IFERROR(__xludf.DUMMYFUNCTION("""COMPUTED_VALUE"""),"Digizag")</f>
        <v>Digizag</v>
      </c>
      <c r="T171" s="2" t="str">
        <f>IFERROR(__xludf.DUMMYFUNCTION("""COMPUTED_VALUE"""),"Digizag")</f>
        <v>Digizag</v>
      </c>
      <c r="U171" s="5">
        <f>IFERROR(__xludf.DUMMYFUNCTION("""COMPUTED_VALUE"""),121.52756995218)</f>
        <v>121.52757</v>
      </c>
      <c r="V171" s="2"/>
      <c r="W171" s="2"/>
      <c r="X171" s="2"/>
      <c r="Y171" s="2"/>
      <c r="Z171" s="2"/>
    </row>
    <row r="172">
      <c r="A172" s="6">
        <f>IFERROR(__xludf.DUMMYFUNCTION("""COMPUTED_VALUE"""),45743.650937499995)</f>
        <v>45743.65094</v>
      </c>
      <c r="B172" s="2" t="str">
        <f>IFERROR(__xludf.DUMMYFUNCTION("""COMPUTED_VALUE"""),"March")</f>
        <v>March</v>
      </c>
      <c r="C172" s="3">
        <f>IFERROR(__xludf.DUMMYFUNCTION("""COMPUTED_VALUE"""),310333.0)</f>
        <v>310333</v>
      </c>
      <c r="D172" s="2" t="str">
        <f>IFERROR(__xludf.DUMMYFUNCTION("""COMPUTED_VALUE"""),"BITS")</f>
        <v>BITS</v>
      </c>
      <c r="E172" s="2" t="str">
        <f>IFERROR(__xludf.DUMMYFUNCTION("""COMPUTED_VALUE"""),"Imported from file DigiZag Codes 25Feb25.xlsx")</f>
        <v>Imported from file DigiZag Codes 25Feb25.xlsx</v>
      </c>
      <c r="F172" s="2" t="str">
        <f>IFERROR(__xludf.DUMMYFUNCTION("""COMPUTED_VALUE"""),"YNY123960")</f>
        <v>YNY123960</v>
      </c>
      <c r="G172" s="2" t="str">
        <f>IFERROR(__xludf.DUMMYFUNCTION("""COMPUTED_VALUE"""),"Bahrain")</f>
        <v>Bahrain</v>
      </c>
      <c r="H172" s="4">
        <f>IFERROR(__xludf.DUMMYFUNCTION("""COMPUTED_VALUE"""),8.3)</f>
        <v>8.3</v>
      </c>
      <c r="I172" s="3">
        <f>IFERROR(__xludf.DUMMYFUNCTION("""COMPUTED_VALUE"""),0.0)</f>
        <v>0</v>
      </c>
      <c r="J172" s="4">
        <f>IFERROR(__xludf.DUMMYFUNCTION("""COMPUTED_VALUE"""),0.83)</f>
        <v>0.83</v>
      </c>
      <c r="K172" s="2"/>
      <c r="L172" s="2" t="str">
        <f>IFERROR(__xludf.DUMMYFUNCTION("""COMPUTED_VALUE"""),"Delivered")</f>
        <v>Delivered</v>
      </c>
      <c r="M172" s="2" t="str">
        <f>IFERROR(__xludf.DUMMYFUNCTION("""COMPUTED_VALUE"""),"BHD")</f>
        <v>BHD</v>
      </c>
      <c r="N172" s="2" t="str">
        <f>IFERROR(__xludf.DUMMYFUNCTION("""COMPUTED_VALUE"""),"Credit, Debit")</f>
        <v>Credit, Debit</v>
      </c>
      <c r="O172" s="4">
        <f>IFERROR(__xludf.DUMMYFUNCTION("""COMPUTED_VALUE"""),0.0)</f>
        <v>0</v>
      </c>
      <c r="P172" s="2">
        <f>IFERROR(__xludf.DUMMYFUNCTION("""COMPUTED_VALUE"""),27.0)</f>
        <v>27</v>
      </c>
      <c r="Q172" s="2">
        <f>IFERROR(__xludf.DUMMYFUNCTION("""COMPUTED_VALUE"""),3.0)</f>
        <v>3</v>
      </c>
      <c r="R172" s="2">
        <f>IFERROR(__xludf.DUMMYFUNCTION("""COMPUTED_VALUE"""),2025.0)</f>
        <v>2025</v>
      </c>
      <c r="S172" s="2" t="str">
        <f>IFERROR(__xludf.DUMMYFUNCTION("""COMPUTED_VALUE"""),"Digizag")</f>
        <v>Digizag</v>
      </c>
      <c r="T172" s="2" t="str">
        <f>IFERROR(__xludf.DUMMYFUNCTION("""COMPUTED_VALUE"""),"Digizag")</f>
        <v>Digizag</v>
      </c>
      <c r="U172" s="5">
        <f>IFERROR(__xludf.DUMMYFUNCTION("""COMPUTED_VALUE"""),22.019211100000003)</f>
        <v>22.0192111</v>
      </c>
      <c r="V172" s="2"/>
      <c r="W172" s="2"/>
      <c r="X172" s="2"/>
      <c r="Y172" s="2"/>
      <c r="Z172" s="2"/>
    </row>
    <row r="173">
      <c r="A173" s="6">
        <f>IFERROR(__xludf.DUMMYFUNCTION("""COMPUTED_VALUE"""),45743.6862037037)</f>
        <v>45743.6862</v>
      </c>
      <c r="B173" s="2" t="str">
        <f>IFERROR(__xludf.DUMMYFUNCTION("""COMPUTED_VALUE"""),"March")</f>
        <v>March</v>
      </c>
      <c r="C173" s="3">
        <f>IFERROR(__xludf.DUMMYFUNCTION("""COMPUTED_VALUE"""),99899.0)</f>
        <v>99899</v>
      </c>
      <c r="D173" s="2" t="str">
        <f>IFERROR(__xludf.DUMMYFUNCTION("""COMPUTED_VALUE"""),"DB3")</f>
        <v>DB3</v>
      </c>
      <c r="E173" s="2" t="str">
        <f>IFERROR(__xludf.DUMMYFUNCTION("""COMPUTED_VALUE"""),"Imported from file Digizag.xlsx")</f>
        <v>Imported from file Digizag.xlsx</v>
      </c>
      <c r="F173" s="2" t="str">
        <f>IFERROR(__xludf.DUMMYFUNCTION("""COMPUTED_VALUE"""),"SYU174227")</f>
        <v>SYU174227</v>
      </c>
      <c r="G173" s="2" t="str">
        <f>IFERROR(__xludf.DUMMYFUNCTION("""COMPUTED_VALUE"""),"Kingdom of Saudi Arabia")</f>
        <v>Kingdom of Saudi Arabia</v>
      </c>
      <c r="H173" s="4">
        <f>IFERROR(__xludf.DUMMYFUNCTION("""COMPUTED_VALUE"""),234.87)</f>
        <v>234.87</v>
      </c>
      <c r="I173" s="3">
        <f>IFERROR(__xludf.DUMMYFUNCTION("""COMPUTED_VALUE"""),0.0)</f>
        <v>0</v>
      </c>
      <c r="J173" s="4">
        <f>IFERROR(__xludf.DUMMYFUNCTION("""COMPUTED_VALUE"""),23.48)</f>
        <v>23.48</v>
      </c>
      <c r="K173" s="2"/>
      <c r="L173" s="2" t="str">
        <f>IFERROR(__xludf.DUMMYFUNCTION("""COMPUTED_VALUE"""),"Delivered")</f>
        <v>Delivered</v>
      </c>
      <c r="M173" s="2" t="str">
        <f>IFERROR(__xludf.DUMMYFUNCTION("""COMPUTED_VALUE"""),"SR")</f>
        <v>SR</v>
      </c>
      <c r="N173" s="2" t="str">
        <f>IFERROR(__xludf.DUMMYFUNCTION("""COMPUTED_VALUE"""),"Credit, Debit, Apple Pay")</f>
        <v>Credit, Debit, Apple Pay</v>
      </c>
      <c r="O173" s="4">
        <f>IFERROR(__xludf.DUMMYFUNCTION("""COMPUTED_VALUE"""),0.0)</f>
        <v>0</v>
      </c>
      <c r="P173" s="2">
        <f>IFERROR(__xludf.DUMMYFUNCTION("""COMPUTED_VALUE"""),27.0)</f>
        <v>27</v>
      </c>
      <c r="Q173" s="2">
        <f>IFERROR(__xludf.DUMMYFUNCTION("""COMPUTED_VALUE"""),3.0)</f>
        <v>3</v>
      </c>
      <c r="R173" s="2">
        <f>IFERROR(__xludf.DUMMYFUNCTION("""COMPUTED_VALUE"""),2025.0)</f>
        <v>2025</v>
      </c>
      <c r="S173" s="2" t="str">
        <f>IFERROR(__xludf.DUMMYFUNCTION("""COMPUTED_VALUE"""),"Digizag")</f>
        <v>Digizag</v>
      </c>
      <c r="T173" s="2" t="str">
        <f>IFERROR(__xludf.DUMMYFUNCTION("""COMPUTED_VALUE"""),"Digizag")</f>
        <v>Digizag</v>
      </c>
      <c r="U173" s="5">
        <f>IFERROR(__xludf.DUMMYFUNCTION("""COMPUTED_VALUE"""),62.627156824020005)</f>
        <v>62.62715682</v>
      </c>
      <c r="V173" s="2"/>
      <c r="W173" s="2"/>
      <c r="X173" s="2"/>
      <c r="Y173" s="2"/>
      <c r="Z173" s="2"/>
    </row>
    <row r="174">
      <c r="A174" s="6">
        <f>IFERROR(__xludf.DUMMYFUNCTION("""COMPUTED_VALUE"""),45743.71194444444)</f>
        <v>45743.71194</v>
      </c>
      <c r="B174" s="2" t="str">
        <f>IFERROR(__xludf.DUMMYFUNCTION("""COMPUTED_VALUE"""),"March")</f>
        <v>March</v>
      </c>
      <c r="C174" s="3">
        <f>IFERROR(__xludf.DUMMYFUNCTION("""COMPUTED_VALUE"""),451385.0)</f>
        <v>451385</v>
      </c>
      <c r="D174" s="2" t="str">
        <f>IFERROR(__xludf.DUMMYFUNCTION("""COMPUTED_VALUE"""),"MNN16")</f>
        <v>MNN16</v>
      </c>
      <c r="E174" s="2" t="str">
        <f>IFERROR(__xludf.DUMMYFUNCTION("""COMPUTED_VALUE"""),"Imported from file DigiZag Codes 25Feb25.xlsx")</f>
        <v>Imported from file DigiZag Codes 25Feb25.xlsx</v>
      </c>
      <c r="F174" s="2" t="str">
        <f>IFERROR(__xludf.DUMMYFUNCTION("""COMPUTED_VALUE"""),"LEW896079")</f>
        <v>LEW896079</v>
      </c>
      <c r="G174" s="2" t="str">
        <f>IFERROR(__xludf.DUMMYFUNCTION("""COMPUTED_VALUE"""),"UAE")</f>
        <v>UAE</v>
      </c>
      <c r="H174" s="4">
        <f>IFERROR(__xludf.DUMMYFUNCTION("""COMPUTED_VALUE"""),141.0)</f>
        <v>141</v>
      </c>
      <c r="I174" s="3">
        <f>IFERROR(__xludf.DUMMYFUNCTION("""COMPUTED_VALUE"""),0.0)</f>
        <v>0</v>
      </c>
      <c r="J174" s="4">
        <f>IFERROR(__xludf.DUMMYFUNCTION("""COMPUTED_VALUE"""),14.1)</f>
        <v>14.1</v>
      </c>
      <c r="K174" s="2"/>
      <c r="L174" s="2" t="str">
        <f>IFERROR(__xludf.DUMMYFUNCTION("""COMPUTED_VALUE"""),"Delivered")</f>
        <v>Delivered</v>
      </c>
      <c r="M174" s="2" t="str">
        <f>IFERROR(__xludf.DUMMYFUNCTION("""COMPUTED_VALUE"""),"AED")</f>
        <v>AED</v>
      </c>
      <c r="N174" s="2" t="str">
        <f>IFERROR(__xludf.DUMMYFUNCTION("""COMPUTED_VALUE"""),"Credit, Debit , Apple Pay")</f>
        <v>Credit, Debit , Apple Pay</v>
      </c>
      <c r="O174" s="4">
        <f>IFERROR(__xludf.DUMMYFUNCTION("""COMPUTED_VALUE"""),0.0)</f>
        <v>0</v>
      </c>
      <c r="P174" s="2">
        <f>IFERROR(__xludf.DUMMYFUNCTION("""COMPUTED_VALUE"""),27.0)</f>
        <v>27</v>
      </c>
      <c r="Q174" s="2">
        <f>IFERROR(__xludf.DUMMYFUNCTION("""COMPUTED_VALUE"""),3.0)</f>
        <v>3</v>
      </c>
      <c r="R174" s="2">
        <f>IFERROR(__xludf.DUMMYFUNCTION("""COMPUTED_VALUE"""),2025.0)</f>
        <v>2025</v>
      </c>
      <c r="S174" s="2" t="str">
        <f>IFERROR(__xludf.DUMMYFUNCTION("""COMPUTED_VALUE"""),"Digizag")</f>
        <v>Digizag</v>
      </c>
      <c r="T174" s="2" t="str">
        <f>IFERROR(__xludf.DUMMYFUNCTION("""COMPUTED_VALUE"""),"Digizag")</f>
        <v>Digizag</v>
      </c>
      <c r="U174" s="5">
        <f>IFERROR(__xludf.DUMMYFUNCTION("""COMPUTED_VALUE"""),38.393464998)</f>
        <v>38.393465</v>
      </c>
      <c r="V174" s="2"/>
      <c r="W174" s="2"/>
      <c r="X174" s="2"/>
      <c r="Y174" s="2"/>
      <c r="Z174" s="2"/>
    </row>
    <row r="175">
      <c r="A175" s="6">
        <f>IFERROR(__xludf.DUMMYFUNCTION("""COMPUTED_VALUE"""),45743.715729166666)</f>
        <v>45743.71573</v>
      </c>
      <c r="B175" s="2" t="str">
        <f>IFERROR(__xludf.DUMMYFUNCTION("""COMPUTED_VALUE"""),"March")</f>
        <v>March</v>
      </c>
      <c r="C175" s="3">
        <f>IFERROR(__xludf.DUMMYFUNCTION("""COMPUTED_VALUE"""),710929.0)</f>
        <v>710929</v>
      </c>
      <c r="D175" s="2" t="str">
        <f>IFERROR(__xludf.DUMMYFUNCTION("""COMPUTED_VALUE"""),"MNN16")</f>
        <v>MNN16</v>
      </c>
      <c r="E175" s="2" t="str">
        <f>IFERROR(__xludf.DUMMYFUNCTION("""COMPUTED_VALUE"""),"Imported from file DigiZag Codes 25Feb25.xlsx")</f>
        <v>Imported from file DigiZag Codes 25Feb25.xlsx</v>
      </c>
      <c r="F175" s="2" t="str">
        <f>IFERROR(__xludf.DUMMYFUNCTION("""COMPUTED_VALUE"""),"AYC812451")</f>
        <v>AYC812451</v>
      </c>
      <c r="G175" s="2" t="str">
        <f>IFERROR(__xludf.DUMMYFUNCTION("""COMPUTED_VALUE"""),"Kuwait")</f>
        <v>Kuwait</v>
      </c>
      <c r="H175" s="4">
        <f>IFERROR(__xludf.DUMMYFUNCTION("""COMPUTED_VALUE"""),6.5)</f>
        <v>6.5</v>
      </c>
      <c r="I175" s="3">
        <f>IFERROR(__xludf.DUMMYFUNCTION("""COMPUTED_VALUE"""),0.0)</f>
        <v>0</v>
      </c>
      <c r="J175" s="4">
        <f>IFERROR(__xludf.DUMMYFUNCTION("""COMPUTED_VALUE"""),0.65)</f>
        <v>0.65</v>
      </c>
      <c r="K175" s="2"/>
      <c r="L175" s="2" t="str">
        <f>IFERROR(__xludf.DUMMYFUNCTION("""COMPUTED_VALUE"""),"Delivered")</f>
        <v>Delivered</v>
      </c>
      <c r="M175" s="2" t="str">
        <f>IFERROR(__xludf.DUMMYFUNCTION("""COMPUTED_VALUE"""),"KD")</f>
        <v>KD</v>
      </c>
      <c r="N175" s="2" t="str">
        <f>IFERROR(__xludf.DUMMYFUNCTION("""COMPUTED_VALUE"""),"Credit, Debit, Knet")</f>
        <v>Credit, Debit, Knet</v>
      </c>
      <c r="O175" s="4">
        <f>IFERROR(__xludf.DUMMYFUNCTION("""COMPUTED_VALUE"""),0.0)</f>
        <v>0</v>
      </c>
      <c r="P175" s="2">
        <f>IFERROR(__xludf.DUMMYFUNCTION("""COMPUTED_VALUE"""),27.0)</f>
        <v>27</v>
      </c>
      <c r="Q175" s="2">
        <f>IFERROR(__xludf.DUMMYFUNCTION("""COMPUTED_VALUE"""),3.0)</f>
        <v>3</v>
      </c>
      <c r="R175" s="2">
        <f>IFERROR(__xludf.DUMMYFUNCTION("""COMPUTED_VALUE"""),2025.0)</f>
        <v>2025</v>
      </c>
      <c r="S175" s="2" t="str">
        <f>IFERROR(__xludf.DUMMYFUNCTION("""COMPUTED_VALUE"""),"Digizag")</f>
        <v>Digizag</v>
      </c>
      <c r="T175" s="2" t="str">
        <f>IFERROR(__xludf.DUMMYFUNCTION("""COMPUTED_VALUE"""),"Digizag")</f>
        <v>Digizag</v>
      </c>
      <c r="U175" s="5">
        <f>IFERROR(__xludf.DUMMYFUNCTION("""COMPUTED_VALUE"""),21.194029999999998)</f>
        <v>21.19403</v>
      </c>
      <c r="V175" s="2"/>
      <c r="W175" s="2"/>
      <c r="X175" s="2"/>
      <c r="Y175" s="2"/>
      <c r="Z175" s="2"/>
    </row>
    <row r="176">
      <c r="A176" s="6">
        <f>IFERROR(__xludf.DUMMYFUNCTION("""COMPUTED_VALUE"""),45743.72498842592)</f>
        <v>45743.72499</v>
      </c>
      <c r="B176" s="2" t="str">
        <f>IFERROR(__xludf.DUMMYFUNCTION("""COMPUTED_VALUE"""),"March")</f>
        <v>March</v>
      </c>
      <c r="C176" s="3">
        <f>IFERROR(__xludf.DUMMYFUNCTION("""COMPUTED_VALUE"""),710919.0)</f>
        <v>710919</v>
      </c>
      <c r="D176" s="2" t="str">
        <f>IFERROR(__xludf.DUMMYFUNCTION("""COMPUTED_VALUE"""),"DB3")</f>
        <v>DB3</v>
      </c>
      <c r="E176" s="2" t="str">
        <f>IFERROR(__xludf.DUMMYFUNCTION("""COMPUTED_VALUE"""),"Imported from file Digizag.xlsx")</f>
        <v>Imported from file Digizag.xlsx</v>
      </c>
      <c r="F176" s="2" t="str">
        <f>IFERROR(__xludf.DUMMYFUNCTION("""COMPUTED_VALUE"""),"RSM968603")</f>
        <v>RSM968603</v>
      </c>
      <c r="G176" s="2" t="str">
        <f>IFERROR(__xludf.DUMMYFUNCTION("""COMPUTED_VALUE"""),"UAE")</f>
        <v>UAE</v>
      </c>
      <c r="H176" s="4">
        <f>IFERROR(__xludf.DUMMYFUNCTION("""COMPUTED_VALUE"""),149.0)</f>
        <v>149</v>
      </c>
      <c r="I176" s="3">
        <f>IFERROR(__xludf.DUMMYFUNCTION("""COMPUTED_VALUE"""),0.0)</f>
        <v>0</v>
      </c>
      <c r="J176" s="4">
        <f>IFERROR(__xludf.DUMMYFUNCTION("""COMPUTED_VALUE"""),14.9)</f>
        <v>14.9</v>
      </c>
      <c r="K176" s="2"/>
      <c r="L176" s="2" t="str">
        <f>IFERROR(__xludf.DUMMYFUNCTION("""COMPUTED_VALUE"""),"Delivered")</f>
        <v>Delivered</v>
      </c>
      <c r="M176" s="2" t="str">
        <f>IFERROR(__xludf.DUMMYFUNCTION("""COMPUTED_VALUE"""),"AED")</f>
        <v>AED</v>
      </c>
      <c r="N176" s="2" t="str">
        <f>IFERROR(__xludf.DUMMYFUNCTION("""COMPUTED_VALUE"""),"Credit, Debit , Apple Pay")</f>
        <v>Credit, Debit , Apple Pay</v>
      </c>
      <c r="O176" s="4">
        <f>IFERROR(__xludf.DUMMYFUNCTION("""COMPUTED_VALUE"""),0.0)</f>
        <v>0</v>
      </c>
      <c r="P176" s="2">
        <f>IFERROR(__xludf.DUMMYFUNCTION("""COMPUTED_VALUE"""),27.0)</f>
        <v>27</v>
      </c>
      <c r="Q176" s="2">
        <f>IFERROR(__xludf.DUMMYFUNCTION("""COMPUTED_VALUE"""),3.0)</f>
        <v>3</v>
      </c>
      <c r="R176" s="2">
        <f>IFERROR(__xludf.DUMMYFUNCTION("""COMPUTED_VALUE"""),2025.0)</f>
        <v>2025</v>
      </c>
      <c r="S176" s="2" t="str">
        <f>IFERROR(__xludf.DUMMYFUNCTION("""COMPUTED_VALUE"""),"Digizag")</f>
        <v>Digizag</v>
      </c>
      <c r="T176" s="2" t="str">
        <f>IFERROR(__xludf.DUMMYFUNCTION("""COMPUTED_VALUE"""),"Digizag")</f>
        <v>Digizag</v>
      </c>
      <c r="U176" s="5">
        <f>IFERROR(__xludf.DUMMYFUNCTION("""COMPUTED_VALUE"""),40.571817622)</f>
        <v>40.57181762</v>
      </c>
      <c r="V176" s="2"/>
      <c r="W176" s="2"/>
      <c r="X176" s="2"/>
      <c r="Y176" s="2"/>
      <c r="Z176" s="2"/>
    </row>
    <row r="177">
      <c r="A177" s="6">
        <f>IFERROR(__xludf.DUMMYFUNCTION("""COMPUTED_VALUE"""),45743.788993055554)</f>
        <v>45743.78899</v>
      </c>
      <c r="B177" s="2" t="str">
        <f>IFERROR(__xludf.DUMMYFUNCTION("""COMPUTED_VALUE"""),"March")</f>
        <v>March</v>
      </c>
      <c r="C177" s="3">
        <f>IFERROR(__xludf.DUMMYFUNCTION("""COMPUTED_VALUE"""),192261.0)</f>
        <v>192261</v>
      </c>
      <c r="D177" s="2" t="str">
        <f>IFERROR(__xludf.DUMMYFUNCTION("""COMPUTED_VALUE"""),"MNN16")</f>
        <v>MNN16</v>
      </c>
      <c r="E177" s="2" t="str">
        <f>IFERROR(__xludf.DUMMYFUNCTION("""COMPUTED_VALUE"""),"Imported from file DigiZag Bidding Codes.xlsx")</f>
        <v>Imported from file DigiZag Bidding Codes.xlsx</v>
      </c>
      <c r="F177" s="2" t="str">
        <f>IFERROR(__xludf.DUMMYFUNCTION("""COMPUTED_VALUE"""),"QQN761050")</f>
        <v>QQN761050</v>
      </c>
      <c r="G177" s="2" t="str">
        <f>IFERROR(__xludf.DUMMYFUNCTION("""COMPUTED_VALUE"""),"Kingdom of Saudi Arabia")</f>
        <v>Kingdom of Saudi Arabia</v>
      </c>
      <c r="H177" s="4">
        <f>IFERROR(__xludf.DUMMYFUNCTION("""COMPUTED_VALUE"""),788.43)</f>
        <v>788.43</v>
      </c>
      <c r="I177" s="3">
        <f>IFERROR(__xludf.DUMMYFUNCTION("""COMPUTED_VALUE"""),0.0)</f>
        <v>0</v>
      </c>
      <c r="J177" s="4">
        <f>IFERROR(__xludf.DUMMYFUNCTION("""COMPUTED_VALUE"""),78.84)</f>
        <v>78.84</v>
      </c>
      <c r="K177" s="2"/>
      <c r="L177" s="2" t="str">
        <f>IFERROR(__xludf.DUMMYFUNCTION("""COMPUTED_VALUE"""),"Delivered")</f>
        <v>Delivered</v>
      </c>
      <c r="M177" s="2" t="str">
        <f>IFERROR(__xludf.DUMMYFUNCTION("""COMPUTED_VALUE"""),"SR")</f>
        <v>SR</v>
      </c>
      <c r="N177" s="2" t="str">
        <f>IFERROR(__xludf.DUMMYFUNCTION("""COMPUTED_VALUE"""),"Credit, Debit, Apple Pay")</f>
        <v>Credit, Debit, Apple Pay</v>
      </c>
      <c r="O177" s="4">
        <f>IFERROR(__xludf.DUMMYFUNCTION("""COMPUTED_VALUE"""),0.0)</f>
        <v>0</v>
      </c>
      <c r="P177" s="2">
        <f>IFERROR(__xludf.DUMMYFUNCTION("""COMPUTED_VALUE"""),27.0)</f>
        <v>27</v>
      </c>
      <c r="Q177" s="2">
        <f>IFERROR(__xludf.DUMMYFUNCTION("""COMPUTED_VALUE"""),3.0)</f>
        <v>3</v>
      </c>
      <c r="R177" s="2">
        <f>IFERROR(__xludf.DUMMYFUNCTION("""COMPUTED_VALUE"""),2025.0)</f>
        <v>2025</v>
      </c>
      <c r="S177" s="2" t="str">
        <f>IFERROR(__xludf.DUMMYFUNCTION("""COMPUTED_VALUE"""),"Digizag")</f>
        <v>Digizag</v>
      </c>
      <c r="T177" s="2" t="str">
        <f>IFERROR(__xludf.DUMMYFUNCTION("""COMPUTED_VALUE"""),"Digizag")</f>
        <v>Digizag</v>
      </c>
      <c r="U177" s="5">
        <f>IFERROR(__xludf.DUMMYFUNCTION("""COMPUTED_VALUE"""),210.23174204778002)</f>
        <v>210.231742</v>
      </c>
      <c r="V177" s="2"/>
      <c r="W177" s="2"/>
      <c r="X177" s="2"/>
      <c r="Y177" s="2"/>
      <c r="Z177" s="2"/>
    </row>
    <row r="178">
      <c r="A178" s="6">
        <f>IFERROR(__xludf.DUMMYFUNCTION("""COMPUTED_VALUE"""),45743.82087962963)</f>
        <v>45743.82088</v>
      </c>
      <c r="B178" s="2" t="str">
        <f>IFERROR(__xludf.DUMMYFUNCTION("""COMPUTED_VALUE"""),"March")</f>
        <v>March</v>
      </c>
      <c r="C178" s="3">
        <f>IFERROR(__xludf.DUMMYFUNCTION("""COMPUTED_VALUE"""),411007.0)</f>
        <v>411007</v>
      </c>
      <c r="D178" s="2" t="str">
        <f>IFERROR(__xludf.DUMMYFUNCTION("""COMPUTED_VALUE"""),"DB1")</f>
        <v>DB1</v>
      </c>
      <c r="E178" s="2" t="str">
        <f>IFERROR(__xludf.DUMMYFUNCTION("""COMPUTED_VALUE"""),"Imported from file Digizag.xlsx")</f>
        <v>Imported from file Digizag.xlsx</v>
      </c>
      <c r="F178" s="2" t="str">
        <f>IFERROR(__xludf.DUMMYFUNCTION("""COMPUTED_VALUE"""),"XCQ904815")</f>
        <v>XCQ904815</v>
      </c>
      <c r="G178" s="2" t="str">
        <f>IFERROR(__xludf.DUMMYFUNCTION("""COMPUTED_VALUE"""),"Kuwait")</f>
        <v>Kuwait</v>
      </c>
      <c r="H178" s="4">
        <f>IFERROR(__xludf.DUMMYFUNCTION("""COMPUTED_VALUE"""),12.4)</f>
        <v>12.4</v>
      </c>
      <c r="I178" s="3">
        <f>IFERROR(__xludf.DUMMYFUNCTION("""COMPUTED_VALUE"""),0.0)</f>
        <v>0</v>
      </c>
      <c r="J178" s="4">
        <f>IFERROR(__xludf.DUMMYFUNCTION("""COMPUTED_VALUE"""),1.24)</f>
        <v>1.24</v>
      </c>
      <c r="K178" s="2"/>
      <c r="L178" s="2" t="str">
        <f>IFERROR(__xludf.DUMMYFUNCTION("""COMPUTED_VALUE"""),"Delivered")</f>
        <v>Delivered</v>
      </c>
      <c r="M178" s="2" t="str">
        <f>IFERROR(__xludf.DUMMYFUNCTION("""COMPUTED_VALUE"""),"KD")</f>
        <v>KD</v>
      </c>
      <c r="N178" s="2" t="str">
        <f>IFERROR(__xludf.DUMMYFUNCTION("""COMPUTED_VALUE"""),"Credit, Debit, Knet")</f>
        <v>Credit, Debit, Knet</v>
      </c>
      <c r="O178" s="4">
        <f>IFERROR(__xludf.DUMMYFUNCTION("""COMPUTED_VALUE"""),0.0)</f>
        <v>0</v>
      </c>
      <c r="P178" s="2">
        <f>IFERROR(__xludf.DUMMYFUNCTION("""COMPUTED_VALUE"""),27.0)</f>
        <v>27</v>
      </c>
      <c r="Q178" s="2">
        <f>IFERROR(__xludf.DUMMYFUNCTION("""COMPUTED_VALUE"""),3.0)</f>
        <v>3</v>
      </c>
      <c r="R178" s="2">
        <f>IFERROR(__xludf.DUMMYFUNCTION("""COMPUTED_VALUE"""),2025.0)</f>
        <v>2025</v>
      </c>
      <c r="S178" s="2" t="str">
        <f>IFERROR(__xludf.DUMMYFUNCTION("""COMPUTED_VALUE"""),"Digizag")</f>
        <v>Digizag</v>
      </c>
      <c r="T178" s="2" t="str">
        <f>IFERROR(__xludf.DUMMYFUNCTION("""COMPUTED_VALUE"""),"Digizag")</f>
        <v>Digizag</v>
      </c>
      <c r="U178" s="5">
        <f>IFERROR(__xludf.DUMMYFUNCTION("""COMPUTED_VALUE"""),40.431688)</f>
        <v>40.431688</v>
      </c>
      <c r="V178" s="2"/>
      <c r="W178" s="2"/>
      <c r="X178" s="2"/>
      <c r="Y178" s="2"/>
      <c r="Z178" s="2"/>
    </row>
    <row r="179">
      <c r="A179" s="6">
        <f>IFERROR(__xludf.DUMMYFUNCTION("""COMPUTED_VALUE"""),45743.82903935185)</f>
        <v>45743.82904</v>
      </c>
      <c r="B179" s="2" t="str">
        <f>IFERROR(__xludf.DUMMYFUNCTION("""COMPUTED_VALUE"""),"March")</f>
        <v>March</v>
      </c>
      <c r="C179" s="3">
        <f>IFERROR(__xludf.DUMMYFUNCTION("""COMPUTED_VALUE"""),451458.0)</f>
        <v>451458</v>
      </c>
      <c r="D179" s="2" t="str">
        <f>IFERROR(__xludf.DUMMYFUNCTION("""COMPUTED_VALUE"""),"MNN16")</f>
        <v>MNN16</v>
      </c>
      <c r="E179" s="2" t="str">
        <f>IFERROR(__xludf.DUMMYFUNCTION("""COMPUTED_VALUE"""),"Imported from file DigiZag Codes 25Feb25.xlsx")</f>
        <v>Imported from file DigiZag Codes 25Feb25.xlsx</v>
      </c>
      <c r="F179" s="2" t="str">
        <f>IFERROR(__xludf.DUMMYFUNCTION("""COMPUTED_VALUE"""),"TLU636047")</f>
        <v>TLU636047</v>
      </c>
      <c r="G179" s="2" t="str">
        <f>IFERROR(__xludf.DUMMYFUNCTION("""COMPUTED_VALUE"""),"Kuwait")</f>
        <v>Kuwait</v>
      </c>
      <c r="H179" s="4">
        <f>IFERROR(__xludf.DUMMYFUNCTION("""COMPUTED_VALUE"""),7.0)</f>
        <v>7</v>
      </c>
      <c r="I179" s="3">
        <f>IFERROR(__xludf.DUMMYFUNCTION("""COMPUTED_VALUE"""),0.0)</f>
        <v>0</v>
      </c>
      <c r="J179" s="4">
        <f>IFERROR(__xludf.DUMMYFUNCTION("""COMPUTED_VALUE"""),0.7)</f>
        <v>0.7</v>
      </c>
      <c r="K179" s="2"/>
      <c r="L179" s="2" t="str">
        <f>IFERROR(__xludf.DUMMYFUNCTION("""COMPUTED_VALUE"""),"Delivered")</f>
        <v>Delivered</v>
      </c>
      <c r="M179" s="2" t="str">
        <f>IFERROR(__xludf.DUMMYFUNCTION("""COMPUTED_VALUE"""),"KD")</f>
        <v>KD</v>
      </c>
      <c r="N179" s="2" t="str">
        <f>IFERROR(__xludf.DUMMYFUNCTION("""COMPUTED_VALUE"""),"Cash")</f>
        <v>Cash</v>
      </c>
      <c r="O179" s="4">
        <f>IFERROR(__xludf.DUMMYFUNCTION("""COMPUTED_VALUE"""),0.0)</f>
        <v>0</v>
      </c>
      <c r="P179" s="2">
        <f>IFERROR(__xludf.DUMMYFUNCTION("""COMPUTED_VALUE"""),27.0)</f>
        <v>27</v>
      </c>
      <c r="Q179" s="2">
        <f>IFERROR(__xludf.DUMMYFUNCTION("""COMPUTED_VALUE"""),3.0)</f>
        <v>3</v>
      </c>
      <c r="R179" s="2">
        <f>IFERROR(__xludf.DUMMYFUNCTION("""COMPUTED_VALUE"""),2025.0)</f>
        <v>2025</v>
      </c>
      <c r="S179" s="2" t="str">
        <f>IFERROR(__xludf.DUMMYFUNCTION("""COMPUTED_VALUE"""),"Digizag")</f>
        <v>Digizag</v>
      </c>
      <c r="T179" s="2" t="str">
        <f>IFERROR(__xludf.DUMMYFUNCTION("""COMPUTED_VALUE"""),"Digizag")</f>
        <v>Digizag</v>
      </c>
      <c r="U179" s="5">
        <f>IFERROR(__xludf.DUMMYFUNCTION("""COMPUTED_VALUE"""),22.82434)</f>
        <v>22.82434</v>
      </c>
      <c r="V179" s="2"/>
      <c r="W179" s="2"/>
      <c r="X179" s="2"/>
      <c r="Y179" s="2"/>
      <c r="Z179" s="2"/>
    </row>
    <row r="180">
      <c r="A180" s="6">
        <f>IFERROR(__xludf.DUMMYFUNCTION("""COMPUTED_VALUE"""),45743.92357638889)</f>
        <v>45743.92358</v>
      </c>
      <c r="B180" s="2" t="str">
        <f>IFERROR(__xludf.DUMMYFUNCTION("""COMPUTED_VALUE"""),"March")</f>
        <v>March</v>
      </c>
      <c r="C180" s="3">
        <f>IFERROR(__xludf.DUMMYFUNCTION("""COMPUTED_VALUE"""),263092.0)</f>
        <v>263092</v>
      </c>
      <c r="D180" s="2" t="str">
        <f>IFERROR(__xludf.DUMMYFUNCTION("""COMPUTED_VALUE"""),"MNN16")</f>
        <v>MNN16</v>
      </c>
      <c r="E180" s="2" t="str">
        <f>IFERROR(__xludf.DUMMYFUNCTION("""COMPUTED_VALUE"""),"Imported from file DigiZag Codes 25Feb25.xlsx")</f>
        <v>Imported from file DigiZag Codes 25Feb25.xlsx</v>
      </c>
      <c r="F180" s="2" t="str">
        <f>IFERROR(__xludf.DUMMYFUNCTION("""COMPUTED_VALUE"""),"KGB402935")</f>
        <v>KGB402935</v>
      </c>
      <c r="G180" s="2" t="str">
        <f>IFERROR(__xludf.DUMMYFUNCTION("""COMPUTED_VALUE"""),"UAE")</f>
        <v>UAE</v>
      </c>
      <c r="H180" s="4">
        <f>IFERROR(__xludf.DUMMYFUNCTION("""COMPUTED_VALUE"""),1295.14)</f>
        <v>1295.14</v>
      </c>
      <c r="I180" s="3">
        <f>IFERROR(__xludf.DUMMYFUNCTION("""COMPUTED_VALUE"""),0.0)</f>
        <v>0</v>
      </c>
      <c r="J180" s="4">
        <f>IFERROR(__xludf.DUMMYFUNCTION("""COMPUTED_VALUE"""),129.51)</f>
        <v>129.51</v>
      </c>
      <c r="K180" s="2"/>
      <c r="L180" s="2" t="str">
        <f>IFERROR(__xludf.DUMMYFUNCTION("""COMPUTED_VALUE"""),"Delivered")</f>
        <v>Delivered</v>
      </c>
      <c r="M180" s="2" t="str">
        <f>IFERROR(__xludf.DUMMYFUNCTION("""COMPUTED_VALUE"""),"AED")</f>
        <v>AED</v>
      </c>
      <c r="N180" s="2" t="str">
        <f>IFERROR(__xludf.DUMMYFUNCTION("""COMPUTED_VALUE"""),"Credit, Debit , Apple Pay")</f>
        <v>Credit, Debit , Apple Pay</v>
      </c>
      <c r="O180" s="4">
        <f>IFERROR(__xludf.DUMMYFUNCTION("""COMPUTED_VALUE"""),0.0)</f>
        <v>0</v>
      </c>
      <c r="P180" s="2">
        <f>IFERROR(__xludf.DUMMYFUNCTION("""COMPUTED_VALUE"""),27.0)</f>
        <v>27</v>
      </c>
      <c r="Q180" s="2">
        <f>IFERROR(__xludf.DUMMYFUNCTION("""COMPUTED_VALUE"""),3.0)</f>
        <v>3</v>
      </c>
      <c r="R180" s="2">
        <f>IFERROR(__xludf.DUMMYFUNCTION("""COMPUTED_VALUE"""),2025.0)</f>
        <v>2025</v>
      </c>
      <c r="S180" s="2" t="str">
        <f>IFERROR(__xludf.DUMMYFUNCTION("""COMPUTED_VALUE"""),"Digizag")</f>
        <v>Digizag</v>
      </c>
      <c r="T180" s="2" t="str">
        <f>IFERROR(__xludf.DUMMYFUNCTION("""COMPUTED_VALUE"""),"Digizag")</f>
        <v>Digizag</v>
      </c>
      <c r="U180" s="5">
        <f>IFERROR(__xludf.DUMMYFUNCTION("""COMPUTED_VALUE"""),352.65895218092004)</f>
        <v>352.6589522</v>
      </c>
      <c r="V180" s="2"/>
      <c r="W180" s="2"/>
      <c r="X180" s="2"/>
      <c r="Y180" s="2"/>
      <c r="Z180" s="2"/>
    </row>
    <row r="181">
      <c r="A181" s="6">
        <f>IFERROR(__xludf.DUMMYFUNCTION("""COMPUTED_VALUE"""),45743.92967592592)</f>
        <v>45743.92968</v>
      </c>
      <c r="B181" s="2" t="str">
        <f>IFERROR(__xludf.DUMMYFUNCTION("""COMPUTED_VALUE"""),"March")</f>
        <v>March</v>
      </c>
      <c r="C181" s="3">
        <f>IFERROR(__xludf.DUMMYFUNCTION("""COMPUTED_VALUE"""),596529.0)</f>
        <v>596529</v>
      </c>
      <c r="D181" s="2" t="str">
        <f>IFERROR(__xludf.DUMMYFUNCTION("""COMPUTED_VALUE"""),"MNN16")</f>
        <v>MNN16</v>
      </c>
      <c r="E181" s="2" t="str">
        <f>IFERROR(__xludf.DUMMYFUNCTION("""COMPUTED_VALUE"""),"Imported from file DigiZag Bidding Codes.xlsx")</f>
        <v>Imported from file DigiZag Bidding Codes.xlsx</v>
      </c>
      <c r="F181" s="2" t="str">
        <f>IFERROR(__xludf.DUMMYFUNCTION("""COMPUTED_VALUE"""),"ZYT416785")</f>
        <v>ZYT416785</v>
      </c>
      <c r="G181" s="2" t="str">
        <f>IFERROR(__xludf.DUMMYFUNCTION("""COMPUTED_VALUE"""),"Kingdom of Saudi Arabia")</f>
        <v>Kingdom of Saudi Arabia</v>
      </c>
      <c r="H181" s="4">
        <f>IFERROR(__xludf.DUMMYFUNCTION("""COMPUTED_VALUE"""),89.0)</f>
        <v>89</v>
      </c>
      <c r="I181" s="3">
        <f>IFERROR(__xludf.DUMMYFUNCTION("""COMPUTED_VALUE"""),0.0)</f>
        <v>0</v>
      </c>
      <c r="J181" s="4">
        <f>IFERROR(__xludf.DUMMYFUNCTION("""COMPUTED_VALUE"""),8.9)</f>
        <v>8.9</v>
      </c>
      <c r="K181" s="2"/>
      <c r="L181" s="2" t="str">
        <f>IFERROR(__xludf.DUMMYFUNCTION("""COMPUTED_VALUE"""),"Delivered")</f>
        <v>Delivered</v>
      </c>
      <c r="M181" s="2" t="str">
        <f>IFERROR(__xludf.DUMMYFUNCTION("""COMPUTED_VALUE"""),"SR")</f>
        <v>SR</v>
      </c>
      <c r="N181" s="2" t="str">
        <f>IFERROR(__xludf.DUMMYFUNCTION("""COMPUTED_VALUE"""),"Credit, Debit, Apple Pay")</f>
        <v>Credit, Debit, Apple Pay</v>
      </c>
      <c r="O181" s="4">
        <f>IFERROR(__xludf.DUMMYFUNCTION("""COMPUTED_VALUE"""),0.0)</f>
        <v>0</v>
      </c>
      <c r="P181" s="2">
        <f>IFERROR(__xludf.DUMMYFUNCTION("""COMPUTED_VALUE"""),27.0)</f>
        <v>27</v>
      </c>
      <c r="Q181" s="2">
        <f>IFERROR(__xludf.DUMMYFUNCTION("""COMPUTED_VALUE"""),3.0)</f>
        <v>3</v>
      </c>
      <c r="R181" s="2">
        <f>IFERROR(__xludf.DUMMYFUNCTION("""COMPUTED_VALUE"""),2025.0)</f>
        <v>2025</v>
      </c>
      <c r="S181" s="2" t="str">
        <f>IFERROR(__xludf.DUMMYFUNCTION("""COMPUTED_VALUE"""),"Digizag")</f>
        <v>Digizag</v>
      </c>
      <c r="T181" s="2" t="str">
        <f>IFERROR(__xludf.DUMMYFUNCTION("""COMPUTED_VALUE"""),"Digizag")</f>
        <v>Digizag</v>
      </c>
      <c r="U181" s="5">
        <f>IFERROR(__xludf.DUMMYFUNCTION("""COMPUTED_VALUE"""),23.731498094000003)</f>
        <v>23.73149809</v>
      </c>
      <c r="V181" s="2"/>
      <c r="W181" s="2"/>
      <c r="X181" s="2"/>
      <c r="Y181" s="2"/>
      <c r="Z181" s="2"/>
    </row>
    <row r="182">
      <c r="A182" s="6">
        <f>IFERROR(__xludf.DUMMYFUNCTION("""COMPUTED_VALUE"""),45743.97190972222)</f>
        <v>45743.97191</v>
      </c>
      <c r="B182" s="2" t="str">
        <f>IFERROR(__xludf.DUMMYFUNCTION("""COMPUTED_VALUE"""),"March")</f>
        <v>March</v>
      </c>
      <c r="C182" s="3">
        <f>IFERROR(__xludf.DUMMYFUNCTION("""COMPUTED_VALUE"""),711175.0)</f>
        <v>711175</v>
      </c>
      <c r="D182" s="2" t="str">
        <f>IFERROR(__xludf.DUMMYFUNCTION("""COMPUTED_VALUE"""),"MNN16")</f>
        <v>MNN16</v>
      </c>
      <c r="E182" s="2" t="str">
        <f>IFERROR(__xludf.DUMMYFUNCTION("""COMPUTED_VALUE"""),"Imported from file DigiZag Bidding Codes.xlsx")</f>
        <v>Imported from file DigiZag Bidding Codes.xlsx</v>
      </c>
      <c r="F182" s="2" t="str">
        <f>IFERROR(__xludf.DUMMYFUNCTION("""COMPUTED_VALUE"""),"UQN816393")</f>
        <v>UQN816393</v>
      </c>
      <c r="G182" s="2" t="str">
        <f>IFERROR(__xludf.DUMMYFUNCTION("""COMPUTED_VALUE"""),"Kingdom of Saudi Arabia")</f>
        <v>Kingdom of Saudi Arabia</v>
      </c>
      <c r="H182" s="4">
        <f>IFERROR(__xludf.DUMMYFUNCTION("""COMPUTED_VALUE"""),453.0)</f>
        <v>453</v>
      </c>
      <c r="I182" s="3">
        <f>IFERROR(__xludf.DUMMYFUNCTION("""COMPUTED_VALUE"""),0.0)</f>
        <v>0</v>
      </c>
      <c r="J182" s="4">
        <f>IFERROR(__xludf.DUMMYFUNCTION("""COMPUTED_VALUE"""),45.3)</f>
        <v>45.3</v>
      </c>
      <c r="K182" s="2"/>
      <c r="L182" s="2" t="str">
        <f>IFERROR(__xludf.DUMMYFUNCTION("""COMPUTED_VALUE"""),"Delivered")</f>
        <v>Delivered</v>
      </c>
      <c r="M182" s="2" t="str">
        <f>IFERROR(__xludf.DUMMYFUNCTION("""COMPUTED_VALUE"""),"SR")</f>
        <v>SR</v>
      </c>
      <c r="N182" s="2" t="str">
        <f>IFERROR(__xludf.DUMMYFUNCTION("""COMPUTED_VALUE"""),"Cash")</f>
        <v>Cash</v>
      </c>
      <c r="O182" s="4">
        <f>IFERROR(__xludf.DUMMYFUNCTION("""COMPUTED_VALUE"""),0.0)</f>
        <v>0</v>
      </c>
      <c r="P182" s="2">
        <f>IFERROR(__xludf.DUMMYFUNCTION("""COMPUTED_VALUE"""),27.0)</f>
        <v>27</v>
      </c>
      <c r="Q182" s="2">
        <f>IFERROR(__xludf.DUMMYFUNCTION("""COMPUTED_VALUE"""),3.0)</f>
        <v>3</v>
      </c>
      <c r="R182" s="2">
        <f>IFERROR(__xludf.DUMMYFUNCTION("""COMPUTED_VALUE"""),2025.0)</f>
        <v>2025</v>
      </c>
      <c r="S182" s="2" t="str">
        <f>IFERROR(__xludf.DUMMYFUNCTION("""COMPUTED_VALUE"""),"Digizag")</f>
        <v>Digizag</v>
      </c>
      <c r="T182" s="2" t="str">
        <f>IFERROR(__xludf.DUMMYFUNCTION("""COMPUTED_VALUE"""),"Digizag")</f>
        <v>Digizag</v>
      </c>
      <c r="U182" s="5">
        <f>IFERROR(__xludf.DUMMYFUNCTION("""COMPUTED_VALUE"""),120.79065883800001)</f>
        <v>120.7906588</v>
      </c>
      <c r="V182" s="2"/>
      <c r="W182" s="2"/>
      <c r="X182" s="2"/>
      <c r="Y182" s="2"/>
      <c r="Z182" s="2"/>
    </row>
    <row r="183">
      <c r="A183" s="6">
        <f>IFERROR(__xludf.DUMMYFUNCTION("""COMPUTED_VALUE"""),45744.057870370365)</f>
        <v>45744.05787</v>
      </c>
      <c r="B183" s="2" t="str">
        <f>IFERROR(__xludf.DUMMYFUNCTION("""COMPUTED_VALUE"""),"March")</f>
        <v>March</v>
      </c>
      <c r="C183" s="3">
        <f>IFERROR(__xludf.DUMMYFUNCTION("""COMPUTED_VALUE"""),711259.0)</f>
        <v>711259</v>
      </c>
      <c r="D183" s="2" t="str">
        <f>IFERROR(__xludf.DUMMYFUNCTION("""COMPUTED_VALUE"""),"MNN16")</f>
        <v>MNN16</v>
      </c>
      <c r="E183" s="2" t="str">
        <f>IFERROR(__xludf.DUMMYFUNCTION("""COMPUTED_VALUE"""),"Imported from file DigiZag Bidding Codes.xlsx")</f>
        <v>Imported from file DigiZag Bidding Codes.xlsx</v>
      </c>
      <c r="F183" s="2" t="str">
        <f>IFERROR(__xludf.DUMMYFUNCTION("""COMPUTED_VALUE"""),"QBH403930")</f>
        <v>QBH403930</v>
      </c>
      <c r="G183" s="2" t="str">
        <f>IFERROR(__xludf.DUMMYFUNCTION("""COMPUTED_VALUE"""),"Kingdom of Saudi Arabia")</f>
        <v>Kingdom of Saudi Arabia</v>
      </c>
      <c r="H183" s="4">
        <f>IFERROR(__xludf.DUMMYFUNCTION("""COMPUTED_VALUE"""),106.48)</f>
        <v>106.48</v>
      </c>
      <c r="I183" s="3">
        <f>IFERROR(__xludf.DUMMYFUNCTION("""COMPUTED_VALUE"""),0.0)</f>
        <v>0</v>
      </c>
      <c r="J183" s="4">
        <f>IFERROR(__xludf.DUMMYFUNCTION("""COMPUTED_VALUE"""),10.64)</f>
        <v>10.64</v>
      </c>
      <c r="K183" s="2"/>
      <c r="L183" s="2" t="str">
        <f>IFERROR(__xludf.DUMMYFUNCTION("""COMPUTED_VALUE"""),"Delivered")</f>
        <v>Delivered</v>
      </c>
      <c r="M183" s="2" t="str">
        <f>IFERROR(__xludf.DUMMYFUNCTION("""COMPUTED_VALUE"""),"SR")</f>
        <v>SR</v>
      </c>
      <c r="N183" s="2" t="str">
        <f>IFERROR(__xludf.DUMMYFUNCTION("""COMPUTED_VALUE"""),"Tamara: Split in 3, interest-free")</f>
        <v>Tamara: Split in 3, interest-free</v>
      </c>
      <c r="O183" s="4">
        <f>IFERROR(__xludf.DUMMYFUNCTION("""COMPUTED_VALUE"""),0.0)</f>
        <v>0</v>
      </c>
      <c r="P183" s="2">
        <f>IFERROR(__xludf.DUMMYFUNCTION("""COMPUTED_VALUE"""),28.0)</f>
        <v>28</v>
      </c>
      <c r="Q183" s="2">
        <f>IFERROR(__xludf.DUMMYFUNCTION("""COMPUTED_VALUE"""),3.0)</f>
        <v>3</v>
      </c>
      <c r="R183" s="2">
        <f>IFERROR(__xludf.DUMMYFUNCTION("""COMPUTED_VALUE"""),2025.0)</f>
        <v>2025</v>
      </c>
      <c r="S183" s="2" t="str">
        <f>IFERROR(__xludf.DUMMYFUNCTION("""COMPUTED_VALUE"""),"Digizag")</f>
        <v>Digizag</v>
      </c>
      <c r="T183" s="2" t="str">
        <f>IFERROR(__xludf.DUMMYFUNCTION("""COMPUTED_VALUE"""),"Digizag")</f>
        <v>Digizag</v>
      </c>
      <c r="U183" s="5">
        <f>IFERROR(__xludf.DUMMYFUNCTION("""COMPUTED_VALUE"""),28.392470978080002)</f>
        <v>28.39247098</v>
      </c>
      <c r="V183" s="2"/>
      <c r="W183" s="2"/>
      <c r="X183" s="2"/>
      <c r="Y183" s="2"/>
      <c r="Z183" s="2"/>
    </row>
    <row r="184">
      <c r="A184" s="6">
        <f>IFERROR(__xludf.DUMMYFUNCTION("""COMPUTED_VALUE"""),45744.10859953704)</f>
        <v>45744.1086</v>
      </c>
      <c r="B184" s="2" t="str">
        <f>IFERROR(__xludf.DUMMYFUNCTION("""COMPUTED_VALUE"""),"March")</f>
        <v>March</v>
      </c>
      <c r="C184" s="3">
        <f>IFERROR(__xludf.DUMMYFUNCTION("""COMPUTED_VALUE"""),704712.0)</f>
        <v>704712</v>
      </c>
      <c r="D184" s="2" t="str">
        <f>IFERROR(__xludf.DUMMYFUNCTION("""COMPUTED_VALUE"""),"MNN16")</f>
        <v>MNN16</v>
      </c>
      <c r="E184" s="2" t="str">
        <f>IFERROR(__xludf.DUMMYFUNCTION("""COMPUTED_VALUE"""),"Imported from file DigiZag Bidding Codes.xlsx")</f>
        <v>Imported from file DigiZag Bidding Codes.xlsx</v>
      </c>
      <c r="F184" s="2" t="str">
        <f>IFERROR(__xludf.DUMMYFUNCTION("""COMPUTED_VALUE"""),"UQN774645")</f>
        <v>UQN774645</v>
      </c>
      <c r="G184" s="2" t="str">
        <f>IFERROR(__xludf.DUMMYFUNCTION("""COMPUTED_VALUE"""),"Kingdom of Saudi Arabia")</f>
        <v>Kingdom of Saudi Arabia</v>
      </c>
      <c r="H184" s="4">
        <f>IFERROR(__xludf.DUMMYFUNCTION("""COMPUTED_VALUE"""),43.48)</f>
        <v>43.48</v>
      </c>
      <c r="I184" s="3">
        <f>IFERROR(__xludf.DUMMYFUNCTION("""COMPUTED_VALUE"""),0.0)</f>
        <v>0</v>
      </c>
      <c r="J184" s="4">
        <f>IFERROR(__xludf.DUMMYFUNCTION("""COMPUTED_VALUE"""),4.34)</f>
        <v>4.34</v>
      </c>
      <c r="K184" s="2"/>
      <c r="L184" s="2" t="str">
        <f>IFERROR(__xludf.DUMMYFUNCTION("""COMPUTED_VALUE"""),"Delivered")</f>
        <v>Delivered</v>
      </c>
      <c r="M184" s="2" t="str">
        <f>IFERROR(__xludf.DUMMYFUNCTION("""COMPUTED_VALUE"""),"SR")</f>
        <v>SR</v>
      </c>
      <c r="N184" s="2" t="str">
        <f>IFERROR(__xludf.DUMMYFUNCTION("""COMPUTED_VALUE"""),"Pay in 4. No interest, no fees")</f>
        <v>Pay in 4. No interest, no fees</v>
      </c>
      <c r="O184" s="4">
        <f>IFERROR(__xludf.DUMMYFUNCTION("""COMPUTED_VALUE"""),0.0)</f>
        <v>0</v>
      </c>
      <c r="P184" s="2">
        <f>IFERROR(__xludf.DUMMYFUNCTION("""COMPUTED_VALUE"""),28.0)</f>
        <v>28</v>
      </c>
      <c r="Q184" s="2">
        <f>IFERROR(__xludf.DUMMYFUNCTION("""COMPUTED_VALUE"""),3.0)</f>
        <v>3</v>
      </c>
      <c r="R184" s="2">
        <f>IFERROR(__xludf.DUMMYFUNCTION("""COMPUTED_VALUE"""),2025.0)</f>
        <v>2025</v>
      </c>
      <c r="S184" s="2" t="str">
        <f>IFERROR(__xludf.DUMMYFUNCTION("""COMPUTED_VALUE"""),"Digizag")</f>
        <v>Digizag</v>
      </c>
      <c r="T184" s="2" t="str">
        <f>IFERROR(__xludf.DUMMYFUNCTION("""COMPUTED_VALUE"""),"Digizag")</f>
        <v>Digizag</v>
      </c>
      <c r="U184" s="5">
        <f>IFERROR(__xludf.DUMMYFUNCTION("""COMPUTED_VALUE"""),11.59377008008)</f>
        <v>11.59377008</v>
      </c>
      <c r="V184" s="2"/>
      <c r="W184" s="2"/>
      <c r="X184" s="2"/>
      <c r="Y184" s="2"/>
      <c r="Z184" s="2"/>
    </row>
    <row r="185">
      <c r="A185" s="6">
        <f>IFERROR(__xludf.DUMMYFUNCTION("""COMPUTED_VALUE"""),45744.119791666664)</f>
        <v>45744.11979</v>
      </c>
      <c r="B185" s="2" t="str">
        <f>IFERROR(__xludf.DUMMYFUNCTION("""COMPUTED_VALUE"""),"March")</f>
        <v>March</v>
      </c>
      <c r="C185" s="3">
        <f>IFERROR(__xludf.DUMMYFUNCTION("""COMPUTED_VALUE"""),710188.0)</f>
        <v>710188</v>
      </c>
      <c r="D185" s="2" t="str">
        <f>IFERROR(__xludf.DUMMYFUNCTION("""COMPUTED_VALUE"""),"MNN16")</f>
        <v>MNN16</v>
      </c>
      <c r="E185" s="2" t="str">
        <f>IFERROR(__xludf.DUMMYFUNCTION("""COMPUTED_VALUE"""),"Imported from file DigiZag Bidding Codes.xlsx")</f>
        <v>Imported from file DigiZag Bidding Codes.xlsx</v>
      </c>
      <c r="F185" s="2" t="str">
        <f>IFERROR(__xludf.DUMMYFUNCTION("""COMPUTED_VALUE"""),"EZX103262")</f>
        <v>EZX103262</v>
      </c>
      <c r="G185" s="2" t="str">
        <f>IFERROR(__xludf.DUMMYFUNCTION("""COMPUTED_VALUE"""),"Kingdom of Saudi Arabia")</f>
        <v>Kingdom of Saudi Arabia</v>
      </c>
      <c r="H185" s="4">
        <f>IFERROR(__xludf.DUMMYFUNCTION("""COMPUTED_VALUE"""),125.22)</f>
        <v>125.22</v>
      </c>
      <c r="I185" s="3">
        <f>IFERROR(__xludf.DUMMYFUNCTION("""COMPUTED_VALUE"""),0.0)</f>
        <v>0</v>
      </c>
      <c r="J185" s="4">
        <f>IFERROR(__xludf.DUMMYFUNCTION("""COMPUTED_VALUE"""),12.52)</f>
        <v>12.52</v>
      </c>
      <c r="K185" s="2"/>
      <c r="L185" s="2" t="str">
        <f>IFERROR(__xludf.DUMMYFUNCTION("""COMPUTED_VALUE"""),"Delivered")</f>
        <v>Delivered</v>
      </c>
      <c r="M185" s="2" t="str">
        <f>IFERROR(__xludf.DUMMYFUNCTION("""COMPUTED_VALUE"""),"SR")</f>
        <v>SR</v>
      </c>
      <c r="N185" s="2" t="str">
        <f>IFERROR(__xludf.DUMMYFUNCTION("""COMPUTED_VALUE"""),"Pay in 4. No interest, no fees")</f>
        <v>Pay in 4. No interest, no fees</v>
      </c>
      <c r="O185" s="4">
        <f>IFERROR(__xludf.DUMMYFUNCTION("""COMPUTED_VALUE"""),0.0)</f>
        <v>0</v>
      </c>
      <c r="P185" s="2">
        <f>IFERROR(__xludf.DUMMYFUNCTION("""COMPUTED_VALUE"""),28.0)</f>
        <v>28</v>
      </c>
      <c r="Q185" s="2">
        <f>IFERROR(__xludf.DUMMYFUNCTION("""COMPUTED_VALUE"""),3.0)</f>
        <v>3</v>
      </c>
      <c r="R185" s="2">
        <f>IFERROR(__xludf.DUMMYFUNCTION("""COMPUTED_VALUE"""),2025.0)</f>
        <v>2025</v>
      </c>
      <c r="S185" s="2" t="str">
        <f>IFERROR(__xludf.DUMMYFUNCTION("""COMPUTED_VALUE"""),"Digizag")</f>
        <v>Digizag</v>
      </c>
      <c r="T185" s="2" t="str">
        <f>IFERROR(__xludf.DUMMYFUNCTION("""COMPUTED_VALUE"""),"Digizag")</f>
        <v>Digizag</v>
      </c>
      <c r="U185" s="5">
        <f>IFERROR(__xludf.DUMMYFUNCTION("""COMPUTED_VALUE"""),33.38941788012)</f>
        <v>33.38941788</v>
      </c>
      <c r="V185" s="2"/>
      <c r="W185" s="2"/>
      <c r="X185" s="2"/>
      <c r="Y185" s="2"/>
      <c r="Z185" s="2"/>
    </row>
    <row r="186">
      <c r="A186" s="6">
        <f>IFERROR(__xludf.DUMMYFUNCTION("""COMPUTED_VALUE"""),45744.19027777777)</f>
        <v>45744.19028</v>
      </c>
      <c r="B186" s="2" t="str">
        <f>IFERROR(__xludf.DUMMYFUNCTION("""COMPUTED_VALUE"""),"March")</f>
        <v>March</v>
      </c>
      <c r="C186" s="3">
        <f>IFERROR(__xludf.DUMMYFUNCTION("""COMPUTED_VALUE"""),386502.0)</f>
        <v>386502</v>
      </c>
      <c r="D186" s="2" t="str">
        <f>IFERROR(__xludf.DUMMYFUNCTION("""COMPUTED_VALUE"""),"DB3")</f>
        <v>DB3</v>
      </c>
      <c r="E186" s="2" t="str">
        <f>IFERROR(__xludf.DUMMYFUNCTION("""COMPUTED_VALUE"""),"Imported from file Digizag.xlsx")</f>
        <v>Imported from file Digizag.xlsx</v>
      </c>
      <c r="F186" s="2" t="str">
        <f>IFERROR(__xludf.DUMMYFUNCTION("""COMPUTED_VALUE"""),"ZZD504491")</f>
        <v>ZZD504491</v>
      </c>
      <c r="G186" s="2" t="str">
        <f>IFERROR(__xludf.DUMMYFUNCTION("""COMPUTED_VALUE"""),"Kingdom of Saudi Arabia")</f>
        <v>Kingdom of Saudi Arabia</v>
      </c>
      <c r="H186" s="4">
        <f>IFERROR(__xludf.DUMMYFUNCTION("""COMPUTED_VALUE"""),510.37)</f>
        <v>510.37</v>
      </c>
      <c r="I186" s="3">
        <f>IFERROR(__xludf.DUMMYFUNCTION("""COMPUTED_VALUE"""),0.0)</f>
        <v>0</v>
      </c>
      <c r="J186" s="4">
        <f>IFERROR(__xludf.DUMMYFUNCTION("""COMPUTED_VALUE"""),51.03)</f>
        <v>51.03</v>
      </c>
      <c r="K186" s="2"/>
      <c r="L186" s="2" t="str">
        <f>IFERROR(__xludf.DUMMYFUNCTION("""COMPUTED_VALUE"""),"Delivered")</f>
        <v>Delivered</v>
      </c>
      <c r="M186" s="2" t="str">
        <f>IFERROR(__xludf.DUMMYFUNCTION("""COMPUTED_VALUE"""),"SR")</f>
        <v>SR</v>
      </c>
      <c r="N186" s="2" t="str">
        <f>IFERROR(__xludf.DUMMYFUNCTION("""COMPUTED_VALUE"""),"Credit, Debit, Apple Pay")</f>
        <v>Credit, Debit, Apple Pay</v>
      </c>
      <c r="O186" s="4">
        <f>IFERROR(__xludf.DUMMYFUNCTION("""COMPUTED_VALUE"""),0.0)</f>
        <v>0</v>
      </c>
      <c r="P186" s="2">
        <f>IFERROR(__xludf.DUMMYFUNCTION("""COMPUTED_VALUE"""),28.0)</f>
        <v>28</v>
      </c>
      <c r="Q186" s="2">
        <f>IFERROR(__xludf.DUMMYFUNCTION("""COMPUTED_VALUE"""),3.0)</f>
        <v>3</v>
      </c>
      <c r="R186" s="2">
        <f>IFERROR(__xludf.DUMMYFUNCTION("""COMPUTED_VALUE"""),2025.0)</f>
        <v>2025</v>
      </c>
      <c r="S186" s="2" t="str">
        <f>IFERROR(__xludf.DUMMYFUNCTION("""COMPUTED_VALUE"""),"Digizag")</f>
        <v>Digizag</v>
      </c>
      <c r="T186" s="2" t="str">
        <f>IFERROR(__xludf.DUMMYFUNCTION("""COMPUTED_VALUE"""),"Digizag")</f>
        <v>Digizag</v>
      </c>
      <c r="U186" s="5">
        <f>IFERROR(__xludf.DUMMYFUNCTION("""COMPUTED_VALUE"""),136.08814249702002)</f>
        <v>136.0881425</v>
      </c>
      <c r="V186" s="2"/>
      <c r="W186" s="2"/>
      <c r="X186" s="2"/>
      <c r="Y186" s="2"/>
      <c r="Z186" s="2"/>
    </row>
    <row r="187">
      <c r="A187" s="6">
        <f>IFERROR(__xludf.DUMMYFUNCTION("""COMPUTED_VALUE"""),45744.219513888886)</f>
        <v>45744.21951</v>
      </c>
      <c r="B187" s="2" t="str">
        <f>IFERROR(__xludf.DUMMYFUNCTION("""COMPUTED_VALUE"""),"March")</f>
        <v>March</v>
      </c>
      <c r="C187" s="3">
        <f>IFERROR(__xludf.DUMMYFUNCTION("""COMPUTED_VALUE"""),64692.0)</f>
        <v>64692</v>
      </c>
      <c r="D187" s="2" t="str">
        <f>IFERROR(__xludf.DUMMYFUNCTION("""COMPUTED_VALUE"""),"MNN16")</f>
        <v>MNN16</v>
      </c>
      <c r="E187" s="2" t="str">
        <f>IFERROR(__xludf.DUMMYFUNCTION("""COMPUTED_VALUE"""),"Imported from file DigiZag Codes 25Feb25.xlsx")</f>
        <v>Imported from file DigiZag Codes 25Feb25.xlsx</v>
      </c>
      <c r="F187" s="2" t="str">
        <f>IFERROR(__xludf.DUMMYFUNCTION("""COMPUTED_VALUE"""),"AEH585071")</f>
        <v>AEH585071</v>
      </c>
      <c r="G187" s="2" t="str">
        <f>IFERROR(__xludf.DUMMYFUNCTION("""COMPUTED_VALUE"""),"UAE")</f>
        <v>UAE</v>
      </c>
      <c r="H187" s="4">
        <f>IFERROR(__xludf.DUMMYFUNCTION("""COMPUTED_VALUE"""),136.67)</f>
        <v>136.67</v>
      </c>
      <c r="I187" s="3">
        <f>IFERROR(__xludf.DUMMYFUNCTION("""COMPUTED_VALUE"""),0.0)</f>
        <v>0</v>
      </c>
      <c r="J187" s="4">
        <f>IFERROR(__xludf.DUMMYFUNCTION("""COMPUTED_VALUE"""),13.66)</f>
        <v>13.66</v>
      </c>
      <c r="K187" s="2"/>
      <c r="L187" s="2" t="str">
        <f>IFERROR(__xludf.DUMMYFUNCTION("""COMPUTED_VALUE"""),"Delivered")</f>
        <v>Delivered</v>
      </c>
      <c r="M187" s="2" t="str">
        <f>IFERROR(__xludf.DUMMYFUNCTION("""COMPUTED_VALUE"""),"AED")</f>
        <v>AED</v>
      </c>
      <c r="N187" s="2" t="str">
        <f>IFERROR(__xludf.DUMMYFUNCTION("""COMPUTED_VALUE"""),"Credit, Debit , Apple Pay")</f>
        <v>Credit, Debit , Apple Pay</v>
      </c>
      <c r="O187" s="4">
        <f>IFERROR(__xludf.DUMMYFUNCTION("""COMPUTED_VALUE"""),0.0)</f>
        <v>0</v>
      </c>
      <c r="P187" s="2">
        <f>IFERROR(__xludf.DUMMYFUNCTION("""COMPUTED_VALUE"""),28.0)</f>
        <v>28</v>
      </c>
      <c r="Q187" s="2">
        <f>IFERROR(__xludf.DUMMYFUNCTION("""COMPUTED_VALUE"""),3.0)</f>
        <v>3</v>
      </c>
      <c r="R187" s="2">
        <f>IFERROR(__xludf.DUMMYFUNCTION("""COMPUTED_VALUE"""),2025.0)</f>
        <v>2025</v>
      </c>
      <c r="S187" s="2" t="str">
        <f>IFERROR(__xludf.DUMMYFUNCTION("""COMPUTED_VALUE"""),"Digizag")</f>
        <v>Digizag</v>
      </c>
      <c r="T187" s="2" t="str">
        <f>IFERROR(__xludf.DUMMYFUNCTION("""COMPUTED_VALUE"""),"Digizag")</f>
        <v>Digizag</v>
      </c>
      <c r="U187" s="5">
        <f>IFERROR(__xludf.DUMMYFUNCTION("""COMPUTED_VALUE"""),37.214431640259996)</f>
        <v>37.21443164</v>
      </c>
      <c r="V187" s="2"/>
      <c r="W187" s="2"/>
      <c r="X187" s="2"/>
      <c r="Y187" s="2"/>
      <c r="Z187" s="2"/>
    </row>
    <row r="188">
      <c r="A188" s="6">
        <f>IFERROR(__xludf.DUMMYFUNCTION("""COMPUTED_VALUE"""),45744.38513888889)</f>
        <v>45744.38514</v>
      </c>
      <c r="B188" s="2" t="str">
        <f>IFERROR(__xludf.DUMMYFUNCTION("""COMPUTED_VALUE"""),"March")</f>
        <v>March</v>
      </c>
      <c r="C188" s="3">
        <f>IFERROR(__xludf.DUMMYFUNCTION("""COMPUTED_VALUE"""),245519.0)</f>
        <v>245519</v>
      </c>
      <c r="D188" s="2" t="str">
        <f>IFERROR(__xludf.DUMMYFUNCTION("""COMPUTED_VALUE"""),"MNN16")</f>
        <v>MNN16</v>
      </c>
      <c r="E188" s="2" t="str">
        <f>IFERROR(__xludf.DUMMYFUNCTION("""COMPUTED_VALUE"""),"Imported from file DigiZag Bidding Codes.xlsx")</f>
        <v>Imported from file DigiZag Bidding Codes.xlsx</v>
      </c>
      <c r="F188" s="2" t="str">
        <f>IFERROR(__xludf.DUMMYFUNCTION("""COMPUTED_VALUE"""),"AJA856414")</f>
        <v>AJA856414</v>
      </c>
      <c r="G188" s="2" t="str">
        <f>IFERROR(__xludf.DUMMYFUNCTION("""COMPUTED_VALUE"""),"Kingdom of Saudi Arabia")</f>
        <v>Kingdom of Saudi Arabia</v>
      </c>
      <c r="H188" s="4">
        <f>IFERROR(__xludf.DUMMYFUNCTION("""COMPUTED_VALUE"""),429.76)</f>
        <v>429.76</v>
      </c>
      <c r="I188" s="3">
        <f>IFERROR(__xludf.DUMMYFUNCTION("""COMPUTED_VALUE"""),0.0)</f>
        <v>0</v>
      </c>
      <c r="J188" s="4">
        <f>IFERROR(__xludf.DUMMYFUNCTION("""COMPUTED_VALUE"""),42.96)</f>
        <v>42.96</v>
      </c>
      <c r="K188" s="2"/>
      <c r="L188" s="2" t="str">
        <f>IFERROR(__xludf.DUMMYFUNCTION("""COMPUTED_VALUE"""),"Delivered")</f>
        <v>Delivered</v>
      </c>
      <c r="M188" s="2" t="str">
        <f>IFERROR(__xludf.DUMMYFUNCTION("""COMPUTED_VALUE"""),"SR")</f>
        <v>SR</v>
      </c>
      <c r="N188" s="2" t="str">
        <f>IFERROR(__xludf.DUMMYFUNCTION("""COMPUTED_VALUE"""),"Credit, Debit, Apple Pay")</f>
        <v>Credit, Debit, Apple Pay</v>
      </c>
      <c r="O188" s="4">
        <f>IFERROR(__xludf.DUMMYFUNCTION("""COMPUTED_VALUE"""),0.0)</f>
        <v>0</v>
      </c>
      <c r="P188" s="2">
        <f>IFERROR(__xludf.DUMMYFUNCTION("""COMPUTED_VALUE"""),28.0)</f>
        <v>28</v>
      </c>
      <c r="Q188" s="2">
        <f>IFERROR(__xludf.DUMMYFUNCTION("""COMPUTED_VALUE"""),3.0)</f>
        <v>3</v>
      </c>
      <c r="R188" s="2">
        <f>IFERROR(__xludf.DUMMYFUNCTION("""COMPUTED_VALUE"""),2025.0)</f>
        <v>2025</v>
      </c>
      <c r="S188" s="2" t="str">
        <f>IFERROR(__xludf.DUMMYFUNCTION("""COMPUTED_VALUE"""),"Digizag")</f>
        <v>Digizag</v>
      </c>
      <c r="T188" s="2" t="str">
        <f>IFERROR(__xludf.DUMMYFUNCTION("""COMPUTED_VALUE"""),"Digizag")</f>
        <v>Digizag</v>
      </c>
      <c r="U188" s="5">
        <f>IFERROR(__xludf.DUMMYFUNCTION("""COMPUTED_VALUE"""),114.59380472896001)</f>
        <v>114.5938047</v>
      </c>
      <c r="V188" s="2"/>
      <c r="W188" s="2"/>
      <c r="X188" s="2"/>
      <c r="Y188" s="2"/>
      <c r="Z188" s="2"/>
    </row>
    <row r="189">
      <c r="A189" s="6">
        <f>IFERROR(__xludf.DUMMYFUNCTION("""COMPUTED_VALUE"""),45744.51918981481)</f>
        <v>45744.51919</v>
      </c>
      <c r="B189" s="2" t="str">
        <f>IFERROR(__xludf.DUMMYFUNCTION("""COMPUTED_VALUE"""),"March")</f>
        <v>March</v>
      </c>
      <c r="C189" s="3">
        <f>IFERROR(__xludf.DUMMYFUNCTION("""COMPUTED_VALUE"""),711447.0)</f>
        <v>711447</v>
      </c>
      <c r="D189" s="2" t="str">
        <f>IFERROR(__xludf.DUMMYFUNCTION("""COMPUTED_VALUE"""),"MNN16")</f>
        <v>MNN16</v>
      </c>
      <c r="E189" s="2" t="str">
        <f>IFERROR(__xludf.DUMMYFUNCTION("""COMPUTED_VALUE"""),"Imported from file DigiZag Codes 25Feb25.xlsx")</f>
        <v>Imported from file DigiZag Codes 25Feb25.xlsx</v>
      </c>
      <c r="F189" s="2" t="str">
        <f>IFERROR(__xludf.DUMMYFUNCTION("""COMPUTED_VALUE"""),"UPZ288130")</f>
        <v>UPZ288130</v>
      </c>
      <c r="G189" s="2" t="str">
        <f>IFERROR(__xludf.DUMMYFUNCTION("""COMPUTED_VALUE"""),"UAE")</f>
        <v>UAE</v>
      </c>
      <c r="H189" s="4">
        <f>IFERROR(__xludf.DUMMYFUNCTION("""COMPUTED_VALUE"""),185.0)</f>
        <v>185</v>
      </c>
      <c r="I189" s="3">
        <f>IFERROR(__xludf.DUMMYFUNCTION("""COMPUTED_VALUE"""),0.0)</f>
        <v>0</v>
      </c>
      <c r="J189" s="4">
        <f>IFERROR(__xludf.DUMMYFUNCTION("""COMPUTED_VALUE"""),18.5)</f>
        <v>18.5</v>
      </c>
      <c r="K189" s="2"/>
      <c r="L189" s="2" t="str">
        <f>IFERROR(__xludf.DUMMYFUNCTION("""COMPUTED_VALUE"""),"Delivered")</f>
        <v>Delivered</v>
      </c>
      <c r="M189" s="2" t="str">
        <f>IFERROR(__xludf.DUMMYFUNCTION("""COMPUTED_VALUE"""),"AED")</f>
        <v>AED</v>
      </c>
      <c r="N189" s="2" t="str">
        <f>IFERROR(__xludf.DUMMYFUNCTION("""COMPUTED_VALUE"""),"Credit, Debit , Apple Pay")</f>
        <v>Credit, Debit , Apple Pay</v>
      </c>
      <c r="O189" s="4">
        <f>IFERROR(__xludf.DUMMYFUNCTION("""COMPUTED_VALUE"""),0.0)</f>
        <v>0</v>
      </c>
      <c r="P189" s="2">
        <f>IFERROR(__xludf.DUMMYFUNCTION("""COMPUTED_VALUE"""),28.0)</f>
        <v>28</v>
      </c>
      <c r="Q189" s="2">
        <f>IFERROR(__xludf.DUMMYFUNCTION("""COMPUTED_VALUE"""),3.0)</f>
        <v>3</v>
      </c>
      <c r="R189" s="2">
        <f>IFERROR(__xludf.DUMMYFUNCTION("""COMPUTED_VALUE"""),2025.0)</f>
        <v>2025</v>
      </c>
      <c r="S189" s="2" t="str">
        <f>IFERROR(__xludf.DUMMYFUNCTION("""COMPUTED_VALUE"""),"Digizag")</f>
        <v>Digizag</v>
      </c>
      <c r="T189" s="2" t="str">
        <f>IFERROR(__xludf.DUMMYFUNCTION("""COMPUTED_VALUE"""),"Digizag")</f>
        <v>Digizag</v>
      </c>
      <c r="U189" s="5">
        <f>IFERROR(__xludf.DUMMYFUNCTION("""COMPUTED_VALUE"""),50.37440443)</f>
        <v>50.37440443</v>
      </c>
      <c r="V189" s="2"/>
      <c r="W189" s="2"/>
      <c r="X189" s="2"/>
      <c r="Y189" s="2"/>
      <c r="Z189" s="2"/>
    </row>
    <row r="190">
      <c r="A190" s="6">
        <f>IFERROR(__xludf.DUMMYFUNCTION("""COMPUTED_VALUE"""),45744.54717592592)</f>
        <v>45744.54718</v>
      </c>
      <c r="B190" s="2" t="str">
        <f>IFERROR(__xludf.DUMMYFUNCTION("""COMPUTED_VALUE"""),"March")</f>
        <v>March</v>
      </c>
      <c r="C190" s="3">
        <f>IFERROR(__xludf.DUMMYFUNCTION("""COMPUTED_VALUE"""),706096.0)</f>
        <v>706096</v>
      </c>
      <c r="D190" s="2" t="str">
        <f>IFERROR(__xludf.DUMMYFUNCTION("""COMPUTED_VALUE"""),"MNN16")</f>
        <v>MNN16</v>
      </c>
      <c r="E190" s="2" t="str">
        <f>IFERROR(__xludf.DUMMYFUNCTION("""COMPUTED_VALUE"""),"Imported from file DigiZag Codes 25Feb25.xlsx")</f>
        <v>Imported from file DigiZag Codes 25Feb25.xlsx</v>
      </c>
      <c r="F190" s="2" t="str">
        <f>IFERROR(__xludf.DUMMYFUNCTION("""COMPUTED_VALUE"""),"KDM830040")</f>
        <v>KDM830040</v>
      </c>
      <c r="G190" s="2" t="str">
        <f>IFERROR(__xludf.DUMMYFUNCTION("""COMPUTED_VALUE"""),"UAE")</f>
        <v>UAE</v>
      </c>
      <c r="H190" s="4">
        <f>IFERROR(__xludf.DUMMYFUNCTION("""COMPUTED_VALUE"""),300.43)</f>
        <v>300.43</v>
      </c>
      <c r="I190" s="3">
        <f>IFERROR(__xludf.DUMMYFUNCTION("""COMPUTED_VALUE"""),0.0)</f>
        <v>0</v>
      </c>
      <c r="J190" s="4">
        <f>IFERROR(__xludf.DUMMYFUNCTION("""COMPUTED_VALUE"""),30.04)</f>
        <v>30.04</v>
      </c>
      <c r="K190" s="2"/>
      <c r="L190" s="2" t="str">
        <f>IFERROR(__xludf.DUMMYFUNCTION("""COMPUTED_VALUE"""),"Delivered")</f>
        <v>Delivered</v>
      </c>
      <c r="M190" s="2" t="str">
        <f>IFERROR(__xludf.DUMMYFUNCTION("""COMPUTED_VALUE"""),"AED")</f>
        <v>AED</v>
      </c>
      <c r="N190" s="2" t="str">
        <f>IFERROR(__xludf.DUMMYFUNCTION("""COMPUTED_VALUE"""),"Tamara: split in 3, interest-free")</f>
        <v>Tamara: split in 3, interest-free</v>
      </c>
      <c r="O190" s="4">
        <f>IFERROR(__xludf.DUMMYFUNCTION("""COMPUTED_VALUE"""),0.0)</f>
        <v>0</v>
      </c>
      <c r="P190" s="2">
        <f>IFERROR(__xludf.DUMMYFUNCTION("""COMPUTED_VALUE"""),28.0)</f>
        <v>28</v>
      </c>
      <c r="Q190" s="2">
        <f>IFERROR(__xludf.DUMMYFUNCTION("""COMPUTED_VALUE"""),3.0)</f>
        <v>3</v>
      </c>
      <c r="R190" s="2">
        <f>IFERROR(__xludf.DUMMYFUNCTION("""COMPUTED_VALUE"""),2025.0)</f>
        <v>2025</v>
      </c>
      <c r="S190" s="2" t="str">
        <f>IFERROR(__xludf.DUMMYFUNCTION("""COMPUTED_VALUE"""),"Digizag")</f>
        <v>Digizag</v>
      </c>
      <c r="T190" s="2" t="str">
        <f>IFERROR(__xludf.DUMMYFUNCTION("""COMPUTED_VALUE"""),"Digizag")</f>
        <v>Digizag</v>
      </c>
      <c r="U190" s="5">
        <f>IFERROR(__xludf.DUMMYFUNCTION("""COMPUTED_VALUE"""),81.80530985354)</f>
        <v>81.80530985</v>
      </c>
      <c r="V190" s="2"/>
      <c r="W190" s="2"/>
      <c r="X190" s="2"/>
      <c r="Y190" s="2"/>
      <c r="Z190" s="2"/>
    </row>
    <row r="191">
      <c r="A191" s="6">
        <f>IFERROR(__xludf.DUMMYFUNCTION("""COMPUTED_VALUE"""),45744.59081018518)</f>
        <v>45744.59081</v>
      </c>
      <c r="B191" s="2" t="str">
        <f>IFERROR(__xludf.DUMMYFUNCTION("""COMPUTED_VALUE"""),"March")</f>
        <v>March</v>
      </c>
      <c r="C191" s="3">
        <f>IFERROR(__xludf.DUMMYFUNCTION("""COMPUTED_VALUE"""),711546.0)</f>
        <v>711546</v>
      </c>
      <c r="D191" s="2" t="str">
        <f>IFERROR(__xludf.DUMMYFUNCTION("""COMPUTED_VALUE"""),"MNN16")</f>
        <v>MNN16</v>
      </c>
      <c r="E191" s="2" t="str">
        <f>IFERROR(__xludf.DUMMYFUNCTION("""COMPUTED_VALUE"""),"Imported from file DigiZag Bidding Codes.xlsx")</f>
        <v>Imported from file DigiZag Bidding Codes.xlsx</v>
      </c>
      <c r="F191" s="2" t="str">
        <f>IFERROR(__xludf.DUMMYFUNCTION("""COMPUTED_VALUE"""),"UPL784451")</f>
        <v>UPL784451</v>
      </c>
      <c r="G191" s="2" t="str">
        <f>IFERROR(__xludf.DUMMYFUNCTION("""COMPUTED_VALUE"""),"Kingdom of Saudi Arabia")</f>
        <v>Kingdom of Saudi Arabia</v>
      </c>
      <c r="H191" s="4">
        <f>IFERROR(__xludf.DUMMYFUNCTION("""COMPUTED_VALUE"""),478.6)</f>
        <v>478.6</v>
      </c>
      <c r="I191" s="3">
        <f>IFERROR(__xludf.DUMMYFUNCTION("""COMPUTED_VALUE"""),0.0)</f>
        <v>0</v>
      </c>
      <c r="J191" s="4">
        <f>IFERROR(__xludf.DUMMYFUNCTION("""COMPUTED_VALUE"""),47.84)</f>
        <v>47.84</v>
      </c>
      <c r="K191" s="2"/>
      <c r="L191" s="2" t="str">
        <f>IFERROR(__xludf.DUMMYFUNCTION("""COMPUTED_VALUE"""),"Delivered")</f>
        <v>Delivered</v>
      </c>
      <c r="M191" s="2" t="str">
        <f>IFERROR(__xludf.DUMMYFUNCTION("""COMPUTED_VALUE"""),"SR")</f>
        <v>SR</v>
      </c>
      <c r="N191" s="2" t="str">
        <f>IFERROR(__xludf.DUMMYFUNCTION("""COMPUTED_VALUE"""),"Tamara: Split in 3, interest-free")</f>
        <v>Tamara: Split in 3, interest-free</v>
      </c>
      <c r="O191" s="4">
        <f>IFERROR(__xludf.DUMMYFUNCTION("""COMPUTED_VALUE"""),0.0)</f>
        <v>0</v>
      </c>
      <c r="P191" s="2">
        <f>IFERROR(__xludf.DUMMYFUNCTION("""COMPUTED_VALUE"""),28.0)</f>
        <v>28</v>
      </c>
      <c r="Q191" s="2">
        <f>IFERROR(__xludf.DUMMYFUNCTION("""COMPUTED_VALUE"""),3.0)</f>
        <v>3</v>
      </c>
      <c r="R191" s="2">
        <f>IFERROR(__xludf.DUMMYFUNCTION("""COMPUTED_VALUE"""),2025.0)</f>
        <v>2025</v>
      </c>
      <c r="S191" s="2" t="str">
        <f>IFERROR(__xludf.DUMMYFUNCTION("""COMPUTED_VALUE"""),"Digizag")</f>
        <v>Digizag</v>
      </c>
      <c r="T191" s="2" t="str">
        <f>IFERROR(__xludf.DUMMYFUNCTION("""COMPUTED_VALUE"""),"Digizag")</f>
        <v>Digizag</v>
      </c>
      <c r="U191" s="5">
        <f>IFERROR(__xludf.DUMMYFUNCTION("""COMPUTED_VALUE"""),127.61679761560002)</f>
        <v>127.6167976</v>
      </c>
      <c r="V191" s="2"/>
      <c r="W191" s="2"/>
      <c r="X191" s="2"/>
      <c r="Y191" s="2"/>
      <c r="Z191" s="2"/>
    </row>
    <row r="192">
      <c r="A192" s="6">
        <f>IFERROR(__xludf.DUMMYFUNCTION("""COMPUTED_VALUE"""),45744.60387731481)</f>
        <v>45744.60388</v>
      </c>
      <c r="B192" s="2" t="str">
        <f>IFERROR(__xludf.DUMMYFUNCTION("""COMPUTED_VALUE"""),"March")</f>
        <v>March</v>
      </c>
      <c r="C192" s="3">
        <f>IFERROR(__xludf.DUMMYFUNCTION("""COMPUTED_VALUE"""),672595.0)</f>
        <v>672595</v>
      </c>
      <c r="D192" s="2" t="str">
        <f>IFERROR(__xludf.DUMMYFUNCTION("""COMPUTED_VALUE"""),"MNN16")</f>
        <v>MNN16</v>
      </c>
      <c r="E192" s="2" t="str">
        <f>IFERROR(__xludf.DUMMYFUNCTION("""COMPUTED_VALUE"""),"Imported from file DigiZag Bidding Codes.xlsx")</f>
        <v>Imported from file DigiZag Bidding Codes.xlsx</v>
      </c>
      <c r="F192" s="2" t="str">
        <f>IFERROR(__xludf.DUMMYFUNCTION("""COMPUTED_VALUE"""),"DZV894139")</f>
        <v>DZV894139</v>
      </c>
      <c r="G192" s="2" t="str">
        <f>IFERROR(__xludf.DUMMYFUNCTION("""COMPUTED_VALUE"""),"Kingdom of Saudi Arabia")</f>
        <v>Kingdom of Saudi Arabia</v>
      </c>
      <c r="H192" s="4">
        <f>IFERROR(__xludf.DUMMYFUNCTION("""COMPUTED_VALUE"""),384.6)</f>
        <v>384.6</v>
      </c>
      <c r="I192" s="3">
        <f>IFERROR(__xludf.DUMMYFUNCTION("""COMPUTED_VALUE"""),0.0)</f>
        <v>0</v>
      </c>
      <c r="J192" s="4">
        <f>IFERROR(__xludf.DUMMYFUNCTION("""COMPUTED_VALUE"""),38.46)</f>
        <v>38.46</v>
      </c>
      <c r="K192" s="2"/>
      <c r="L192" s="2" t="str">
        <f>IFERROR(__xludf.DUMMYFUNCTION("""COMPUTED_VALUE"""),"Delivered")</f>
        <v>Delivered</v>
      </c>
      <c r="M192" s="2" t="str">
        <f>IFERROR(__xludf.DUMMYFUNCTION("""COMPUTED_VALUE"""),"SR")</f>
        <v>SR</v>
      </c>
      <c r="N192" s="2" t="str">
        <f>IFERROR(__xludf.DUMMYFUNCTION("""COMPUTED_VALUE"""),"Credit, Debit, Apple Pay")</f>
        <v>Credit, Debit, Apple Pay</v>
      </c>
      <c r="O192" s="4">
        <f>IFERROR(__xludf.DUMMYFUNCTION("""COMPUTED_VALUE"""),0.0)</f>
        <v>0</v>
      </c>
      <c r="P192" s="2">
        <f>IFERROR(__xludf.DUMMYFUNCTION("""COMPUTED_VALUE"""),28.0)</f>
        <v>28</v>
      </c>
      <c r="Q192" s="2">
        <f>IFERROR(__xludf.DUMMYFUNCTION("""COMPUTED_VALUE"""),3.0)</f>
        <v>3</v>
      </c>
      <c r="R192" s="2">
        <f>IFERROR(__xludf.DUMMYFUNCTION("""COMPUTED_VALUE"""),2025.0)</f>
        <v>2025</v>
      </c>
      <c r="S192" s="2" t="str">
        <f>IFERROR(__xludf.DUMMYFUNCTION("""COMPUTED_VALUE"""),"Digizag")</f>
        <v>Digizag</v>
      </c>
      <c r="T192" s="2" t="str">
        <f>IFERROR(__xludf.DUMMYFUNCTION("""COMPUTED_VALUE"""),"Digizag")</f>
        <v>Digizag</v>
      </c>
      <c r="U192" s="5">
        <f>IFERROR(__xludf.DUMMYFUNCTION("""COMPUTED_VALUE"""),102.55206929160002)</f>
        <v>102.5520693</v>
      </c>
      <c r="V192" s="2"/>
      <c r="W192" s="2"/>
      <c r="X192" s="2"/>
      <c r="Y192" s="2"/>
      <c r="Z192" s="2"/>
    </row>
    <row r="193">
      <c r="A193" s="6">
        <f>IFERROR(__xludf.DUMMYFUNCTION("""COMPUTED_VALUE"""),45744.7142824074)</f>
        <v>45744.71428</v>
      </c>
      <c r="B193" s="2" t="str">
        <f>IFERROR(__xludf.DUMMYFUNCTION("""COMPUTED_VALUE"""),"March")</f>
        <v>March</v>
      </c>
      <c r="C193" s="3">
        <f>IFERROR(__xludf.DUMMYFUNCTION("""COMPUTED_VALUE"""),711670.0)</f>
        <v>711670</v>
      </c>
      <c r="D193" s="2" t="str">
        <f>IFERROR(__xludf.DUMMYFUNCTION("""COMPUTED_VALUE"""),"MNN16")</f>
        <v>MNN16</v>
      </c>
      <c r="E193" s="2" t="str">
        <f>IFERROR(__xludf.DUMMYFUNCTION("""COMPUTED_VALUE"""),"Imported from file DigiZag Bidding Codes.xlsx")</f>
        <v>Imported from file DigiZag Bidding Codes.xlsx</v>
      </c>
      <c r="F193" s="2" t="str">
        <f>IFERROR(__xludf.DUMMYFUNCTION("""COMPUTED_VALUE"""),"WAY481508")</f>
        <v>WAY481508</v>
      </c>
      <c r="G193" s="2" t="str">
        <f>IFERROR(__xludf.DUMMYFUNCTION("""COMPUTED_VALUE"""),"Kingdom of Saudi Arabia")</f>
        <v>Kingdom of Saudi Arabia</v>
      </c>
      <c r="H193" s="4">
        <f>IFERROR(__xludf.DUMMYFUNCTION("""COMPUTED_VALUE"""),160.42)</f>
        <v>160.42</v>
      </c>
      <c r="I193" s="3">
        <f>IFERROR(__xludf.DUMMYFUNCTION("""COMPUTED_VALUE"""),1.0)</f>
        <v>1</v>
      </c>
      <c r="J193" s="4">
        <f>IFERROR(__xludf.DUMMYFUNCTION("""COMPUTED_VALUE"""),16.02)</f>
        <v>16.02</v>
      </c>
      <c r="K193" s="2"/>
      <c r="L193" s="2" t="str">
        <f>IFERROR(__xludf.DUMMYFUNCTION("""COMPUTED_VALUE"""),"Partially Cancelled")</f>
        <v>Partially Cancelled</v>
      </c>
      <c r="M193" s="2" t="str">
        <f>IFERROR(__xludf.DUMMYFUNCTION("""COMPUTED_VALUE"""),"SR")</f>
        <v>SR</v>
      </c>
      <c r="N193" s="2" t="str">
        <f>IFERROR(__xludf.DUMMYFUNCTION("""COMPUTED_VALUE"""),"Credit, Debit, Apple Pay")</f>
        <v>Credit, Debit, Apple Pay</v>
      </c>
      <c r="O193" s="4">
        <f>IFERROR(__xludf.DUMMYFUNCTION("""COMPUTED_VALUE"""),66.16)</f>
        <v>66.16</v>
      </c>
      <c r="P193" s="2">
        <f>IFERROR(__xludf.DUMMYFUNCTION("""COMPUTED_VALUE"""),28.0)</f>
        <v>28</v>
      </c>
      <c r="Q193" s="2">
        <f>IFERROR(__xludf.DUMMYFUNCTION("""COMPUTED_VALUE"""),3.0)</f>
        <v>3</v>
      </c>
      <c r="R193" s="2">
        <f>IFERROR(__xludf.DUMMYFUNCTION("""COMPUTED_VALUE"""),2025.0)</f>
        <v>2025</v>
      </c>
      <c r="S193" s="2" t="str">
        <f>IFERROR(__xludf.DUMMYFUNCTION("""COMPUTED_VALUE"""),"Digizag")</f>
        <v>Digizag</v>
      </c>
      <c r="T193" s="2" t="str">
        <f>IFERROR(__xludf.DUMMYFUNCTION("""COMPUTED_VALUE"""),"Digizag")</f>
        <v>Digizag</v>
      </c>
      <c r="U193" s="5">
        <f>IFERROR(__xludf.DUMMYFUNCTION("""COMPUTED_VALUE"""),42.77535869932)</f>
        <v>42.7753587</v>
      </c>
      <c r="V193" s="2"/>
      <c r="W193" s="2"/>
      <c r="X193" s="2"/>
      <c r="Y193" s="2"/>
      <c r="Z193" s="2"/>
    </row>
    <row r="194">
      <c r="A194" s="6">
        <f>IFERROR(__xludf.DUMMYFUNCTION("""COMPUTED_VALUE"""),45744.72954861111)</f>
        <v>45744.72955</v>
      </c>
      <c r="B194" s="2" t="str">
        <f>IFERROR(__xludf.DUMMYFUNCTION("""COMPUTED_VALUE"""),"March")</f>
        <v>March</v>
      </c>
      <c r="C194" s="3">
        <f>IFERROR(__xludf.DUMMYFUNCTION("""COMPUTED_VALUE"""),682529.0)</f>
        <v>682529</v>
      </c>
      <c r="D194" s="2" t="str">
        <f>IFERROR(__xludf.DUMMYFUNCTION("""COMPUTED_VALUE"""),"MNN16")</f>
        <v>MNN16</v>
      </c>
      <c r="E194" s="2" t="str">
        <f>IFERROR(__xludf.DUMMYFUNCTION("""COMPUTED_VALUE"""),"Imported from file DigiZag Bidding Codes.xlsx")</f>
        <v>Imported from file DigiZag Bidding Codes.xlsx</v>
      </c>
      <c r="F194" s="2" t="str">
        <f>IFERROR(__xludf.DUMMYFUNCTION("""COMPUTED_VALUE"""),"JNA109738")</f>
        <v>JNA109738</v>
      </c>
      <c r="G194" s="2" t="str">
        <f>IFERROR(__xludf.DUMMYFUNCTION("""COMPUTED_VALUE"""),"Kingdom of Saudi Arabia")</f>
        <v>Kingdom of Saudi Arabia</v>
      </c>
      <c r="H194" s="4">
        <f>IFERROR(__xludf.DUMMYFUNCTION("""COMPUTED_VALUE"""),296.35)</f>
        <v>296.35</v>
      </c>
      <c r="I194" s="3">
        <f>IFERROR(__xludf.DUMMYFUNCTION("""COMPUTED_VALUE"""),0.0)</f>
        <v>0</v>
      </c>
      <c r="J194" s="4">
        <f>IFERROR(__xludf.DUMMYFUNCTION("""COMPUTED_VALUE"""),29.63)</f>
        <v>29.63</v>
      </c>
      <c r="K194" s="2"/>
      <c r="L194" s="2" t="str">
        <f>IFERROR(__xludf.DUMMYFUNCTION("""COMPUTED_VALUE"""),"Delivered")</f>
        <v>Delivered</v>
      </c>
      <c r="M194" s="2" t="str">
        <f>IFERROR(__xludf.DUMMYFUNCTION("""COMPUTED_VALUE"""),"SR")</f>
        <v>SR</v>
      </c>
      <c r="N194" s="2" t="str">
        <f>IFERROR(__xludf.DUMMYFUNCTION("""COMPUTED_VALUE"""),"Credit, Debit, Apple Pay")</f>
        <v>Credit, Debit, Apple Pay</v>
      </c>
      <c r="O194" s="4">
        <f>IFERROR(__xludf.DUMMYFUNCTION("""COMPUTED_VALUE"""),0.0)</f>
        <v>0</v>
      </c>
      <c r="P194" s="2">
        <f>IFERROR(__xludf.DUMMYFUNCTION("""COMPUTED_VALUE"""),28.0)</f>
        <v>28</v>
      </c>
      <c r="Q194" s="2">
        <f>IFERROR(__xludf.DUMMYFUNCTION("""COMPUTED_VALUE"""),3.0)</f>
        <v>3</v>
      </c>
      <c r="R194" s="2">
        <f>IFERROR(__xludf.DUMMYFUNCTION("""COMPUTED_VALUE"""),2025.0)</f>
        <v>2025</v>
      </c>
      <c r="S194" s="2" t="str">
        <f>IFERROR(__xludf.DUMMYFUNCTION("""COMPUTED_VALUE"""),"Digizag")</f>
        <v>Digizag</v>
      </c>
      <c r="T194" s="2" t="str">
        <f>IFERROR(__xludf.DUMMYFUNCTION("""COMPUTED_VALUE"""),"Digizag")</f>
        <v>Digizag</v>
      </c>
      <c r="U194" s="5">
        <f>IFERROR(__xludf.DUMMYFUNCTION("""COMPUTED_VALUE"""),79.02055573210001)</f>
        <v>79.02055573</v>
      </c>
      <c r="V194" s="2"/>
      <c r="W194" s="2"/>
      <c r="X194" s="2"/>
      <c r="Y194" s="2"/>
      <c r="Z194" s="2"/>
    </row>
    <row r="195">
      <c r="A195" s="6">
        <f>IFERROR(__xludf.DUMMYFUNCTION("""COMPUTED_VALUE"""),45744.74855324074)</f>
        <v>45744.74855</v>
      </c>
      <c r="B195" s="2" t="str">
        <f>IFERROR(__xludf.DUMMYFUNCTION("""COMPUTED_VALUE"""),"March")</f>
        <v>March</v>
      </c>
      <c r="C195" s="3">
        <f>IFERROR(__xludf.DUMMYFUNCTION("""COMPUTED_VALUE"""),8645.0)</f>
        <v>8645</v>
      </c>
      <c r="D195" s="2" t="str">
        <f>IFERROR(__xludf.DUMMYFUNCTION("""COMPUTED_VALUE"""),"DB3")</f>
        <v>DB3</v>
      </c>
      <c r="E195" s="2" t="str">
        <f>IFERROR(__xludf.DUMMYFUNCTION("""COMPUTED_VALUE"""),"Imported from file Digizag.xlsx")</f>
        <v>Imported from file Digizag.xlsx</v>
      </c>
      <c r="F195" s="2" t="str">
        <f>IFERROR(__xludf.DUMMYFUNCTION("""COMPUTED_VALUE"""),"UXV274222")</f>
        <v>UXV274222</v>
      </c>
      <c r="G195" s="2" t="str">
        <f>IFERROR(__xludf.DUMMYFUNCTION("""COMPUTED_VALUE"""),"Kingdom of Saudi Arabia")</f>
        <v>Kingdom of Saudi Arabia</v>
      </c>
      <c r="H195" s="4">
        <f>IFERROR(__xludf.DUMMYFUNCTION("""COMPUTED_VALUE"""),51.3)</f>
        <v>51.3</v>
      </c>
      <c r="I195" s="3">
        <f>IFERROR(__xludf.DUMMYFUNCTION("""COMPUTED_VALUE"""),1.0)</f>
        <v>1</v>
      </c>
      <c r="J195" s="4">
        <f>IFERROR(__xludf.DUMMYFUNCTION("""COMPUTED_VALUE"""),5.13)</f>
        <v>5.13</v>
      </c>
      <c r="K195" s="2"/>
      <c r="L195" s="2" t="str">
        <f>IFERROR(__xludf.DUMMYFUNCTION("""COMPUTED_VALUE"""),"Cancelled")</f>
        <v>Cancelled</v>
      </c>
      <c r="M195" s="2" t="str">
        <f>IFERROR(__xludf.DUMMYFUNCTION("""COMPUTED_VALUE"""),"SR")</f>
        <v>SR</v>
      </c>
      <c r="N195" s="2" t="str">
        <f>IFERROR(__xludf.DUMMYFUNCTION("""COMPUTED_VALUE"""),"Cash")</f>
        <v>Cash</v>
      </c>
      <c r="O195" s="4">
        <f>IFERROR(__xludf.DUMMYFUNCTION("""COMPUTED_VALUE"""),46.169999999999995)</f>
        <v>46.17</v>
      </c>
      <c r="P195" s="2">
        <f>IFERROR(__xludf.DUMMYFUNCTION("""COMPUTED_VALUE"""),28.0)</f>
        <v>28</v>
      </c>
      <c r="Q195" s="2">
        <f>IFERROR(__xludf.DUMMYFUNCTION("""COMPUTED_VALUE"""),3.0)</f>
        <v>3</v>
      </c>
      <c r="R195" s="2">
        <f>IFERROR(__xludf.DUMMYFUNCTION("""COMPUTED_VALUE"""),2025.0)</f>
        <v>2025</v>
      </c>
      <c r="S195" s="2" t="str">
        <f>IFERROR(__xludf.DUMMYFUNCTION("""COMPUTED_VALUE"""),"Digizag")</f>
        <v>Digizag</v>
      </c>
      <c r="T195" s="2" t="str">
        <f>IFERROR(__xludf.DUMMYFUNCTION("""COMPUTED_VALUE"""),"Digizag")</f>
        <v>Digizag</v>
      </c>
      <c r="U195" s="5">
        <f>IFERROR(__xludf.DUMMYFUNCTION("""COMPUTED_VALUE"""),13.6789421598)</f>
        <v>13.67894216</v>
      </c>
      <c r="V195" s="2"/>
      <c r="W195" s="2"/>
      <c r="X195" s="2"/>
      <c r="Y195" s="2"/>
      <c r="Z195" s="2"/>
    </row>
    <row r="196">
      <c r="A196" s="6">
        <f>IFERROR(__xludf.DUMMYFUNCTION("""COMPUTED_VALUE"""),45744.74855324074)</f>
        <v>45744.74855</v>
      </c>
      <c r="B196" s="2" t="str">
        <f>IFERROR(__xludf.DUMMYFUNCTION("""COMPUTED_VALUE"""),"March")</f>
        <v>March</v>
      </c>
      <c r="C196" s="3">
        <f>IFERROR(__xludf.DUMMYFUNCTION("""COMPUTED_VALUE"""),8645.0)</f>
        <v>8645</v>
      </c>
      <c r="D196" s="2" t="str">
        <f>IFERROR(__xludf.DUMMYFUNCTION("""COMPUTED_VALUE"""),"DB3")</f>
        <v>DB3</v>
      </c>
      <c r="E196" s="2" t="str">
        <f>IFERROR(__xludf.DUMMYFUNCTION("""COMPUTED_VALUE"""),"Imported from file Digizag.xlsx")</f>
        <v>Imported from file Digizag.xlsx</v>
      </c>
      <c r="F196" s="2" t="str">
        <f>IFERROR(__xludf.DUMMYFUNCTION("""COMPUTED_VALUE"""),"UXV274222")</f>
        <v>UXV274222</v>
      </c>
      <c r="G196" s="2" t="str">
        <f>IFERROR(__xludf.DUMMYFUNCTION("""COMPUTED_VALUE"""),"Kingdom of Saudi Arabia")</f>
        <v>Kingdom of Saudi Arabia</v>
      </c>
      <c r="H196" s="4">
        <f>IFERROR(__xludf.DUMMYFUNCTION("""COMPUTED_VALUE"""),51.3)</f>
        <v>51.3</v>
      </c>
      <c r="I196" s="3">
        <f>IFERROR(__xludf.DUMMYFUNCTION("""COMPUTED_VALUE"""),0.0)</f>
        <v>0</v>
      </c>
      <c r="J196" s="4">
        <f>IFERROR(__xludf.DUMMYFUNCTION("""COMPUTED_VALUE"""),5.13)</f>
        <v>5.13</v>
      </c>
      <c r="K196" s="2"/>
      <c r="L196" s="2" t="str">
        <f>IFERROR(__xludf.DUMMYFUNCTION("""COMPUTED_VALUE"""),"Cancelled")</f>
        <v>Cancelled</v>
      </c>
      <c r="M196" s="2" t="str">
        <f>IFERROR(__xludf.DUMMYFUNCTION("""COMPUTED_VALUE"""),"SR")</f>
        <v>SR</v>
      </c>
      <c r="N196" s="2" t="str">
        <f>IFERROR(__xludf.DUMMYFUNCTION("""COMPUTED_VALUE"""),"Cash")</f>
        <v>Cash</v>
      </c>
      <c r="O196" s="4">
        <f>IFERROR(__xludf.DUMMYFUNCTION("""COMPUTED_VALUE"""),46.169999999999995)</f>
        <v>46.17</v>
      </c>
      <c r="P196" s="2">
        <f>IFERROR(__xludf.DUMMYFUNCTION("""COMPUTED_VALUE"""),28.0)</f>
        <v>28</v>
      </c>
      <c r="Q196" s="2">
        <f>IFERROR(__xludf.DUMMYFUNCTION("""COMPUTED_VALUE"""),3.0)</f>
        <v>3</v>
      </c>
      <c r="R196" s="2">
        <f>IFERROR(__xludf.DUMMYFUNCTION("""COMPUTED_VALUE"""),2025.0)</f>
        <v>2025</v>
      </c>
      <c r="S196" s="2" t="str">
        <f>IFERROR(__xludf.DUMMYFUNCTION("""COMPUTED_VALUE"""),"Digizag")</f>
        <v>Digizag</v>
      </c>
      <c r="T196" s="2" t="str">
        <f>IFERROR(__xludf.DUMMYFUNCTION("""COMPUTED_VALUE"""),"Digizag")</f>
        <v>Digizag</v>
      </c>
      <c r="U196" s="5">
        <f>IFERROR(__xludf.DUMMYFUNCTION("""COMPUTED_VALUE"""),13.6789421598)</f>
        <v>13.67894216</v>
      </c>
      <c r="V196" s="2"/>
      <c r="W196" s="2"/>
      <c r="X196" s="2"/>
      <c r="Y196" s="2"/>
      <c r="Z196" s="2"/>
    </row>
    <row r="197">
      <c r="A197" s="6">
        <f>IFERROR(__xludf.DUMMYFUNCTION("""COMPUTED_VALUE"""),45744.76591435185)</f>
        <v>45744.76591</v>
      </c>
      <c r="B197" s="2" t="str">
        <f>IFERROR(__xludf.DUMMYFUNCTION("""COMPUTED_VALUE"""),"March")</f>
        <v>March</v>
      </c>
      <c r="C197" s="3">
        <f>IFERROR(__xludf.DUMMYFUNCTION("""COMPUTED_VALUE"""),421662.0)</f>
        <v>421662</v>
      </c>
      <c r="D197" s="2" t="str">
        <f>IFERROR(__xludf.DUMMYFUNCTION("""COMPUTED_VALUE"""),"MNN16")</f>
        <v>MNN16</v>
      </c>
      <c r="E197" s="2" t="str">
        <f>IFERROR(__xludf.DUMMYFUNCTION("""COMPUTED_VALUE"""),"Imported from file DigiZag Codes 25Feb25.xlsx")</f>
        <v>Imported from file DigiZag Codes 25Feb25.xlsx</v>
      </c>
      <c r="F197" s="2" t="str">
        <f>IFERROR(__xludf.DUMMYFUNCTION("""COMPUTED_VALUE"""),"TLR768528")</f>
        <v>TLR768528</v>
      </c>
      <c r="G197" s="2" t="str">
        <f>IFERROR(__xludf.DUMMYFUNCTION("""COMPUTED_VALUE"""),"Bahrain")</f>
        <v>Bahrain</v>
      </c>
      <c r="H197" s="4">
        <f>IFERROR(__xludf.DUMMYFUNCTION("""COMPUTED_VALUE"""),12.22)</f>
        <v>12.22</v>
      </c>
      <c r="I197" s="3">
        <f>IFERROR(__xludf.DUMMYFUNCTION("""COMPUTED_VALUE"""),0.0)</f>
        <v>0</v>
      </c>
      <c r="J197" s="4">
        <f>IFERROR(__xludf.DUMMYFUNCTION("""COMPUTED_VALUE"""),1.22)</f>
        <v>1.22</v>
      </c>
      <c r="K197" s="2"/>
      <c r="L197" s="2" t="str">
        <f>IFERROR(__xludf.DUMMYFUNCTION("""COMPUTED_VALUE"""),"Delivered")</f>
        <v>Delivered</v>
      </c>
      <c r="M197" s="2" t="str">
        <f>IFERROR(__xludf.DUMMYFUNCTION("""COMPUTED_VALUE"""),"BHD")</f>
        <v>BHD</v>
      </c>
      <c r="N197" s="2" t="str">
        <f>IFERROR(__xludf.DUMMYFUNCTION("""COMPUTED_VALUE"""),"Cash")</f>
        <v>Cash</v>
      </c>
      <c r="O197" s="4">
        <f>IFERROR(__xludf.DUMMYFUNCTION("""COMPUTED_VALUE"""),0.0)</f>
        <v>0</v>
      </c>
      <c r="P197" s="2">
        <f>IFERROR(__xludf.DUMMYFUNCTION("""COMPUTED_VALUE"""),28.0)</f>
        <v>28</v>
      </c>
      <c r="Q197" s="2">
        <f>IFERROR(__xludf.DUMMYFUNCTION("""COMPUTED_VALUE"""),3.0)</f>
        <v>3</v>
      </c>
      <c r="R197" s="2">
        <f>IFERROR(__xludf.DUMMYFUNCTION("""COMPUTED_VALUE"""),2025.0)</f>
        <v>2025</v>
      </c>
      <c r="S197" s="2" t="str">
        <f>IFERROR(__xludf.DUMMYFUNCTION("""COMPUTED_VALUE"""),"Digizag")</f>
        <v>Digizag</v>
      </c>
      <c r="T197" s="2" t="str">
        <f>IFERROR(__xludf.DUMMYFUNCTION("""COMPUTED_VALUE"""),"Digizag")</f>
        <v>Digizag</v>
      </c>
      <c r="U197" s="5">
        <f>IFERROR(__xludf.DUMMYFUNCTION("""COMPUTED_VALUE"""),32.41864574)</f>
        <v>32.41864574</v>
      </c>
      <c r="V197" s="2"/>
      <c r="W197" s="2"/>
      <c r="X197" s="2"/>
      <c r="Y197" s="2"/>
      <c r="Z197" s="2"/>
    </row>
    <row r="198">
      <c r="A198" s="6">
        <f>IFERROR(__xludf.DUMMYFUNCTION("""COMPUTED_VALUE"""),45744.782060185185)</f>
        <v>45744.78206</v>
      </c>
      <c r="B198" s="2" t="str">
        <f>IFERROR(__xludf.DUMMYFUNCTION("""COMPUTED_VALUE"""),"March")</f>
        <v>March</v>
      </c>
      <c r="C198" s="3">
        <f>IFERROR(__xludf.DUMMYFUNCTION("""COMPUTED_VALUE"""),711676.0)</f>
        <v>711676</v>
      </c>
      <c r="D198" s="2" t="str">
        <f>IFERROR(__xludf.DUMMYFUNCTION("""COMPUTED_VALUE"""),"MNN16")</f>
        <v>MNN16</v>
      </c>
      <c r="E198" s="2" t="str">
        <f>IFERROR(__xludf.DUMMYFUNCTION("""COMPUTED_VALUE"""),"Imported from file DigiZag Codes 25Feb25.xlsx")</f>
        <v>Imported from file DigiZag Codes 25Feb25.xlsx</v>
      </c>
      <c r="F198" s="2" t="str">
        <f>IFERROR(__xludf.DUMMYFUNCTION("""COMPUTED_VALUE"""),"CUP723373")</f>
        <v>CUP723373</v>
      </c>
      <c r="G198" s="2" t="str">
        <f>IFERROR(__xludf.DUMMYFUNCTION("""COMPUTED_VALUE"""),"UAE")</f>
        <v>UAE</v>
      </c>
      <c r="H198" s="4">
        <f>IFERROR(__xludf.DUMMYFUNCTION("""COMPUTED_VALUE"""),175.0)</f>
        <v>175</v>
      </c>
      <c r="I198" s="3">
        <f>IFERROR(__xludf.DUMMYFUNCTION("""COMPUTED_VALUE"""),0.0)</f>
        <v>0</v>
      </c>
      <c r="J198" s="4">
        <f>IFERROR(__xludf.DUMMYFUNCTION("""COMPUTED_VALUE"""),17.5)</f>
        <v>17.5</v>
      </c>
      <c r="K198" s="2"/>
      <c r="L198" s="2" t="str">
        <f>IFERROR(__xludf.DUMMYFUNCTION("""COMPUTED_VALUE"""),"Delivered")</f>
        <v>Delivered</v>
      </c>
      <c r="M198" s="2" t="str">
        <f>IFERROR(__xludf.DUMMYFUNCTION("""COMPUTED_VALUE"""),"AED")</f>
        <v>AED</v>
      </c>
      <c r="N198" s="2" t="str">
        <f>IFERROR(__xludf.DUMMYFUNCTION("""COMPUTED_VALUE"""),"Credit, Debit , Apple Pay")</f>
        <v>Credit, Debit , Apple Pay</v>
      </c>
      <c r="O198" s="4">
        <f>IFERROR(__xludf.DUMMYFUNCTION("""COMPUTED_VALUE"""),0.0)</f>
        <v>0</v>
      </c>
      <c r="P198" s="2">
        <f>IFERROR(__xludf.DUMMYFUNCTION("""COMPUTED_VALUE"""),28.0)</f>
        <v>28</v>
      </c>
      <c r="Q198" s="2">
        <f>IFERROR(__xludf.DUMMYFUNCTION("""COMPUTED_VALUE"""),3.0)</f>
        <v>3</v>
      </c>
      <c r="R198" s="2">
        <f>IFERROR(__xludf.DUMMYFUNCTION("""COMPUTED_VALUE"""),2025.0)</f>
        <v>2025</v>
      </c>
      <c r="S198" s="2" t="str">
        <f>IFERROR(__xludf.DUMMYFUNCTION("""COMPUTED_VALUE"""),"Digizag")</f>
        <v>Digizag</v>
      </c>
      <c r="T198" s="2" t="str">
        <f>IFERROR(__xludf.DUMMYFUNCTION("""COMPUTED_VALUE"""),"Digizag")</f>
        <v>Digizag</v>
      </c>
      <c r="U198" s="5">
        <f>IFERROR(__xludf.DUMMYFUNCTION("""COMPUTED_VALUE"""),47.65146365)</f>
        <v>47.65146365</v>
      </c>
      <c r="V198" s="2"/>
      <c r="W198" s="2"/>
      <c r="X198" s="2"/>
      <c r="Y198" s="2"/>
      <c r="Z198" s="2"/>
    </row>
    <row r="199">
      <c r="A199" s="6">
        <f>IFERROR(__xludf.DUMMYFUNCTION("""COMPUTED_VALUE"""),45744.90342592592)</f>
        <v>45744.90343</v>
      </c>
      <c r="B199" s="2" t="str">
        <f>IFERROR(__xludf.DUMMYFUNCTION("""COMPUTED_VALUE"""),"March")</f>
        <v>March</v>
      </c>
      <c r="C199" s="3">
        <f>IFERROR(__xludf.DUMMYFUNCTION("""COMPUTED_VALUE"""),615399.0)</f>
        <v>615399</v>
      </c>
      <c r="D199" s="2" t="str">
        <f>IFERROR(__xludf.DUMMYFUNCTION("""COMPUTED_VALUE"""),"MNN16")</f>
        <v>MNN16</v>
      </c>
      <c r="E199" s="2" t="str">
        <f>IFERROR(__xludf.DUMMYFUNCTION("""COMPUTED_VALUE"""),"Imported from file DigiZag Bidding Codes.xlsx")</f>
        <v>Imported from file DigiZag Bidding Codes.xlsx</v>
      </c>
      <c r="F199" s="2" t="str">
        <f>IFERROR(__xludf.DUMMYFUNCTION("""COMPUTED_VALUE"""),"QGS979182")</f>
        <v>QGS979182</v>
      </c>
      <c r="G199" s="2" t="str">
        <f>IFERROR(__xludf.DUMMYFUNCTION("""COMPUTED_VALUE"""),"Kingdom of Saudi Arabia")</f>
        <v>Kingdom of Saudi Arabia</v>
      </c>
      <c r="H199" s="4">
        <f>IFERROR(__xludf.DUMMYFUNCTION("""COMPUTED_VALUE"""),351.0)</f>
        <v>351</v>
      </c>
      <c r="I199" s="3">
        <f>IFERROR(__xludf.DUMMYFUNCTION("""COMPUTED_VALUE"""),0.0)</f>
        <v>0</v>
      </c>
      <c r="J199" s="4">
        <f>IFERROR(__xludf.DUMMYFUNCTION("""COMPUTED_VALUE"""),35.1)</f>
        <v>35.1</v>
      </c>
      <c r="K199" s="2"/>
      <c r="L199" s="2" t="str">
        <f>IFERROR(__xludf.DUMMYFUNCTION("""COMPUTED_VALUE"""),"Delivered")</f>
        <v>Delivered</v>
      </c>
      <c r="M199" s="2" t="str">
        <f>IFERROR(__xludf.DUMMYFUNCTION("""COMPUTED_VALUE"""),"SR")</f>
        <v>SR</v>
      </c>
      <c r="N199" s="2" t="str">
        <f>IFERROR(__xludf.DUMMYFUNCTION("""COMPUTED_VALUE"""),"Credit, Debit, Apple Pay")</f>
        <v>Credit, Debit, Apple Pay</v>
      </c>
      <c r="O199" s="4">
        <f>IFERROR(__xludf.DUMMYFUNCTION("""COMPUTED_VALUE"""),0.0)</f>
        <v>0</v>
      </c>
      <c r="P199" s="2">
        <f>IFERROR(__xludf.DUMMYFUNCTION("""COMPUTED_VALUE"""),28.0)</f>
        <v>28</v>
      </c>
      <c r="Q199" s="2">
        <f>IFERROR(__xludf.DUMMYFUNCTION("""COMPUTED_VALUE"""),3.0)</f>
        <v>3</v>
      </c>
      <c r="R199" s="2">
        <f>IFERROR(__xludf.DUMMYFUNCTION("""COMPUTED_VALUE"""),2025.0)</f>
        <v>2025</v>
      </c>
      <c r="S199" s="2" t="str">
        <f>IFERROR(__xludf.DUMMYFUNCTION("""COMPUTED_VALUE"""),"Digizag")</f>
        <v>Digizag</v>
      </c>
      <c r="T199" s="2" t="str">
        <f>IFERROR(__xludf.DUMMYFUNCTION("""COMPUTED_VALUE"""),"Digizag")</f>
        <v>Digizag</v>
      </c>
      <c r="U199" s="5">
        <f>IFERROR(__xludf.DUMMYFUNCTION("""COMPUTED_VALUE"""),93.59276214600001)</f>
        <v>93.59276215</v>
      </c>
      <c r="V199" s="2"/>
      <c r="W199" s="2"/>
      <c r="X199" s="2"/>
      <c r="Y199" s="2"/>
      <c r="Z199" s="2"/>
    </row>
    <row r="200">
      <c r="A200" s="6">
        <f>IFERROR(__xludf.DUMMYFUNCTION("""COMPUTED_VALUE"""),45744.96486111111)</f>
        <v>45744.96486</v>
      </c>
      <c r="B200" s="2" t="str">
        <f>IFERROR(__xludf.DUMMYFUNCTION("""COMPUTED_VALUE"""),"March")</f>
        <v>March</v>
      </c>
      <c r="C200" s="3">
        <f>IFERROR(__xludf.DUMMYFUNCTION("""COMPUTED_VALUE"""),16384.0)</f>
        <v>16384</v>
      </c>
      <c r="D200" s="2" t="str">
        <f>IFERROR(__xludf.DUMMYFUNCTION("""COMPUTED_VALUE"""),"MNN16")</f>
        <v>MNN16</v>
      </c>
      <c r="E200" s="2" t="str">
        <f>IFERROR(__xludf.DUMMYFUNCTION("""COMPUTED_VALUE"""),"Imported from file DigiZag Bidding Codes.xlsx")</f>
        <v>Imported from file DigiZag Bidding Codes.xlsx</v>
      </c>
      <c r="F200" s="2" t="str">
        <f>IFERROR(__xludf.DUMMYFUNCTION("""COMPUTED_VALUE"""),"RBB544284")</f>
        <v>RBB544284</v>
      </c>
      <c r="G200" s="2" t="str">
        <f>IFERROR(__xludf.DUMMYFUNCTION("""COMPUTED_VALUE"""),"Kingdom of Saudi Arabia")</f>
        <v>Kingdom of Saudi Arabia</v>
      </c>
      <c r="H200" s="4">
        <f>IFERROR(__xludf.DUMMYFUNCTION("""COMPUTED_VALUE"""),263.0)</f>
        <v>263</v>
      </c>
      <c r="I200" s="3">
        <f>IFERROR(__xludf.DUMMYFUNCTION("""COMPUTED_VALUE"""),0.0)</f>
        <v>0</v>
      </c>
      <c r="J200" s="4">
        <f>IFERROR(__xludf.DUMMYFUNCTION("""COMPUTED_VALUE"""),26.3)</f>
        <v>26.3</v>
      </c>
      <c r="K200" s="2"/>
      <c r="L200" s="2" t="str">
        <f>IFERROR(__xludf.DUMMYFUNCTION("""COMPUTED_VALUE"""),"Delivered")</f>
        <v>Delivered</v>
      </c>
      <c r="M200" s="2" t="str">
        <f>IFERROR(__xludf.DUMMYFUNCTION("""COMPUTED_VALUE"""),"SR")</f>
        <v>SR</v>
      </c>
      <c r="N200" s="2" t="str">
        <f>IFERROR(__xludf.DUMMYFUNCTION("""COMPUTED_VALUE"""),"Credit, Debit, Apple Pay")</f>
        <v>Credit, Debit, Apple Pay</v>
      </c>
      <c r="O200" s="4">
        <f>IFERROR(__xludf.DUMMYFUNCTION("""COMPUTED_VALUE"""),0.0)</f>
        <v>0</v>
      </c>
      <c r="P200" s="2">
        <f>IFERROR(__xludf.DUMMYFUNCTION("""COMPUTED_VALUE"""),28.0)</f>
        <v>28</v>
      </c>
      <c r="Q200" s="2">
        <f>IFERROR(__xludf.DUMMYFUNCTION("""COMPUTED_VALUE"""),3.0)</f>
        <v>3</v>
      </c>
      <c r="R200" s="2">
        <f>IFERROR(__xludf.DUMMYFUNCTION("""COMPUTED_VALUE"""),2025.0)</f>
        <v>2025</v>
      </c>
      <c r="S200" s="2" t="str">
        <f>IFERROR(__xludf.DUMMYFUNCTION("""COMPUTED_VALUE"""),"Digizag")</f>
        <v>Digizag</v>
      </c>
      <c r="T200" s="2" t="str">
        <f>IFERROR(__xludf.DUMMYFUNCTION("""COMPUTED_VALUE"""),"Digizag")</f>
        <v>Digizag</v>
      </c>
      <c r="U200" s="5">
        <f>IFERROR(__xludf.DUMMYFUNCTION("""COMPUTED_VALUE"""),70.127910098)</f>
        <v>70.1279101</v>
      </c>
      <c r="V200" s="2"/>
      <c r="W200" s="2"/>
      <c r="X200" s="2"/>
      <c r="Y200" s="2"/>
      <c r="Z200" s="2"/>
    </row>
    <row r="201">
      <c r="A201" s="6">
        <f>IFERROR(__xludf.DUMMYFUNCTION("""COMPUTED_VALUE"""),45745.51921296296)</f>
        <v>45745.51921</v>
      </c>
      <c r="B201" s="2" t="str">
        <f>IFERROR(__xludf.DUMMYFUNCTION("""COMPUTED_VALUE"""),"March")</f>
        <v>March</v>
      </c>
      <c r="C201" s="3">
        <f>IFERROR(__xludf.DUMMYFUNCTION("""COMPUTED_VALUE"""),712269.0)</f>
        <v>712269</v>
      </c>
      <c r="D201" s="2" t="str">
        <f>IFERROR(__xludf.DUMMYFUNCTION("""COMPUTED_VALUE"""),"MNN16")</f>
        <v>MNN16</v>
      </c>
      <c r="E201" s="2" t="str">
        <f>IFERROR(__xludf.DUMMYFUNCTION("""COMPUTED_VALUE"""),"Imported from file DigiZag Codes 25Feb25.xlsx")</f>
        <v>Imported from file DigiZag Codes 25Feb25.xlsx</v>
      </c>
      <c r="F201" s="2" t="str">
        <f>IFERROR(__xludf.DUMMYFUNCTION("""COMPUTED_VALUE"""),"UVZ830092")</f>
        <v>UVZ830092</v>
      </c>
      <c r="G201" s="2" t="str">
        <f>IFERROR(__xludf.DUMMYFUNCTION("""COMPUTED_VALUE"""),"UAE")</f>
        <v>UAE</v>
      </c>
      <c r="H201" s="4">
        <f>IFERROR(__xludf.DUMMYFUNCTION("""COMPUTED_VALUE"""),153.11)</f>
        <v>153.11</v>
      </c>
      <c r="I201" s="3">
        <f>IFERROR(__xludf.DUMMYFUNCTION("""COMPUTED_VALUE"""),0.0)</f>
        <v>0</v>
      </c>
      <c r="J201" s="4">
        <f>IFERROR(__xludf.DUMMYFUNCTION("""COMPUTED_VALUE"""),15.3)</f>
        <v>15.3</v>
      </c>
      <c r="K201" s="2"/>
      <c r="L201" s="2" t="str">
        <f>IFERROR(__xludf.DUMMYFUNCTION("""COMPUTED_VALUE"""),"Delivered")</f>
        <v>Delivered</v>
      </c>
      <c r="M201" s="2" t="str">
        <f>IFERROR(__xludf.DUMMYFUNCTION("""COMPUTED_VALUE"""),"AED")</f>
        <v>AED</v>
      </c>
      <c r="N201" s="2" t="str">
        <f>IFERROR(__xludf.DUMMYFUNCTION("""COMPUTED_VALUE"""),"Credit, Debit , Apple Pay")</f>
        <v>Credit, Debit , Apple Pay</v>
      </c>
      <c r="O201" s="4">
        <f>IFERROR(__xludf.DUMMYFUNCTION("""COMPUTED_VALUE"""),0.0)</f>
        <v>0</v>
      </c>
      <c r="P201" s="2">
        <f>IFERROR(__xludf.DUMMYFUNCTION("""COMPUTED_VALUE"""),29.0)</f>
        <v>29</v>
      </c>
      <c r="Q201" s="2">
        <f>IFERROR(__xludf.DUMMYFUNCTION("""COMPUTED_VALUE"""),3.0)</f>
        <v>3</v>
      </c>
      <c r="R201" s="2">
        <f>IFERROR(__xludf.DUMMYFUNCTION("""COMPUTED_VALUE"""),2025.0)</f>
        <v>2025</v>
      </c>
      <c r="S201" s="2" t="str">
        <f>IFERROR(__xludf.DUMMYFUNCTION("""COMPUTED_VALUE"""),"Digizag")</f>
        <v>Digizag</v>
      </c>
      <c r="T201" s="2" t="str">
        <f>IFERROR(__xludf.DUMMYFUNCTION("""COMPUTED_VALUE"""),"Digizag")</f>
        <v>Digizag</v>
      </c>
      <c r="U201" s="5">
        <f>IFERROR(__xludf.DUMMYFUNCTION("""COMPUTED_VALUE"""),41.69094628258)</f>
        <v>41.69094628</v>
      </c>
      <c r="V201" s="2"/>
      <c r="W201" s="2"/>
      <c r="X201" s="2"/>
      <c r="Y201" s="2"/>
      <c r="Z201" s="2"/>
    </row>
    <row r="202">
      <c r="A202" s="6">
        <f>IFERROR(__xludf.DUMMYFUNCTION("""COMPUTED_VALUE"""),45745.53707175926)</f>
        <v>45745.53707</v>
      </c>
      <c r="B202" s="2" t="str">
        <f>IFERROR(__xludf.DUMMYFUNCTION("""COMPUTED_VALUE"""),"March")</f>
        <v>March</v>
      </c>
      <c r="C202" s="3">
        <f>IFERROR(__xludf.DUMMYFUNCTION("""COMPUTED_VALUE"""),712277.0)</f>
        <v>712277</v>
      </c>
      <c r="D202" s="2" t="str">
        <f>IFERROR(__xludf.DUMMYFUNCTION("""COMPUTED_VALUE"""),"MNN16")</f>
        <v>MNN16</v>
      </c>
      <c r="E202" s="2" t="str">
        <f>IFERROR(__xludf.DUMMYFUNCTION("""COMPUTED_VALUE"""),"Imported from file DigiZag Bidding Codes.xlsx")</f>
        <v>Imported from file DigiZag Bidding Codes.xlsx</v>
      </c>
      <c r="F202" s="2" t="str">
        <f>IFERROR(__xludf.DUMMYFUNCTION("""COMPUTED_VALUE"""),"LZY106601")</f>
        <v>LZY106601</v>
      </c>
      <c r="G202" s="2" t="str">
        <f>IFERROR(__xludf.DUMMYFUNCTION("""COMPUTED_VALUE"""),"Kingdom of Saudi Arabia")</f>
        <v>Kingdom of Saudi Arabia</v>
      </c>
      <c r="H202" s="4">
        <f>IFERROR(__xludf.DUMMYFUNCTION("""COMPUTED_VALUE"""),154.4)</f>
        <v>154.4</v>
      </c>
      <c r="I202" s="3">
        <f>IFERROR(__xludf.DUMMYFUNCTION("""COMPUTED_VALUE"""),0.0)</f>
        <v>0</v>
      </c>
      <c r="J202" s="4">
        <f>IFERROR(__xludf.DUMMYFUNCTION("""COMPUTED_VALUE"""),15.44)</f>
        <v>15.44</v>
      </c>
      <c r="K202" s="2"/>
      <c r="L202" s="2" t="str">
        <f>IFERROR(__xludf.DUMMYFUNCTION("""COMPUTED_VALUE"""),"Delivered")</f>
        <v>Delivered</v>
      </c>
      <c r="M202" s="2" t="str">
        <f>IFERROR(__xludf.DUMMYFUNCTION("""COMPUTED_VALUE"""),"SR")</f>
        <v>SR</v>
      </c>
      <c r="N202" s="2" t="str">
        <f>IFERROR(__xludf.DUMMYFUNCTION("""COMPUTED_VALUE"""),"Credit, Debit, Apple Pay")</f>
        <v>Credit, Debit, Apple Pay</v>
      </c>
      <c r="O202" s="4">
        <f>IFERROR(__xludf.DUMMYFUNCTION("""COMPUTED_VALUE"""),0.0)</f>
        <v>0</v>
      </c>
      <c r="P202" s="2">
        <f>IFERROR(__xludf.DUMMYFUNCTION("""COMPUTED_VALUE"""),29.0)</f>
        <v>29</v>
      </c>
      <c r="Q202" s="2">
        <f>IFERROR(__xludf.DUMMYFUNCTION("""COMPUTED_VALUE"""),3.0)</f>
        <v>3</v>
      </c>
      <c r="R202" s="2">
        <f>IFERROR(__xludf.DUMMYFUNCTION("""COMPUTED_VALUE"""),2025.0)</f>
        <v>2025</v>
      </c>
      <c r="S202" s="2" t="str">
        <f>IFERROR(__xludf.DUMMYFUNCTION("""COMPUTED_VALUE"""),"Digizag")</f>
        <v>Digizag</v>
      </c>
      <c r="T202" s="2" t="str">
        <f>IFERROR(__xludf.DUMMYFUNCTION("""COMPUTED_VALUE"""),"Digizag")</f>
        <v>Digizag</v>
      </c>
      <c r="U202" s="5">
        <f>IFERROR(__xludf.DUMMYFUNCTION("""COMPUTED_VALUE"""),41.17014950240001)</f>
        <v>41.1701495</v>
      </c>
      <c r="V202" s="2"/>
      <c r="W202" s="2"/>
      <c r="X202" s="2"/>
      <c r="Y202" s="2"/>
      <c r="Z202" s="2"/>
    </row>
    <row r="203">
      <c r="A203" s="6">
        <f>IFERROR(__xludf.DUMMYFUNCTION("""COMPUTED_VALUE"""),45745.53805555555)</f>
        <v>45745.53806</v>
      </c>
      <c r="B203" s="2" t="str">
        <f>IFERROR(__xludf.DUMMYFUNCTION("""COMPUTED_VALUE"""),"March")</f>
        <v>March</v>
      </c>
      <c r="C203" s="3">
        <f>IFERROR(__xludf.DUMMYFUNCTION("""COMPUTED_VALUE"""),107201.0)</f>
        <v>107201</v>
      </c>
      <c r="D203" s="2" t="str">
        <f>IFERROR(__xludf.DUMMYFUNCTION("""COMPUTED_VALUE"""),"MNN16")</f>
        <v>MNN16</v>
      </c>
      <c r="E203" s="2" t="str">
        <f>IFERROR(__xludf.DUMMYFUNCTION("""COMPUTED_VALUE"""),"Imported from file DigiZag Bidding Codes.xlsx")</f>
        <v>Imported from file DigiZag Bidding Codes.xlsx</v>
      </c>
      <c r="F203" s="2" t="str">
        <f>IFERROR(__xludf.DUMMYFUNCTION("""COMPUTED_VALUE"""),"HTN428840")</f>
        <v>HTN428840</v>
      </c>
      <c r="G203" s="2" t="str">
        <f>IFERROR(__xludf.DUMMYFUNCTION("""COMPUTED_VALUE"""),"Kingdom of Saudi Arabia")</f>
        <v>Kingdom of Saudi Arabia</v>
      </c>
      <c r="H203" s="4">
        <f>IFERROR(__xludf.DUMMYFUNCTION("""COMPUTED_VALUE"""),373.65)</f>
        <v>373.65</v>
      </c>
      <c r="I203" s="3">
        <f>IFERROR(__xludf.DUMMYFUNCTION("""COMPUTED_VALUE"""),0.0)</f>
        <v>0</v>
      </c>
      <c r="J203" s="4">
        <f>IFERROR(__xludf.DUMMYFUNCTION("""COMPUTED_VALUE"""),37.35)</f>
        <v>37.35</v>
      </c>
      <c r="K203" s="2"/>
      <c r="L203" s="2" t="str">
        <f>IFERROR(__xludf.DUMMYFUNCTION("""COMPUTED_VALUE"""),"Delivered")</f>
        <v>Delivered</v>
      </c>
      <c r="M203" s="2" t="str">
        <f>IFERROR(__xludf.DUMMYFUNCTION("""COMPUTED_VALUE"""),"SR")</f>
        <v>SR</v>
      </c>
      <c r="N203" s="2" t="str">
        <f>IFERROR(__xludf.DUMMYFUNCTION("""COMPUTED_VALUE"""),"Credit, Debit, Apple Pay")</f>
        <v>Credit, Debit, Apple Pay</v>
      </c>
      <c r="O203" s="4">
        <f>IFERROR(__xludf.DUMMYFUNCTION("""COMPUTED_VALUE"""),0.0)</f>
        <v>0</v>
      </c>
      <c r="P203" s="2">
        <f>IFERROR(__xludf.DUMMYFUNCTION("""COMPUTED_VALUE"""),29.0)</f>
        <v>29</v>
      </c>
      <c r="Q203" s="2">
        <f>IFERROR(__xludf.DUMMYFUNCTION("""COMPUTED_VALUE"""),3.0)</f>
        <v>3</v>
      </c>
      <c r="R203" s="2">
        <f>IFERROR(__xludf.DUMMYFUNCTION("""COMPUTED_VALUE"""),2025.0)</f>
        <v>2025</v>
      </c>
      <c r="S203" s="2" t="str">
        <f>IFERROR(__xludf.DUMMYFUNCTION("""COMPUTED_VALUE"""),"Digizag")</f>
        <v>Digizag</v>
      </c>
      <c r="T203" s="2" t="str">
        <f>IFERROR(__xludf.DUMMYFUNCTION("""COMPUTED_VALUE"""),"Digizag")</f>
        <v>Digizag</v>
      </c>
      <c r="U203" s="5">
        <f>IFERROR(__xludf.DUMMYFUNCTION("""COMPUTED_VALUE"""),99.6322950879)</f>
        <v>99.63229509</v>
      </c>
      <c r="V203" s="2"/>
      <c r="W203" s="2"/>
      <c r="X203" s="2"/>
      <c r="Y203" s="2"/>
      <c r="Z203" s="2"/>
    </row>
    <row r="204">
      <c r="A204" s="6">
        <f>IFERROR(__xludf.DUMMYFUNCTION("""COMPUTED_VALUE"""),45745.601388888885)</f>
        <v>45745.60139</v>
      </c>
      <c r="B204" s="2" t="str">
        <f>IFERROR(__xludf.DUMMYFUNCTION("""COMPUTED_VALUE"""),"March")</f>
        <v>March</v>
      </c>
      <c r="C204" s="3">
        <f>IFERROR(__xludf.DUMMYFUNCTION("""COMPUTED_VALUE"""),712150.0)</f>
        <v>712150</v>
      </c>
      <c r="D204" s="2" t="str">
        <f>IFERROR(__xludf.DUMMYFUNCTION("""COMPUTED_VALUE"""),"MNN16")</f>
        <v>MNN16</v>
      </c>
      <c r="E204" s="2" t="str">
        <f>IFERROR(__xludf.DUMMYFUNCTION("""COMPUTED_VALUE"""),"Imported from file DigiZag Bidding Codes.xlsx")</f>
        <v>Imported from file DigiZag Bidding Codes.xlsx</v>
      </c>
      <c r="F204" s="2" t="str">
        <f>IFERROR(__xludf.DUMMYFUNCTION("""COMPUTED_VALUE"""),"YMR742525")</f>
        <v>YMR742525</v>
      </c>
      <c r="G204" s="2" t="str">
        <f>IFERROR(__xludf.DUMMYFUNCTION("""COMPUTED_VALUE"""),"Kingdom of Saudi Arabia")</f>
        <v>Kingdom of Saudi Arabia</v>
      </c>
      <c r="H204" s="4">
        <f>IFERROR(__xludf.DUMMYFUNCTION("""COMPUTED_VALUE"""),304.34)</f>
        <v>304.34</v>
      </c>
      <c r="I204" s="3">
        <f>IFERROR(__xludf.DUMMYFUNCTION("""COMPUTED_VALUE"""),0.0)</f>
        <v>0</v>
      </c>
      <c r="J204" s="4">
        <f>IFERROR(__xludf.DUMMYFUNCTION("""COMPUTED_VALUE"""),30.43)</f>
        <v>30.43</v>
      </c>
      <c r="K204" s="2"/>
      <c r="L204" s="2" t="str">
        <f>IFERROR(__xludf.DUMMYFUNCTION("""COMPUTED_VALUE"""),"Delivered")</f>
        <v>Delivered</v>
      </c>
      <c r="M204" s="2" t="str">
        <f>IFERROR(__xludf.DUMMYFUNCTION("""COMPUTED_VALUE"""),"SR")</f>
        <v>SR</v>
      </c>
      <c r="N204" s="2" t="str">
        <f>IFERROR(__xludf.DUMMYFUNCTION("""COMPUTED_VALUE"""),"Credit, Debit, Apple Pay")</f>
        <v>Credit, Debit, Apple Pay</v>
      </c>
      <c r="O204" s="4">
        <f>IFERROR(__xludf.DUMMYFUNCTION("""COMPUTED_VALUE"""),0.0)</f>
        <v>0</v>
      </c>
      <c r="P204" s="2">
        <f>IFERROR(__xludf.DUMMYFUNCTION("""COMPUTED_VALUE"""),29.0)</f>
        <v>29</v>
      </c>
      <c r="Q204" s="2">
        <f>IFERROR(__xludf.DUMMYFUNCTION("""COMPUTED_VALUE"""),3.0)</f>
        <v>3</v>
      </c>
      <c r="R204" s="2">
        <f>IFERROR(__xludf.DUMMYFUNCTION("""COMPUTED_VALUE"""),2025.0)</f>
        <v>2025</v>
      </c>
      <c r="S204" s="2" t="str">
        <f>IFERROR(__xludf.DUMMYFUNCTION("""COMPUTED_VALUE"""),"Digizag")</f>
        <v>Digizag</v>
      </c>
      <c r="T204" s="2" t="str">
        <f>IFERROR(__xludf.DUMMYFUNCTION("""COMPUTED_VALUE"""),"Digizag")</f>
        <v>Digizag</v>
      </c>
      <c r="U204" s="5">
        <f>IFERROR(__xludf.DUMMYFUNCTION("""COMPUTED_VALUE"""),81.15105763964)</f>
        <v>81.15105764</v>
      </c>
      <c r="V204" s="2"/>
      <c r="W204" s="2"/>
      <c r="X204" s="2"/>
      <c r="Y204" s="2"/>
      <c r="Z204" s="2"/>
    </row>
    <row r="205">
      <c r="A205" s="6">
        <f>IFERROR(__xludf.DUMMYFUNCTION("""COMPUTED_VALUE"""),45745.6505787037)</f>
        <v>45745.65058</v>
      </c>
      <c r="B205" s="2" t="str">
        <f>IFERROR(__xludf.DUMMYFUNCTION("""COMPUTED_VALUE"""),"March")</f>
        <v>March</v>
      </c>
      <c r="C205" s="3">
        <f>IFERROR(__xludf.DUMMYFUNCTION("""COMPUTED_VALUE"""),66644.0)</f>
        <v>66644</v>
      </c>
      <c r="D205" s="2" t="str">
        <f>IFERROR(__xludf.DUMMYFUNCTION("""COMPUTED_VALUE"""),"MNN16")</f>
        <v>MNN16</v>
      </c>
      <c r="E205" s="2" t="str">
        <f>IFERROR(__xludf.DUMMYFUNCTION("""COMPUTED_VALUE"""),"Imported from file DigiZag Bidding Codes.xlsx")</f>
        <v>Imported from file DigiZag Bidding Codes.xlsx</v>
      </c>
      <c r="F205" s="2" t="str">
        <f>IFERROR(__xludf.DUMMYFUNCTION("""COMPUTED_VALUE"""),"HDM579080")</f>
        <v>HDM579080</v>
      </c>
      <c r="G205" s="2" t="str">
        <f>IFERROR(__xludf.DUMMYFUNCTION("""COMPUTED_VALUE"""),"Kingdom of Saudi Arabia")</f>
        <v>Kingdom of Saudi Arabia</v>
      </c>
      <c r="H205" s="4">
        <f>IFERROR(__xludf.DUMMYFUNCTION("""COMPUTED_VALUE"""),260.0)</f>
        <v>260</v>
      </c>
      <c r="I205" s="3">
        <f>IFERROR(__xludf.DUMMYFUNCTION("""COMPUTED_VALUE"""),0.0)</f>
        <v>0</v>
      </c>
      <c r="J205" s="4">
        <f>IFERROR(__xludf.DUMMYFUNCTION("""COMPUTED_VALUE"""),26.0)</f>
        <v>26</v>
      </c>
      <c r="K205" s="2"/>
      <c r="L205" s="2" t="str">
        <f>IFERROR(__xludf.DUMMYFUNCTION("""COMPUTED_VALUE"""),"Delivered")</f>
        <v>Delivered</v>
      </c>
      <c r="M205" s="2" t="str">
        <f>IFERROR(__xludf.DUMMYFUNCTION("""COMPUTED_VALUE"""),"SR")</f>
        <v>SR</v>
      </c>
      <c r="N205" s="2" t="str">
        <f>IFERROR(__xludf.DUMMYFUNCTION("""COMPUTED_VALUE"""),"Credit, Debit, Apple Pay")</f>
        <v>Credit, Debit, Apple Pay</v>
      </c>
      <c r="O205" s="4">
        <f>IFERROR(__xludf.DUMMYFUNCTION("""COMPUTED_VALUE"""),0.0)</f>
        <v>0</v>
      </c>
      <c r="P205" s="2">
        <f>IFERROR(__xludf.DUMMYFUNCTION("""COMPUTED_VALUE"""),29.0)</f>
        <v>29</v>
      </c>
      <c r="Q205" s="2">
        <f>IFERROR(__xludf.DUMMYFUNCTION("""COMPUTED_VALUE"""),3.0)</f>
        <v>3</v>
      </c>
      <c r="R205" s="2">
        <f>IFERROR(__xludf.DUMMYFUNCTION("""COMPUTED_VALUE"""),2025.0)</f>
        <v>2025</v>
      </c>
      <c r="S205" s="2" t="str">
        <f>IFERROR(__xludf.DUMMYFUNCTION("""COMPUTED_VALUE"""),"Digizag")</f>
        <v>Digizag</v>
      </c>
      <c r="T205" s="2" t="str">
        <f>IFERROR(__xludf.DUMMYFUNCTION("""COMPUTED_VALUE"""),"Digizag")</f>
        <v>Digizag</v>
      </c>
      <c r="U205" s="5">
        <f>IFERROR(__xludf.DUMMYFUNCTION("""COMPUTED_VALUE"""),69.32797196000001)</f>
        <v>69.32797196</v>
      </c>
      <c r="V205" s="2"/>
      <c r="W205" s="2"/>
      <c r="X205" s="2"/>
      <c r="Y205" s="2"/>
      <c r="Z205" s="2"/>
    </row>
    <row r="206">
      <c r="A206" s="6">
        <f>IFERROR(__xludf.DUMMYFUNCTION("""COMPUTED_VALUE"""),45745.834282407406)</f>
        <v>45745.83428</v>
      </c>
      <c r="B206" s="2" t="str">
        <f>IFERROR(__xludf.DUMMYFUNCTION("""COMPUTED_VALUE"""),"March")</f>
        <v>March</v>
      </c>
      <c r="C206" s="3">
        <f>IFERROR(__xludf.DUMMYFUNCTION("""COMPUTED_VALUE"""),474109.0)</f>
        <v>474109</v>
      </c>
      <c r="D206" s="2" t="str">
        <f>IFERROR(__xludf.DUMMYFUNCTION("""COMPUTED_VALUE"""),"MNN16")</f>
        <v>MNN16</v>
      </c>
      <c r="E206" s="2" t="str">
        <f>IFERROR(__xludf.DUMMYFUNCTION("""COMPUTED_VALUE"""),"Imported from file DigiZag Bidding Codes.xlsx")</f>
        <v>Imported from file DigiZag Bidding Codes.xlsx</v>
      </c>
      <c r="F206" s="2" t="str">
        <f>IFERROR(__xludf.DUMMYFUNCTION("""COMPUTED_VALUE"""),"MWJ418242")</f>
        <v>MWJ418242</v>
      </c>
      <c r="G206" s="2" t="str">
        <f>IFERROR(__xludf.DUMMYFUNCTION("""COMPUTED_VALUE"""),"Kingdom of Saudi Arabia")</f>
        <v>Kingdom of Saudi Arabia</v>
      </c>
      <c r="H206" s="4">
        <f>IFERROR(__xludf.DUMMYFUNCTION("""COMPUTED_VALUE"""),196.0)</f>
        <v>196</v>
      </c>
      <c r="I206" s="3">
        <f>IFERROR(__xludf.DUMMYFUNCTION("""COMPUTED_VALUE"""),0.0)</f>
        <v>0</v>
      </c>
      <c r="J206" s="4">
        <f>IFERROR(__xludf.DUMMYFUNCTION("""COMPUTED_VALUE"""),19.6)</f>
        <v>19.6</v>
      </c>
      <c r="K206" s="2"/>
      <c r="L206" s="2" t="str">
        <f>IFERROR(__xludf.DUMMYFUNCTION("""COMPUTED_VALUE"""),"Delivered")</f>
        <v>Delivered</v>
      </c>
      <c r="M206" s="2" t="str">
        <f>IFERROR(__xludf.DUMMYFUNCTION("""COMPUTED_VALUE"""),"SR")</f>
        <v>SR</v>
      </c>
      <c r="N206" s="2" t="str">
        <f>IFERROR(__xludf.DUMMYFUNCTION("""COMPUTED_VALUE"""),"Credit, Debit, Apple Pay")</f>
        <v>Credit, Debit, Apple Pay</v>
      </c>
      <c r="O206" s="4">
        <f>IFERROR(__xludf.DUMMYFUNCTION("""COMPUTED_VALUE"""),0.0)</f>
        <v>0</v>
      </c>
      <c r="P206" s="2">
        <f>IFERROR(__xludf.DUMMYFUNCTION("""COMPUTED_VALUE"""),29.0)</f>
        <v>29</v>
      </c>
      <c r="Q206" s="2">
        <f>IFERROR(__xludf.DUMMYFUNCTION("""COMPUTED_VALUE"""),3.0)</f>
        <v>3</v>
      </c>
      <c r="R206" s="2">
        <f>IFERROR(__xludf.DUMMYFUNCTION("""COMPUTED_VALUE"""),2025.0)</f>
        <v>2025</v>
      </c>
      <c r="S206" s="2" t="str">
        <f>IFERROR(__xludf.DUMMYFUNCTION("""COMPUTED_VALUE"""),"Digizag")</f>
        <v>Digizag</v>
      </c>
      <c r="T206" s="2" t="str">
        <f>IFERROR(__xludf.DUMMYFUNCTION("""COMPUTED_VALUE"""),"Digizag")</f>
        <v>Digizag</v>
      </c>
      <c r="U206" s="5">
        <f>IFERROR(__xludf.DUMMYFUNCTION("""COMPUTED_VALUE"""),52.26262501600001)</f>
        <v>52.26262502</v>
      </c>
      <c r="V206" s="2"/>
      <c r="W206" s="2"/>
      <c r="X206" s="2"/>
      <c r="Y206" s="2"/>
      <c r="Z206" s="2"/>
    </row>
    <row r="207">
      <c r="A207" s="6">
        <f>IFERROR(__xludf.DUMMYFUNCTION("""COMPUTED_VALUE"""),45745.921689814815)</f>
        <v>45745.92169</v>
      </c>
      <c r="B207" s="2" t="str">
        <f>IFERROR(__xludf.DUMMYFUNCTION("""COMPUTED_VALUE"""),"March")</f>
        <v>March</v>
      </c>
      <c r="C207" s="3">
        <f>IFERROR(__xludf.DUMMYFUNCTION("""COMPUTED_VALUE"""),514232.0)</f>
        <v>514232</v>
      </c>
      <c r="D207" s="2" t="str">
        <f>IFERROR(__xludf.DUMMYFUNCTION("""COMPUTED_VALUE"""),"MNN16")</f>
        <v>MNN16</v>
      </c>
      <c r="E207" s="2" t="str">
        <f>IFERROR(__xludf.DUMMYFUNCTION("""COMPUTED_VALUE"""),"Imported from file DigiZag Codes 25Feb25.xlsx")</f>
        <v>Imported from file DigiZag Codes 25Feb25.xlsx</v>
      </c>
      <c r="F207" s="2" t="str">
        <f>IFERROR(__xludf.DUMMYFUNCTION("""COMPUTED_VALUE"""),"PLT160964")</f>
        <v>PLT160964</v>
      </c>
      <c r="G207" s="2" t="str">
        <f>IFERROR(__xludf.DUMMYFUNCTION("""COMPUTED_VALUE"""),"UAE")</f>
        <v>UAE</v>
      </c>
      <c r="H207" s="4">
        <f>IFERROR(__xludf.DUMMYFUNCTION("""COMPUTED_VALUE"""),670.42)</f>
        <v>670.42</v>
      </c>
      <c r="I207" s="3">
        <f>IFERROR(__xludf.DUMMYFUNCTION("""COMPUTED_VALUE"""),0.0)</f>
        <v>0</v>
      </c>
      <c r="J207" s="4">
        <f>IFERROR(__xludf.DUMMYFUNCTION("""COMPUTED_VALUE"""),67.03)</f>
        <v>67.03</v>
      </c>
      <c r="K207" s="2"/>
      <c r="L207" s="2" t="str">
        <f>IFERROR(__xludf.DUMMYFUNCTION("""COMPUTED_VALUE"""),"Delivered")</f>
        <v>Delivered</v>
      </c>
      <c r="M207" s="2" t="str">
        <f>IFERROR(__xludf.DUMMYFUNCTION("""COMPUTED_VALUE"""),"AED")</f>
        <v>AED</v>
      </c>
      <c r="N207" s="2" t="str">
        <f>IFERROR(__xludf.DUMMYFUNCTION("""COMPUTED_VALUE"""),"Credit, Debit , Apple Pay")</f>
        <v>Credit, Debit , Apple Pay</v>
      </c>
      <c r="O207" s="4">
        <f>IFERROR(__xludf.DUMMYFUNCTION("""COMPUTED_VALUE"""),0.0)</f>
        <v>0</v>
      </c>
      <c r="P207" s="2">
        <f>IFERROR(__xludf.DUMMYFUNCTION("""COMPUTED_VALUE"""),29.0)</f>
        <v>29</v>
      </c>
      <c r="Q207" s="2">
        <f>IFERROR(__xludf.DUMMYFUNCTION("""COMPUTED_VALUE"""),3.0)</f>
        <v>3</v>
      </c>
      <c r="R207" s="2">
        <f>IFERROR(__xludf.DUMMYFUNCTION("""COMPUTED_VALUE"""),2025.0)</f>
        <v>2025</v>
      </c>
      <c r="S207" s="2" t="str">
        <f>IFERROR(__xludf.DUMMYFUNCTION("""COMPUTED_VALUE"""),"Digizag")</f>
        <v>Digizag</v>
      </c>
      <c r="T207" s="2" t="str">
        <f>IFERROR(__xludf.DUMMYFUNCTION("""COMPUTED_VALUE"""),"Digizag")</f>
        <v>Digizag</v>
      </c>
      <c r="U207" s="5">
        <f>IFERROR(__xludf.DUMMYFUNCTION("""COMPUTED_VALUE"""),182.55139577275997)</f>
        <v>182.5513958</v>
      </c>
      <c r="V207" s="2"/>
      <c r="W207" s="2"/>
      <c r="X207" s="2"/>
      <c r="Y207" s="2"/>
      <c r="Z207" s="2"/>
    </row>
    <row r="208">
      <c r="A208" s="6">
        <f>IFERROR(__xludf.DUMMYFUNCTION("""COMPUTED_VALUE"""),45746.29824074074)</f>
        <v>45746.29824</v>
      </c>
      <c r="B208" s="2" t="str">
        <f>IFERROR(__xludf.DUMMYFUNCTION("""COMPUTED_VALUE"""),"March")</f>
        <v>March</v>
      </c>
      <c r="C208" s="3">
        <f>IFERROR(__xludf.DUMMYFUNCTION("""COMPUTED_VALUE"""),64692.0)</f>
        <v>64692</v>
      </c>
      <c r="D208" s="2" t="str">
        <f>IFERROR(__xludf.DUMMYFUNCTION("""COMPUTED_VALUE"""),"MNN16")</f>
        <v>MNN16</v>
      </c>
      <c r="E208" s="2" t="str">
        <f>IFERROR(__xludf.DUMMYFUNCTION("""COMPUTED_VALUE"""),"Imported from file DigiZag Codes 25Feb25.xlsx")</f>
        <v>Imported from file DigiZag Codes 25Feb25.xlsx</v>
      </c>
      <c r="F208" s="2" t="str">
        <f>IFERROR(__xludf.DUMMYFUNCTION("""COMPUTED_VALUE"""),"LJV358070")</f>
        <v>LJV358070</v>
      </c>
      <c r="G208" s="2" t="str">
        <f>IFERROR(__xludf.DUMMYFUNCTION("""COMPUTED_VALUE"""),"UAE")</f>
        <v>UAE</v>
      </c>
      <c r="H208" s="4">
        <f>IFERROR(__xludf.DUMMYFUNCTION("""COMPUTED_VALUE"""),186.68)</f>
        <v>186.68</v>
      </c>
      <c r="I208" s="3">
        <f>IFERROR(__xludf.DUMMYFUNCTION("""COMPUTED_VALUE"""),0.0)</f>
        <v>0</v>
      </c>
      <c r="J208" s="4">
        <f>IFERROR(__xludf.DUMMYFUNCTION("""COMPUTED_VALUE"""),18.64)</f>
        <v>18.64</v>
      </c>
      <c r="K208" s="2"/>
      <c r="L208" s="2" t="str">
        <f>IFERROR(__xludf.DUMMYFUNCTION("""COMPUTED_VALUE"""),"Delivered")</f>
        <v>Delivered</v>
      </c>
      <c r="M208" s="2" t="str">
        <f>IFERROR(__xludf.DUMMYFUNCTION("""COMPUTED_VALUE"""),"AED")</f>
        <v>AED</v>
      </c>
      <c r="N208" s="2" t="str">
        <f>IFERROR(__xludf.DUMMYFUNCTION("""COMPUTED_VALUE"""),"Tamara: split in 3, interest-free")</f>
        <v>Tamara: split in 3, interest-free</v>
      </c>
      <c r="O208" s="4">
        <f>IFERROR(__xludf.DUMMYFUNCTION("""COMPUTED_VALUE"""),0.0)</f>
        <v>0</v>
      </c>
      <c r="P208" s="2">
        <f>IFERROR(__xludf.DUMMYFUNCTION("""COMPUTED_VALUE"""),30.0)</f>
        <v>30</v>
      </c>
      <c r="Q208" s="2">
        <f>IFERROR(__xludf.DUMMYFUNCTION("""COMPUTED_VALUE"""),3.0)</f>
        <v>3</v>
      </c>
      <c r="R208" s="2">
        <f>IFERROR(__xludf.DUMMYFUNCTION("""COMPUTED_VALUE"""),2025.0)</f>
        <v>2025</v>
      </c>
      <c r="S208" s="2" t="str">
        <f>IFERROR(__xludf.DUMMYFUNCTION("""COMPUTED_VALUE"""),"Digizag")</f>
        <v>Digizag</v>
      </c>
      <c r="T208" s="2" t="str">
        <f>IFERROR(__xludf.DUMMYFUNCTION("""COMPUTED_VALUE"""),"Digizag")</f>
        <v>Digizag</v>
      </c>
      <c r="U208" s="5">
        <f>IFERROR(__xludf.DUMMYFUNCTION("""COMPUTED_VALUE"""),50.83185848104)</f>
        <v>50.83185848</v>
      </c>
      <c r="V208" s="2"/>
      <c r="W208" s="2"/>
      <c r="X208" s="2"/>
      <c r="Y208" s="2"/>
      <c r="Z208" s="2"/>
    </row>
    <row r="209">
      <c r="A209" s="6">
        <f>IFERROR(__xludf.DUMMYFUNCTION("""COMPUTED_VALUE"""),45746.36787037037)</f>
        <v>45746.36787</v>
      </c>
      <c r="B209" s="2" t="str">
        <f>IFERROR(__xludf.DUMMYFUNCTION("""COMPUTED_VALUE"""),"March")</f>
        <v>March</v>
      </c>
      <c r="C209" s="3">
        <f>IFERROR(__xludf.DUMMYFUNCTION("""COMPUTED_VALUE"""),712819.0)</f>
        <v>712819</v>
      </c>
      <c r="D209" s="2" t="str">
        <f>IFERROR(__xludf.DUMMYFUNCTION("""COMPUTED_VALUE"""),"MNN16")</f>
        <v>MNN16</v>
      </c>
      <c r="E209" s="2" t="str">
        <f>IFERROR(__xludf.DUMMYFUNCTION("""COMPUTED_VALUE"""),"Imported from file DigiZag Bidding Codes.xlsx")</f>
        <v>Imported from file DigiZag Bidding Codes.xlsx</v>
      </c>
      <c r="F209" s="2" t="str">
        <f>IFERROR(__xludf.DUMMYFUNCTION("""COMPUTED_VALUE"""),"UXL377221")</f>
        <v>UXL377221</v>
      </c>
      <c r="G209" s="2" t="str">
        <f>IFERROR(__xludf.DUMMYFUNCTION("""COMPUTED_VALUE"""),"Kingdom of Saudi Arabia")</f>
        <v>Kingdom of Saudi Arabia</v>
      </c>
      <c r="H209" s="4">
        <f>IFERROR(__xludf.DUMMYFUNCTION("""COMPUTED_VALUE"""),410.03)</f>
        <v>410.03</v>
      </c>
      <c r="I209" s="3">
        <f>IFERROR(__xludf.DUMMYFUNCTION("""COMPUTED_VALUE"""),0.0)</f>
        <v>0</v>
      </c>
      <c r="J209" s="4">
        <f>IFERROR(__xludf.DUMMYFUNCTION("""COMPUTED_VALUE"""),40.96)</f>
        <v>40.96</v>
      </c>
      <c r="K209" s="2"/>
      <c r="L209" s="2" t="str">
        <f>IFERROR(__xludf.DUMMYFUNCTION("""COMPUTED_VALUE"""),"Delivered")</f>
        <v>Delivered</v>
      </c>
      <c r="M209" s="2" t="str">
        <f>IFERROR(__xludf.DUMMYFUNCTION("""COMPUTED_VALUE"""),"SR")</f>
        <v>SR</v>
      </c>
      <c r="N209" s="2" t="str">
        <f>IFERROR(__xludf.DUMMYFUNCTION("""COMPUTED_VALUE"""),"Credit, Debit, Apple Pay")</f>
        <v>Credit, Debit, Apple Pay</v>
      </c>
      <c r="O209" s="4">
        <f>IFERROR(__xludf.DUMMYFUNCTION("""COMPUTED_VALUE"""),0.0)</f>
        <v>0</v>
      </c>
      <c r="P209" s="2">
        <f>IFERROR(__xludf.DUMMYFUNCTION("""COMPUTED_VALUE"""),30.0)</f>
        <v>30</v>
      </c>
      <c r="Q209" s="2">
        <f>IFERROR(__xludf.DUMMYFUNCTION("""COMPUTED_VALUE"""),3.0)</f>
        <v>3</v>
      </c>
      <c r="R209" s="2">
        <f>IFERROR(__xludf.DUMMYFUNCTION("""COMPUTED_VALUE"""),2025.0)</f>
        <v>2025</v>
      </c>
      <c r="S209" s="2" t="str">
        <f>IFERROR(__xludf.DUMMYFUNCTION("""COMPUTED_VALUE"""),"Digizag")</f>
        <v>Digizag</v>
      </c>
      <c r="T209" s="2" t="str">
        <f>IFERROR(__xludf.DUMMYFUNCTION("""COMPUTED_VALUE"""),"Digizag")</f>
        <v>Digizag</v>
      </c>
      <c r="U209" s="5">
        <f>IFERROR(__xludf.DUMMYFUNCTION("""COMPUTED_VALUE"""),109.33287824138)</f>
        <v>109.3328782</v>
      </c>
      <c r="V209" s="2"/>
      <c r="W209" s="2"/>
      <c r="X209" s="2"/>
      <c r="Y209" s="2"/>
      <c r="Z209" s="2"/>
    </row>
    <row r="210">
      <c r="A210" s="6">
        <f>IFERROR(__xludf.DUMMYFUNCTION("""COMPUTED_VALUE"""),45747.17449074074)</f>
        <v>45747.17449</v>
      </c>
      <c r="B210" s="2" t="str">
        <f>IFERROR(__xludf.DUMMYFUNCTION("""COMPUTED_VALUE"""),"March")</f>
        <v>March</v>
      </c>
      <c r="C210" s="3">
        <f>IFERROR(__xludf.DUMMYFUNCTION("""COMPUTED_VALUE"""),346251.0)</f>
        <v>346251</v>
      </c>
      <c r="D210" s="2" t="str">
        <f>IFERROR(__xludf.DUMMYFUNCTION("""COMPUTED_VALUE"""),"MNN16")</f>
        <v>MNN16</v>
      </c>
      <c r="E210" s="2" t="str">
        <f>IFERROR(__xludf.DUMMYFUNCTION("""COMPUTED_VALUE"""),"Imported from file DigiZag Codes 25Feb25.xlsx")</f>
        <v>Imported from file DigiZag Codes 25Feb25.xlsx</v>
      </c>
      <c r="F210" s="2" t="str">
        <f>IFERROR(__xludf.DUMMYFUNCTION("""COMPUTED_VALUE"""),"SHG535778")</f>
        <v>SHG535778</v>
      </c>
      <c r="G210" s="2" t="str">
        <f>IFERROR(__xludf.DUMMYFUNCTION("""COMPUTED_VALUE"""),"Bahrain")</f>
        <v>Bahrain</v>
      </c>
      <c r="H210" s="4">
        <f>IFERROR(__xludf.DUMMYFUNCTION("""COMPUTED_VALUE"""),8.18)</f>
        <v>8.18</v>
      </c>
      <c r="I210" s="3">
        <f>IFERROR(__xludf.DUMMYFUNCTION("""COMPUTED_VALUE"""),0.0)</f>
        <v>0</v>
      </c>
      <c r="J210" s="4">
        <f>IFERROR(__xludf.DUMMYFUNCTION("""COMPUTED_VALUE"""),0.81)</f>
        <v>0.81</v>
      </c>
      <c r="K210" s="2"/>
      <c r="L210" s="2" t="str">
        <f>IFERROR(__xludf.DUMMYFUNCTION("""COMPUTED_VALUE"""),"Delivered")</f>
        <v>Delivered</v>
      </c>
      <c r="M210" s="2" t="str">
        <f>IFERROR(__xludf.DUMMYFUNCTION("""COMPUTED_VALUE"""),"BHD")</f>
        <v>BHD</v>
      </c>
      <c r="N210" s="2" t="str">
        <f>IFERROR(__xludf.DUMMYFUNCTION("""COMPUTED_VALUE"""),"Credit, Debit")</f>
        <v>Credit, Debit</v>
      </c>
      <c r="O210" s="4">
        <f>IFERROR(__xludf.DUMMYFUNCTION("""COMPUTED_VALUE"""),0.0)</f>
        <v>0</v>
      </c>
      <c r="P210" s="2">
        <f>IFERROR(__xludf.DUMMYFUNCTION("""COMPUTED_VALUE"""),31.0)</f>
        <v>31</v>
      </c>
      <c r="Q210" s="2">
        <f>IFERROR(__xludf.DUMMYFUNCTION("""COMPUTED_VALUE"""),3.0)</f>
        <v>3</v>
      </c>
      <c r="R210" s="2">
        <f>IFERROR(__xludf.DUMMYFUNCTION("""COMPUTED_VALUE"""),2025.0)</f>
        <v>2025</v>
      </c>
      <c r="S210" s="2" t="str">
        <f>IFERROR(__xludf.DUMMYFUNCTION("""COMPUTED_VALUE"""),"Digizag")</f>
        <v>Digizag</v>
      </c>
      <c r="T210" s="2" t="str">
        <f>IFERROR(__xludf.DUMMYFUNCTION("""COMPUTED_VALUE"""),"Digizag")</f>
        <v>Digizag</v>
      </c>
      <c r="U210" s="5">
        <f>IFERROR(__xludf.DUMMYFUNCTION("""COMPUTED_VALUE"""),21.700861059999998)</f>
        <v>21.70086106</v>
      </c>
      <c r="V210" s="2"/>
      <c r="W210" s="2"/>
      <c r="X210" s="2"/>
      <c r="Y210" s="2"/>
      <c r="Z210" s="2"/>
    </row>
    <row r="211">
      <c r="A211" s="6">
        <f>IFERROR(__xludf.DUMMYFUNCTION("""COMPUTED_VALUE"""),45747.22091435185)</f>
        <v>45747.22091</v>
      </c>
      <c r="B211" s="2" t="str">
        <f>IFERROR(__xludf.DUMMYFUNCTION("""COMPUTED_VALUE"""),"March")</f>
        <v>March</v>
      </c>
      <c r="C211" s="3">
        <f>IFERROR(__xludf.DUMMYFUNCTION("""COMPUTED_VALUE"""),243918.0)</f>
        <v>243918</v>
      </c>
      <c r="D211" s="2" t="str">
        <f>IFERROR(__xludf.DUMMYFUNCTION("""COMPUTED_VALUE"""),"MNN16")</f>
        <v>MNN16</v>
      </c>
      <c r="E211" s="2" t="str">
        <f>IFERROR(__xludf.DUMMYFUNCTION("""COMPUTED_VALUE"""),"Imported from file DigiZag Codes 25Feb25.xlsx")</f>
        <v>Imported from file DigiZag Codes 25Feb25.xlsx</v>
      </c>
      <c r="F211" s="2" t="str">
        <f>IFERROR(__xludf.DUMMYFUNCTION("""COMPUTED_VALUE"""),"GEM139727")</f>
        <v>GEM139727</v>
      </c>
      <c r="G211" s="2" t="str">
        <f>IFERROR(__xludf.DUMMYFUNCTION("""COMPUTED_VALUE"""),"Bahrain")</f>
        <v>Bahrain</v>
      </c>
      <c r="H211" s="4">
        <f>IFERROR(__xludf.DUMMYFUNCTION("""COMPUTED_VALUE"""),12.9)</f>
        <v>12.9</v>
      </c>
      <c r="I211" s="3">
        <f>IFERROR(__xludf.DUMMYFUNCTION("""COMPUTED_VALUE"""),0.0)</f>
        <v>0</v>
      </c>
      <c r="J211" s="4">
        <f>IFERROR(__xludf.DUMMYFUNCTION("""COMPUTED_VALUE"""),1.29)</f>
        <v>1.29</v>
      </c>
      <c r="K211" s="2"/>
      <c r="L211" s="2" t="str">
        <f>IFERROR(__xludf.DUMMYFUNCTION("""COMPUTED_VALUE"""),"Delivered")</f>
        <v>Delivered</v>
      </c>
      <c r="M211" s="2" t="str">
        <f>IFERROR(__xludf.DUMMYFUNCTION("""COMPUTED_VALUE"""),"BHD")</f>
        <v>BHD</v>
      </c>
      <c r="N211" s="2" t="str">
        <f>IFERROR(__xludf.DUMMYFUNCTION("""COMPUTED_VALUE"""),"Credit, Debit")</f>
        <v>Credit, Debit</v>
      </c>
      <c r="O211" s="4">
        <f>IFERROR(__xludf.DUMMYFUNCTION("""COMPUTED_VALUE"""),0.0)</f>
        <v>0</v>
      </c>
      <c r="P211" s="2">
        <f>IFERROR(__xludf.DUMMYFUNCTION("""COMPUTED_VALUE"""),31.0)</f>
        <v>31</v>
      </c>
      <c r="Q211" s="2">
        <f>IFERROR(__xludf.DUMMYFUNCTION("""COMPUTED_VALUE"""),3.0)</f>
        <v>3</v>
      </c>
      <c r="R211" s="2">
        <f>IFERROR(__xludf.DUMMYFUNCTION("""COMPUTED_VALUE"""),2025.0)</f>
        <v>2025</v>
      </c>
      <c r="S211" s="2" t="str">
        <f>IFERROR(__xludf.DUMMYFUNCTION("""COMPUTED_VALUE"""),"Digizag")</f>
        <v>Digizag</v>
      </c>
      <c r="T211" s="2" t="str">
        <f>IFERROR(__xludf.DUMMYFUNCTION("""COMPUTED_VALUE"""),"Digizag")</f>
        <v>Digizag</v>
      </c>
      <c r="U211" s="5">
        <f>IFERROR(__xludf.DUMMYFUNCTION("""COMPUTED_VALUE"""),34.2226293)</f>
        <v>34.2226293</v>
      </c>
      <c r="V211" s="2"/>
      <c r="W211" s="2"/>
      <c r="X211" s="2"/>
      <c r="Y211" s="2"/>
      <c r="Z211" s="2"/>
    </row>
    <row r="212">
      <c r="A212" s="6">
        <f>IFERROR(__xludf.DUMMYFUNCTION("""COMPUTED_VALUE"""),45747.433541666665)</f>
        <v>45747.43354</v>
      </c>
      <c r="B212" s="2" t="str">
        <f>IFERROR(__xludf.DUMMYFUNCTION("""COMPUTED_VALUE"""),"March")</f>
        <v>March</v>
      </c>
      <c r="C212" s="3">
        <f>IFERROR(__xludf.DUMMYFUNCTION("""COMPUTED_VALUE"""),657002.0)</f>
        <v>657002</v>
      </c>
      <c r="D212" s="2" t="str">
        <f>IFERROR(__xludf.DUMMYFUNCTION("""COMPUTED_VALUE"""),"MNN16")</f>
        <v>MNN16</v>
      </c>
      <c r="E212" s="2" t="str">
        <f>IFERROR(__xludf.DUMMYFUNCTION("""COMPUTED_VALUE"""),"Imported from file DigiZag Codes 25Feb25.xlsx")</f>
        <v>Imported from file DigiZag Codes 25Feb25.xlsx</v>
      </c>
      <c r="F212" s="2" t="str">
        <f>IFERROR(__xludf.DUMMYFUNCTION("""COMPUTED_VALUE"""),"MWA466330")</f>
        <v>MWA466330</v>
      </c>
      <c r="G212" s="2" t="str">
        <f>IFERROR(__xludf.DUMMYFUNCTION("""COMPUTED_VALUE"""),"UAE")</f>
        <v>UAE</v>
      </c>
      <c r="H212" s="4">
        <f>IFERROR(__xludf.DUMMYFUNCTION("""COMPUTED_VALUE"""),304.95)</f>
        <v>304.95</v>
      </c>
      <c r="I212" s="3">
        <f>IFERROR(__xludf.DUMMYFUNCTION("""COMPUTED_VALUE"""),0.0)</f>
        <v>0</v>
      </c>
      <c r="J212" s="4">
        <f>IFERROR(__xludf.DUMMYFUNCTION("""COMPUTED_VALUE"""),30.49)</f>
        <v>30.49</v>
      </c>
      <c r="K212" s="2"/>
      <c r="L212" s="2" t="str">
        <f>IFERROR(__xludf.DUMMYFUNCTION("""COMPUTED_VALUE"""),"Delivered")</f>
        <v>Delivered</v>
      </c>
      <c r="M212" s="2" t="str">
        <f>IFERROR(__xludf.DUMMYFUNCTION("""COMPUTED_VALUE"""),"AED")</f>
        <v>AED</v>
      </c>
      <c r="N212" s="2" t="str">
        <f>IFERROR(__xludf.DUMMYFUNCTION("""COMPUTED_VALUE"""),"Credit, Debit , Apple Pay")</f>
        <v>Credit, Debit , Apple Pay</v>
      </c>
      <c r="O212" s="4">
        <f>IFERROR(__xludf.DUMMYFUNCTION("""COMPUTED_VALUE"""),0.0)</f>
        <v>0</v>
      </c>
      <c r="P212" s="2">
        <f>IFERROR(__xludf.DUMMYFUNCTION("""COMPUTED_VALUE"""),31.0)</f>
        <v>31</v>
      </c>
      <c r="Q212" s="2">
        <f>IFERROR(__xludf.DUMMYFUNCTION("""COMPUTED_VALUE"""),3.0)</f>
        <v>3</v>
      </c>
      <c r="R212" s="2">
        <f>IFERROR(__xludf.DUMMYFUNCTION("""COMPUTED_VALUE"""),2025.0)</f>
        <v>2025</v>
      </c>
      <c r="S212" s="2" t="str">
        <f>IFERROR(__xludf.DUMMYFUNCTION("""COMPUTED_VALUE"""),"Digizag")</f>
        <v>Digizag</v>
      </c>
      <c r="T212" s="2" t="str">
        <f>IFERROR(__xludf.DUMMYFUNCTION("""COMPUTED_VALUE"""),"Digizag")</f>
        <v>Digizag</v>
      </c>
      <c r="U212" s="5">
        <f>IFERROR(__xludf.DUMMYFUNCTION("""COMPUTED_VALUE"""),83.03607908609999)</f>
        <v>83.03607909</v>
      </c>
      <c r="V212" s="2"/>
      <c r="W212" s="2"/>
      <c r="X212" s="2"/>
      <c r="Y212" s="2"/>
      <c r="Z212" s="2"/>
    </row>
    <row r="213">
      <c r="A213" s="6">
        <f>IFERROR(__xludf.DUMMYFUNCTION("""COMPUTED_VALUE"""),45747.48872685185)</f>
        <v>45747.48873</v>
      </c>
      <c r="B213" s="2" t="str">
        <f>IFERROR(__xludf.DUMMYFUNCTION("""COMPUTED_VALUE"""),"March")</f>
        <v>March</v>
      </c>
      <c r="C213" s="3">
        <f>IFERROR(__xludf.DUMMYFUNCTION("""COMPUTED_VALUE"""),713503.0)</f>
        <v>713503</v>
      </c>
      <c r="D213" s="2" t="str">
        <f>IFERROR(__xludf.DUMMYFUNCTION("""COMPUTED_VALUE"""),"MNN16")</f>
        <v>MNN16</v>
      </c>
      <c r="E213" s="2" t="str">
        <f>IFERROR(__xludf.DUMMYFUNCTION("""COMPUTED_VALUE"""),"Imported from file DigiZag Bidding Codes.xlsx")</f>
        <v>Imported from file DigiZag Bidding Codes.xlsx</v>
      </c>
      <c r="F213" s="2" t="str">
        <f>IFERROR(__xludf.DUMMYFUNCTION("""COMPUTED_VALUE"""),"SGT177578")</f>
        <v>SGT177578</v>
      </c>
      <c r="G213" s="2" t="str">
        <f>IFERROR(__xludf.DUMMYFUNCTION("""COMPUTED_VALUE"""),"Kingdom of Saudi Arabia")</f>
        <v>Kingdom of Saudi Arabia</v>
      </c>
      <c r="H213" s="4">
        <f>IFERROR(__xludf.DUMMYFUNCTION("""COMPUTED_VALUE"""),51.0)</f>
        <v>51</v>
      </c>
      <c r="I213" s="3">
        <f>IFERROR(__xludf.DUMMYFUNCTION("""COMPUTED_VALUE"""),0.0)</f>
        <v>0</v>
      </c>
      <c r="J213" s="4">
        <f>IFERROR(__xludf.DUMMYFUNCTION("""COMPUTED_VALUE"""),5.1)</f>
        <v>5.1</v>
      </c>
      <c r="K213" s="2"/>
      <c r="L213" s="2" t="str">
        <f>IFERROR(__xludf.DUMMYFUNCTION("""COMPUTED_VALUE"""),"Delivered")</f>
        <v>Delivered</v>
      </c>
      <c r="M213" s="2" t="str">
        <f>IFERROR(__xludf.DUMMYFUNCTION("""COMPUTED_VALUE"""),"SR")</f>
        <v>SR</v>
      </c>
      <c r="N213" s="2" t="str">
        <f>IFERROR(__xludf.DUMMYFUNCTION("""COMPUTED_VALUE"""),"Credit, Debit, Apple Pay")</f>
        <v>Credit, Debit, Apple Pay</v>
      </c>
      <c r="O213" s="4">
        <f>IFERROR(__xludf.DUMMYFUNCTION("""COMPUTED_VALUE"""),0.0)</f>
        <v>0</v>
      </c>
      <c r="P213" s="2">
        <f>IFERROR(__xludf.DUMMYFUNCTION("""COMPUTED_VALUE"""),31.0)</f>
        <v>31</v>
      </c>
      <c r="Q213" s="2">
        <f>IFERROR(__xludf.DUMMYFUNCTION("""COMPUTED_VALUE"""),3.0)</f>
        <v>3</v>
      </c>
      <c r="R213" s="2">
        <f>IFERROR(__xludf.DUMMYFUNCTION("""COMPUTED_VALUE"""),2025.0)</f>
        <v>2025</v>
      </c>
      <c r="S213" s="2" t="str">
        <f>IFERROR(__xludf.DUMMYFUNCTION("""COMPUTED_VALUE"""),"Digizag")</f>
        <v>Digizag</v>
      </c>
      <c r="T213" s="2" t="str">
        <f>IFERROR(__xludf.DUMMYFUNCTION("""COMPUTED_VALUE"""),"Digizag")</f>
        <v>Digizag</v>
      </c>
      <c r="U213" s="5">
        <f>IFERROR(__xludf.DUMMYFUNCTION("""COMPUTED_VALUE"""),13.598948346000002)</f>
        <v>13.59894835</v>
      </c>
      <c r="V213" s="2"/>
      <c r="W213" s="2"/>
      <c r="X213" s="2"/>
      <c r="Y213" s="2"/>
      <c r="Z213" s="2"/>
    </row>
    <row r="214">
      <c r="A214" s="6">
        <f>IFERROR(__xludf.DUMMYFUNCTION("""COMPUTED_VALUE"""),45747.931863425925)</f>
        <v>45747.93186</v>
      </c>
      <c r="B214" s="2" t="str">
        <f>IFERROR(__xludf.DUMMYFUNCTION("""COMPUTED_VALUE"""),"March")</f>
        <v>March</v>
      </c>
      <c r="C214" s="3">
        <f>IFERROR(__xludf.DUMMYFUNCTION("""COMPUTED_VALUE"""),702803.0)</f>
        <v>702803</v>
      </c>
      <c r="D214" s="2" t="str">
        <f>IFERROR(__xludf.DUMMYFUNCTION("""COMPUTED_VALUE"""),"MNN16")</f>
        <v>MNN16</v>
      </c>
      <c r="E214" s="2" t="str">
        <f>IFERROR(__xludf.DUMMYFUNCTION("""COMPUTED_VALUE"""),"Imported from file DigiZag Bidding Codes.xlsx")</f>
        <v>Imported from file DigiZag Bidding Codes.xlsx</v>
      </c>
      <c r="F214" s="2" t="str">
        <f>IFERROR(__xludf.DUMMYFUNCTION("""COMPUTED_VALUE"""),"XTB708948")</f>
        <v>XTB708948</v>
      </c>
      <c r="G214" s="2" t="str">
        <f>IFERROR(__xludf.DUMMYFUNCTION("""COMPUTED_VALUE"""),"Kingdom of Saudi Arabia")</f>
        <v>Kingdom of Saudi Arabia</v>
      </c>
      <c r="H214" s="4">
        <f>IFERROR(__xludf.DUMMYFUNCTION("""COMPUTED_VALUE"""),48.96)</f>
        <v>48.96</v>
      </c>
      <c r="I214" s="3">
        <f>IFERROR(__xludf.DUMMYFUNCTION("""COMPUTED_VALUE"""),0.0)</f>
        <v>0</v>
      </c>
      <c r="J214" s="4">
        <f>IFERROR(__xludf.DUMMYFUNCTION("""COMPUTED_VALUE"""),4.89)</f>
        <v>4.89</v>
      </c>
      <c r="K214" s="2"/>
      <c r="L214" s="2" t="str">
        <f>IFERROR(__xludf.DUMMYFUNCTION("""COMPUTED_VALUE"""),"Delivered")</f>
        <v>Delivered</v>
      </c>
      <c r="M214" s="2" t="str">
        <f>IFERROR(__xludf.DUMMYFUNCTION("""COMPUTED_VALUE"""),"SR")</f>
        <v>SR</v>
      </c>
      <c r="N214" s="2" t="str">
        <f>IFERROR(__xludf.DUMMYFUNCTION("""COMPUTED_VALUE"""),"Credit, Debit, Apple Pay")</f>
        <v>Credit, Debit, Apple Pay</v>
      </c>
      <c r="O214" s="4">
        <f>IFERROR(__xludf.DUMMYFUNCTION("""COMPUTED_VALUE"""),0.0)</f>
        <v>0</v>
      </c>
      <c r="P214" s="2">
        <f>IFERROR(__xludf.DUMMYFUNCTION("""COMPUTED_VALUE"""),31.0)</f>
        <v>31</v>
      </c>
      <c r="Q214" s="2">
        <f>IFERROR(__xludf.DUMMYFUNCTION("""COMPUTED_VALUE"""),3.0)</f>
        <v>3</v>
      </c>
      <c r="R214" s="2">
        <f>IFERROR(__xludf.DUMMYFUNCTION("""COMPUTED_VALUE"""),2025.0)</f>
        <v>2025</v>
      </c>
      <c r="S214" s="2" t="str">
        <f>IFERROR(__xludf.DUMMYFUNCTION("""COMPUTED_VALUE"""),"Digizag")</f>
        <v>Digizag</v>
      </c>
      <c r="T214" s="2" t="str">
        <f>IFERROR(__xludf.DUMMYFUNCTION("""COMPUTED_VALUE"""),"Digizag")</f>
        <v>Digizag</v>
      </c>
      <c r="U214" s="5">
        <f>IFERROR(__xludf.DUMMYFUNCTION("""COMPUTED_VALUE"""),13.054990412160002)</f>
        <v>13.05499041</v>
      </c>
      <c r="V214" s="2"/>
      <c r="W214" s="2"/>
      <c r="X214" s="2"/>
      <c r="Y214" s="2"/>
      <c r="Z214" s="2"/>
    </row>
    <row r="215">
      <c r="A215" s="6">
        <f>IFERROR(__xludf.DUMMYFUNCTION("""COMPUTED_VALUE"""),45748.05821759259)</f>
        <v>45748.05822</v>
      </c>
      <c r="B215" s="2" t="str">
        <f>IFERROR(__xludf.DUMMYFUNCTION("""COMPUTED_VALUE"""),"April")</f>
        <v>April</v>
      </c>
      <c r="C215" s="3">
        <f>IFERROR(__xludf.DUMMYFUNCTION("""COMPUTED_VALUE"""),47116.0)</f>
        <v>47116</v>
      </c>
      <c r="D215" s="2" t="str">
        <f>IFERROR(__xludf.DUMMYFUNCTION("""COMPUTED_VALUE"""),"MNN16")</f>
        <v>MNN16</v>
      </c>
      <c r="E215" s="2" t="str">
        <f>IFERROR(__xludf.DUMMYFUNCTION("""COMPUTED_VALUE"""),"Imported from file DigiZag Bidding Codes.xlsx")</f>
        <v>Imported from file DigiZag Bidding Codes.xlsx</v>
      </c>
      <c r="F215" s="2" t="str">
        <f>IFERROR(__xludf.DUMMYFUNCTION("""COMPUTED_VALUE"""),"BWK450986")</f>
        <v>BWK450986</v>
      </c>
      <c r="G215" s="2" t="str">
        <f>IFERROR(__xludf.DUMMYFUNCTION("""COMPUTED_VALUE"""),"Kingdom of Saudi Arabia")</f>
        <v>Kingdom of Saudi Arabia</v>
      </c>
      <c r="H215" s="4">
        <f>IFERROR(__xludf.DUMMYFUNCTION("""COMPUTED_VALUE"""),282.14)</f>
        <v>282.14</v>
      </c>
      <c r="I215" s="3">
        <f>IFERROR(__xludf.DUMMYFUNCTION("""COMPUTED_VALUE"""),0.0)</f>
        <v>0</v>
      </c>
      <c r="J215" s="4">
        <f>IFERROR(__xludf.DUMMYFUNCTION("""COMPUTED_VALUE"""),28.21)</f>
        <v>28.21</v>
      </c>
      <c r="K215" s="2"/>
      <c r="L215" s="2" t="str">
        <f>IFERROR(__xludf.DUMMYFUNCTION("""COMPUTED_VALUE"""),"Delivered")</f>
        <v>Delivered</v>
      </c>
      <c r="M215" s="2" t="str">
        <f>IFERROR(__xludf.DUMMYFUNCTION("""COMPUTED_VALUE"""),"SR")</f>
        <v>SR</v>
      </c>
      <c r="N215" s="2" t="str">
        <f>IFERROR(__xludf.DUMMYFUNCTION("""COMPUTED_VALUE"""),"Tamara: Split in 3, interest-free")</f>
        <v>Tamara: Split in 3, interest-free</v>
      </c>
      <c r="O215" s="4">
        <f>IFERROR(__xludf.DUMMYFUNCTION("""COMPUTED_VALUE"""),0.0)</f>
        <v>0</v>
      </c>
      <c r="P215" s="2">
        <f>IFERROR(__xludf.DUMMYFUNCTION("""COMPUTED_VALUE"""),1.0)</f>
        <v>1</v>
      </c>
      <c r="Q215" s="2">
        <f>IFERROR(__xludf.DUMMYFUNCTION("""COMPUTED_VALUE"""),4.0)</f>
        <v>4</v>
      </c>
      <c r="R215" s="2">
        <f>IFERROR(__xludf.DUMMYFUNCTION("""COMPUTED_VALUE"""),2025.0)</f>
        <v>2025</v>
      </c>
      <c r="S215" s="2" t="str">
        <f>IFERROR(__xludf.DUMMYFUNCTION("""COMPUTED_VALUE"""),"Digizag")</f>
        <v>Digizag</v>
      </c>
      <c r="T215" s="2" t="str">
        <f>IFERROR(__xludf.DUMMYFUNCTION("""COMPUTED_VALUE"""),"Digizag")</f>
        <v>Digizag</v>
      </c>
      <c r="U215" s="5">
        <f>IFERROR(__xludf.DUMMYFUNCTION("""COMPUTED_VALUE"""),75.23151541844)</f>
        <v>75.23151542</v>
      </c>
      <c r="V215" s="2"/>
      <c r="W215" s="2"/>
      <c r="X215" s="2"/>
      <c r="Y215" s="2"/>
      <c r="Z215" s="2"/>
    </row>
    <row r="216">
      <c r="A216" s="6">
        <f>IFERROR(__xludf.DUMMYFUNCTION("""COMPUTED_VALUE"""),45748.60424768518)</f>
        <v>45748.60425</v>
      </c>
      <c r="B216" s="2" t="str">
        <f>IFERROR(__xludf.DUMMYFUNCTION("""COMPUTED_VALUE"""),"April")</f>
        <v>April</v>
      </c>
      <c r="C216" s="3">
        <f>IFERROR(__xludf.DUMMYFUNCTION("""COMPUTED_VALUE"""),657002.0)</f>
        <v>657002</v>
      </c>
      <c r="D216" s="2" t="str">
        <f>IFERROR(__xludf.DUMMYFUNCTION("""COMPUTED_VALUE"""),"MNN16")</f>
        <v>MNN16</v>
      </c>
      <c r="E216" s="2" t="str">
        <f>IFERROR(__xludf.DUMMYFUNCTION("""COMPUTED_VALUE"""),"Imported from file DigiZag Codes 25Feb25.xlsx")</f>
        <v>Imported from file DigiZag Codes 25Feb25.xlsx</v>
      </c>
      <c r="F216" s="2" t="str">
        <f>IFERROR(__xludf.DUMMYFUNCTION("""COMPUTED_VALUE"""),"TBK581903")</f>
        <v>TBK581903</v>
      </c>
      <c r="G216" s="2" t="str">
        <f>IFERROR(__xludf.DUMMYFUNCTION("""COMPUTED_VALUE"""),"UAE")</f>
        <v>UAE</v>
      </c>
      <c r="H216" s="4">
        <f>IFERROR(__xludf.DUMMYFUNCTION("""COMPUTED_VALUE"""),170.0)</f>
        <v>170</v>
      </c>
      <c r="I216" s="3">
        <f>IFERROR(__xludf.DUMMYFUNCTION("""COMPUTED_VALUE"""),0.0)</f>
        <v>0</v>
      </c>
      <c r="J216" s="4">
        <f>IFERROR(__xludf.DUMMYFUNCTION("""COMPUTED_VALUE"""),17.0)</f>
        <v>17</v>
      </c>
      <c r="K216" s="2"/>
      <c r="L216" s="2" t="str">
        <f>IFERROR(__xludf.DUMMYFUNCTION("""COMPUTED_VALUE"""),"Delivered")</f>
        <v>Delivered</v>
      </c>
      <c r="M216" s="2" t="str">
        <f>IFERROR(__xludf.DUMMYFUNCTION("""COMPUTED_VALUE"""),"AED")</f>
        <v>AED</v>
      </c>
      <c r="N216" s="2" t="str">
        <f>IFERROR(__xludf.DUMMYFUNCTION("""COMPUTED_VALUE"""),"Tamara: split in 3, interest-free")</f>
        <v>Tamara: split in 3, interest-free</v>
      </c>
      <c r="O216" s="4">
        <f>IFERROR(__xludf.DUMMYFUNCTION("""COMPUTED_VALUE"""),0.0)</f>
        <v>0</v>
      </c>
      <c r="P216" s="2">
        <f>IFERROR(__xludf.DUMMYFUNCTION("""COMPUTED_VALUE"""),1.0)</f>
        <v>1</v>
      </c>
      <c r="Q216" s="2">
        <f>IFERROR(__xludf.DUMMYFUNCTION("""COMPUTED_VALUE"""),4.0)</f>
        <v>4</v>
      </c>
      <c r="R216" s="2">
        <f>IFERROR(__xludf.DUMMYFUNCTION("""COMPUTED_VALUE"""),2025.0)</f>
        <v>2025</v>
      </c>
      <c r="S216" s="2" t="str">
        <f>IFERROR(__xludf.DUMMYFUNCTION("""COMPUTED_VALUE"""),"Digizag")</f>
        <v>Digizag</v>
      </c>
      <c r="T216" s="2" t="str">
        <f>IFERROR(__xludf.DUMMYFUNCTION("""COMPUTED_VALUE"""),"Digizag")</f>
        <v>Digizag</v>
      </c>
      <c r="U216" s="5">
        <f>IFERROR(__xludf.DUMMYFUNCTION("""COMPUTED_VALUE"""),46.289993259999996)</f>
        <v>46.28999326</v>
      </c>
      <c r="V216" s="2"/>
      <c r="W216" s="2"/>
      <c r="X216" s="2"/>
      <c r="Y216" s="2"/>
      <c r="Z216" s="2"/>
    </row>
    <row r="217">
      <c r="A217" s="6">
        <f>IFERROR(__xludf.DUMMYFUNCTION("""COMPUTED_VALUE"""),45748.810902777775)</f>
        <v>45748.8109</v>
      </c>
      <c r="B217" s="2" t="str">
        <f>IFERROR(__xludf.DUMMYFUNCTION("""COMPUTED_VALUE"""),"April")</f>
        <v>April</v>
      </c>
      <c r="C217" s="3">
        <f>IFERROR(__xludf.DUMMYFUNCTION("""COMPUTED_VALUE"""),714367.0)</f>
        <v>714367</v>
      </c>
      <c r="D217" s="2" t="str">
        <f>IFERROR(__xludf.DUMMYFUNCTION("""COMPUTED_VALUE"""),"MNN16")</f>
        <v>MNN16</v>
      </c>
      <c r="E217" s="2" t="str">
        <f>IFERROR(__xludf.DUMMYFUNCTION("""COMPUTED_VALUE"""),"Imported from file DigiZag Bidding Codes.xlsx")</f>
        <v>Imported from file DigiZag Bidding Codes.xlsx</v>
      </c>
      <c r="F217" s="2" t="str">
        <f>IFERROR(__xludf.DUMMYFUNCTION("""COMPUTED_VALUE"""),"XZL438770")</f>
        <v>XZL438770</v>
      </c>
      <c r="G217" s="2" t="str">
        <f>IFERROR(__xludf.DUMMYFUNCTION("""COMPUTED_VALUE"""),"Kingdom of Saudi Arabia")</f>
        <v>Kingdom of Saudi Arabia</v>
      </c>
      <c r="H217" s="4">
        <f>IFERROR(__xludf.DUMMYFUNCTION("""COMPUTED_VALUE"""),321.85)</f>
        <v>321.85</v>
      </c>
      <c r="I217" s="3">
        <f>IFERROR(__xludf.DUMMYFUNCTION("""COMPUTED_VALUE"""),0.0)</f>
        <v>0</v>
      </c>
      <c r="J217" s="4">
        <f>IFERROR(__xludf.DUMMYFUNCTION("""COMPUTED_VALUE"""),32.18)</f>
        <v>32.18</v>
      </c>
      <c r="K217" s="2"/>
      <c r="L217" s="2" t="str">
        <f>IFERROR(__xludf.DUMMYFUNCTION("""COMPUTED_VALUE"""),"Delivered")</f>
        <v>Delivered</v>
      </c>
      <c r="M217" s="2" t="str">
        <f>IFERROR(__xludf.DUMMYFUNCTION("""COMPUTED_VALUE"""),"SR")</f>
        <v>SR</v>
      </c>
      <c r="N217" s="2" t="str">
        <f>IFERROR(__xludf.DUMMYFUNCTION("""COMPUTED_VALUE"""),"Cash")</f>
        <v>Cash</v>
      </c>
      <c r="O217" s="4">
        <f>IFERROR(__xludf.DUMMYFUNCTION("""COMPUTED_VALUE"""),0.0)</f>
        <v>0</v>
      </c>
      <c r="P217" s="2">
        <f>IFERROR(__xludf.DUMMYFUNCTION("""COMPUTED_VALUE"""),1.0)</f>
        <v>1</v>
      </c>
      <c r="Q217" s="2">
        <f>IFERROR(__xludf.DUMMYFUNCTION("""COMPUTED_VALUE"""),4.0)</f>
        <v>4</v>
      </c>
      <c r="R217" s="2">
        <f>IFERROR(__xludf.DUMMYFUNCTION("""COMPUTED_VALUE"""),2025.0)</f>
        <v>2025</v>
      </c>
      <c r="S217" s="2" t="str">
        <f>IFERROR(__xludf.DUMMYFUNCTION("""COMPUTED_VALUE"""),"Digizag")</f>
        <v>Digizag</v>
      </c>
      <c r="T217" s="2" t="str">
        <f>IFERROR(__xludf.DUMMYFUNCTION("""COMPUTED_VALUE"""),"Digizag")</f>
        <v>Digizag</v>
      </c>
      <c r="U217" s="5">
        <f>IFERROR(__xludf.DUMMYFUNCTION("""COMPUTED_VALUE"""),85.82002990510001)</f>
        <v>85.82002991</v>
      </c>
      <c r="V217" s="2"/>
      <c r="W217" s="2"/>
      <c r="X217" s="2"/>
      <c r="Y217" s="2"/>
      <c r="Z217" s="2"/>
    </row>
    <row r="218">
      <c r="A218" s="6">
        <f>IFERROR(__xludf.DUMMYFUNCTION("""COMPUTED_VALUE"""),45748.98783564815)</f>
        <v>45748.98784</v>
      </c>
      <c r="B218" s="2" t="str">
        <f>IFERROR(__xludf.DUMMYFUNCTION("""COMPUTED_VALUE"""),"April")</f>
        <v>April</v>
      </c>
      <c r="C218" s="3">
        <f>IFERROR(__xludf.DUMMYFUNCTION("""COMPUTED_VALUE"""),714433.0)</f>
        <v>714433</v>
      </c>
      <c r="D218" s="2" t="str">
        <f>IFERROR(__xludf.DUMMYFUNCTION("""COMPUTED_VALUE"""),"DB1")</f>
        <v>DB1</v>
      </c>
      <c r="E218" s="2" t="str">
        <f>IFERROR(__xludf.DUMMYFUNCTION("""COMPUTED_VALUE"""),"Imported from file Digizag.xlsx")</f>
        <v>Imported from file Digizag.xlsx</v>
      </c>
      <c r="F218" s="2" t="str">
        <f>IFERROR(__xludf.DUMMYFUNCTION("""COMPUTED_VALUE"""),"RXW941526")</f>
        <v>RXW941526</v>
      </c>
      <c r="G218" s="2" t="str">
        <f>IFERROR(__xludf.DUMMYFUNCTION("""COMPUTED_VALUE"""),"Kingdom of Saudi Arabia")</f>
        <v>Kingdom of Saudi Arabia</v>
      </c>
      <c r="H218" s="4">
        <f>IFERROR(__xludf.DUMMYFUNCTION("""COMPUTED_VALUE"""),59.0)</f>
        <v>59</v>
      </c>
      <c r="I218" s="3">
        <f>IFERROR(__xludf.DUMMYFUNCTION("""COMPUTED_VALUE"""),0.0)</f>
        <v>0</v>
      </c>
      <c r="J218" s="4">
        <f>IFERROR(__xludf.DUMMYFUNCTION("""COMPUTED_VALUE"""),5.9)</f>
        <v>5.9</v>
      </c>
      <c r="K218" s="2"/>
      <c r="L218" s="2" t="str">
        <f>IFERROR(__xludf.DUMMYFUNCTION("""COMPUTED_VALUE"""),"Delivered")</f>
        <v>Delivered</v>
      </c>
      <c r="M218" s="2" t="str">
        <f>IFERROR(__xludf.DUMMYFUNCTION("""COMPUTED_VALUE"""),"SR")</f>
        <v>SR</v>
      </c>
      <c r="N218" s="2" t="str">
        <f>IFERROR(__xludf.DUMMYFUNCTION("""COMPUTED_VALUE"""),"Credit, Debit, Apple Pay")</f>
        <v>Credit, Debit, Apple Pay</v>
      </c>
      <c r="O218" s="4">
        <f>IFERROR(__xludf.DUMMYFUNCTION("""COMPUTED_VALUE"""),0.0)</f>
        <v>0</v>
      </c>
      <c r="P218" s="2">
        <f>IFERROR(__xludf.DUMMYFUNCTION("""COMPUTED_VALUE"""),1.0)</f>
        <v>1</v>
      </c>
      <c r="Q218" s="2">
        <f>IFERROR(__xludf.DUMMYFUNCTION("""COMPUTED_VALUE"""),4.0)</f>
        <v>4</v>
      </c>
      <c r="R218" s="2">
        <f>IFERROR(__xludf.DUMMYFUNCTION("""COMPUTED_VALUE"""),2025.0)</f>
        <v>2025</v>
      </c>
      <c r="S218" s="2" t="str">
        <f>IFERROR(__xludf.DUMMYFUNCTION("""COMPUTED_VALUE"""),"Digizag")</f>
        <v>Digizag</v>
      </c>
      <c r="T218" s="2" t="str">
        <f>IFERROR(__xludf.DUMMYFUNCTION("""COMPUTED_VALUE"""),"Digizag")</f>
        <v>Digizag</v>
      </c>
      <c r="U218" s="5">
        <f>IFERROR(__xludf.DUMMYFUNCTION("""COMPUTED_VALUE"""),15.732116714000002)</f>
        <v>15.73211671</v>
      </c>
      <c r="V218" s="2"/>
      <c r="W218" s="2"/>
      <c r="X218" s="2"/>
      <c r="Y218" s="2"/>
      <c r="Z218" s="2"/>
    </row>
    <row r="219">
      <c r="A219" s="6">
        <f>IFERROR(__xludf.DUMMYFUNCTION("""COMPUTED_VALUE"""),45749.72730324074)</f>
        <v>45749.7273</v>
      </c>
      <c r="B219" s="2" t="str">
        <f>IFERROR(__xludf.DUMMYFUNCTION("""COMPUTED_VALUE"""),"April")</f>
        <v>April</v>
      </c>
      <c r="C219" s="3">
        <f>IFERROR(__xludf.DUMMYFUNCTION("""COMPUTED_VALUE"""),135103.0)</f>
        <v>135103</v>
      </c>
      <c r="D219" s="2" t="str">
        <f>IFERROR(__xludf.DUMMYFUNCTION("""COMPUTED_VALUE"""),"DB3")</f>
        <v>DB3</v>
      </c>
      <c r="E219" s="2" t="str">
        <f>IFERROR(__xludf.DUMMYFUNCTION("""COMPUTED_VALUE"""),"Imported from file Digizag.xlsx")</f>
        <v>Imported from file Digizag.xlsx</v>
      </c>
      <c r="F219" s="2" t="str">
        <f>IFERROR(__xludf.DUMMYFUNCTION("""COMPUTED_VALUE"""),"GZW983620")</f>
        <v>GZW983620</v>
      </c>
      <c r="G219" s="2" t="str">
        <f>IFERROR(__xludf.DUMMYFUNCTION("""COMPUTED_VALUE"""),"UAE")</f>
        <v>UAE</v>
      </c>
      <c r="H219" s="4">
        <f>IFERROR(__xludf.DUMMYFUNCTION("""COMPUTED_VALUE"""),415.09)</f>
        <v>415.09</v>
      </c>
      <c r="I219" s="3">
        <f>IFERROR(__xludf.DUMMYFUNCTION("""COMPUTED_VALUE"""),0.0)</f>
        <v>0</v>
      </c>
      <c r="J219" s="4">
        <f>IFERROR(__xludf.DUMMYFUNCTION("""COMPUTED_VALUE"""),41.5)</f>
        <v>41.5</v>
      </c>
      <c r="K219" s="2"/>
      <c r="L219" s="2" t="str">
        <f>IFERROR(__xludf.DUMMYFUNCTION("""COMPUTED_VALUE"""),"Delivered")</f>
        <v>Delivered</v>
      </c>
      <c r="M219" s="2" t="str">
        <f>IFERROR(__xludf.DUMMYFUNCTION("""COMPUTED_VALUE"""),"AED")</f>
        <v>AED</v>
      </c>
      <c r="N219" s="2" t="str">
        <f>IFERROR(__xludf.DUMMYFUNCTION("""COMPUTED_VALUE"""),"Tamara: split in 3, interest-free")</f>
        <v>Tamara: split in 3, interest-free</v>
      </c>
      <c r="O219" s="4">
        <f>IFERROR(__xludf.DUMMYFUNCTION("""COMPUTED_VALUE"""),0.0)</f>
        <v>0</v>
      </c>
      <c r="P219" s="2">
        <f>IFERROR(__xludf.DUMMYFUNCTION("""COMPUTED_VALUE"""),2.0)</f>
        <v>2</v>
      </c>
      <c r="Q219" s="2">
        <f>IFERROR(__xludf.DUMMYFUNCTION("""COMPUTED_VALUE"""),4.0)</f>
        <v>4</v>
      </c>
      <c r="R219" s="2">
        <f>IFERROR(__xludf.DUMMYFUNCTION("""COMPUTED_VALUE"""),2025.0)</f>
        <v>2025</v>
      </c>
      <c r="S219" s="2" t="str">
        <f>IFERROR(__xludf.DUMMYFUNCTION("""COMPUTED_VALUE"""),"Digizag")</f>
        <v>Digizag</v>
      </c>
      <c r="T219" s="2" t="str">
        <f>IFERROR(__xludf.DUMMYFUNCTION("""COMPUTED_VALUE"""),"Digizag")</f>
        <v>Digizag</v>
      </c>
      <c r="U219" s="5">
        <f>IFERROR(__xludf.DUMMYFUNCTION("""COMPUTED_VALUE"""),113.02654883701999)</f>
        <v>113.0265488</v>
      </c>
      <c r="V219" s="2"/>
      <c r="W219" s="2"/>
      <c r="X219" s="2"/>
      <c r="Y219" s="2"/>
      <c r="Z219" s="2"/>
    </row>
    <row r="220">
      <c r="A220" s="6">
        <f>IFERROR(__xludf.DUMMYFUNCTION("""COMPUTED_VALUE"""),45749.73140046296)</f>
        <v>45749.7314</v>
      </c>
      <c r="B220" s="2" t="str">
        <f>IFERROR(__xludf.DUMMYFUNCTION("""COMPUTED_VALUE"""),"April")</f>
        <v>April</v>
      </c>
      <c r="C220" s="3">
        <f>IFERROR(__xludf.DUMMYFUNCTION("""COMPUTED_VALUE"""),388370.0)</f>
        <v>388370</v>
      </c>
      <c r="D220" s="2" t="str">
        <f>IFERROR(__xludf.DUMMYFUNCTION("""COMPUTED_VALUE"""),"MNN16")</f>
        <v>MNN16</v>
      </c>
      <c r="E220" s="2" t="str">
        <f>IFERROR(__xludf.DUMMYFUNCTION("""COMPUTED_VALUE"""),"Imported from file DigiZag Codes 25Feb25.xlsx")</f>
        <v>Imported from file DigiZag Codes 25Feb25.xlsx</v>
      </c>
      <c r="F220" s="2" t="str">
        <f>IFERROR(__xludf.DUMMYFUNCTION("""COMPUTED_VALUE"""),"NCR770387")</f>
        <v>NCR770387</v>
      </c>
      <c r="G220" s="2" t="str">
        <f>IFERROR(__xludf.DUMMYFUNCTION("""COMPUTED_VALUE"""),"Kuwait")</f>
        <v>Kuwait</v>
      </c>
      <c r="H220" s="4">
        <f>IFERROR(__xludf.DUMMYFUNCTION("""COMPUTED_VALUE"""),7.9)</f>
        <v>7.9</v>
      </c>
      <c r="I220" s="3">
        <f>IFERROR(__xludf.DUMMYFUNCTION("""COMPUTED_VALUE"""),0.0)</f>
        <v>0</v>
      </c>
      <c r="J220" s="4">
        <f>IFERROR(__xludf.DUMMYFUNCTION("""COMPUTED_VALUE"""),0.79)</f>
        <v>0.79</v>
      </c>
      <c r="K220" s="2"/>
      <c r="L220" s="2" t="str">
        <f>IFERROR(__xludf.DUMMYFUNCTION("""COMPUTED_VALUE"""),"Delivered")</f>
        <v>Delivered</v>
      </c>
      <c r="M220" s="2" t="str">
        <f>IFERROR(__xludf.DUMMYFUNCTION("""COMPUTED_VALUE"""),"KD")</f>
        <v>KD</v>
      </c>
      <c r="N220" s="2" t="str">
        <f>IFERROR(__xludf.DUMMYFUNCTION("""COMPUTED_VALUE"""),"Credit, Debit, Knet")</f>
        <v>Credit, Debit, Knet</v>
      </c>
      <c r="O220" s="4">
        <f>IFERROR(__xludf.DUMMYFUNCTION("""COMPUTED_VALUE"""),0.0)</f>
        <v>0</v>
      </c>
      <c r="P220" s="2">
        <f>IFERROR(__xludf.DUMMYFUNCTION("""COMPUTED_VALUE"""),2.0)</f>
        <v>2</v>
      </c>
      <c r="Q220" s="2">
        <f>IFERROR(__xludf.DUMMYFUNCTION("""COMPUTED_VALUE"""),4.0)</f>
        <v>4</v>
      </c>
      <c r="R220" s="2">
        <f>IFERROR(__xludf.DUMMYFUNCTION("""COMPUTED_VALUE"""),2025.0)</f>
        <v>2025</v>
      </c>
      <c r="S220" s="2" t="str">
        <f>IFERROR(__xludf.DUMMYFUNCTION("""COMPUTED_VALUE"""),"Digizag")</f>
        <v>Digizag</v>
      </c>
      <c r="T220" s="2" t="str">
        <f>IFERROR(__xludf.DUMMYFUNCTION("""COMPUTED_VALUE"""),"Digizag")</f>
        <v>Digizag</v>
      </c>
      <c r="U220" s="5">
        <f>IFERROR(__xludf.DUMMYFUNCTION("""COMPUTED_VALUE"""),25.758898)</f>
        <v>25.758898</v>
      </c>
      <c r="V220" s="2"/>
      <c r="W220" s="2"/>
      <c r="X220" s="2"/>
      <c r="Y220" s="2"/>
      <c r="Z220" s="2"/>
    </row>
    <row r="221">
      <c r="A221" s="6">
        <f>IFERROR(__xludf.DUMMYFUNCTION("""COMPUTED_VALUE"""),45749.79466435185)</f>
        <v>45749.79466</v>
      </c>
      <c r="B221" s="2" t="str">
        <f>IFERROR(__xludf.DUMMYFUNCTION("""COMPUTED_VALUE"""),"April")</f>
        <v>April</v>
      </c>
      <c r="C221" s="3">
        <f>IFERROR(__xludf.DUMMYFUNCTION("""COMPUTED_VALUE"""),714943.0)</f>
        <v>714943</v>
      </c>
      <c r="D221" s="2" t="str">
        <f>IFERROR(__xludf.DUMMYFUNCTION("""COMPUTED_VALUE"""),"DB3")</f>
        <v>DB3</v>
      </c>
      <c r="E221" s="2" t="str">
        <f>IFERROR(__xludf.DUMMYFUNCTION("""COMPUTED_VALUE"""),"Imported from file Digizag.xlsx")</f>
        <v>Imported from file Digizag.xlsx</v>
      </c>
      <c r="F221" s="2" t="str">
        <f>IFERROR(__xludf.DUMMYFUNCTION("""COMPUTED_VALUE"""),"ETJ851473")</f>
        <v>ETJ851473</v>
      </c>
      <c r="G221" s="2" t="str">
        <f>IFERROR(__xludf.DUMMYFUNCTION("""COMPUTED_VALUE"""),"Kingdom of Saudi Arabia")</f>
        <v>Kingdom of Saudi Arabia</v>
      </c>
      <c r="H221" s="4">
        <f>IFERROR(__xludf.DUMMYFUNCTION("""COMPUTED_VALUE"""),97.78)</f>
        <v>97.78</v>
      </c>
      <c r="I221" s="3">
        <f>IFERROR(__xludf.DUMMYFUNCTION("""COMPUTED_VALUE"""),0.0)</f>
        <v>0</v>
      </c>
      <c r="J221" s="4">
        <f>IFERROR(__xludf.DUMMYFUNCTION("""COMPUTED_VALUE"""),9.77)</f>
        <v>9.77</v>
      </c>
      <c r="K221" s="2"/>
      <c r="L221" s="2" t="str">
        <f>IFERROR(__xludf.DUMMYFUNCTION("""COMPUTED_VALUE"""),"Delivered")</f>
        <v>Delivered</v>
      </c>
      <c r="M221" s="2" t="str">
        <f>IFERROR(__xludf.DUMMYFUNCTION("""COMPUTED_VALUE"""),"SR")</f>
        <v>SR</v>
      </c>
      <c r="N221" s="2" t="str">
        <f>IFERROR(__xludf.DUMMYFUNCTION("""COMPUTED_VALUE"""),"Credit, Debit, Apple Pay")</f>
        <v>Credit, Debit, Apple Pay</v>
      </c>
      <c r="O221" s="4">
        <f>IFERROR(__xludf.DUMMYFUNCTION("""COMPUTED_VALUE"""),0.0)</f>
        <v>0</v>
      </c>
      <c r="P221" s="2">
        <f>IFERROR(__xludf.DUMMYFUNCTION("""COMPUTED_VALUE"""),2.0)</f>
        <v>2</v>
      </c>
      <c r="Q221" s="2">
        <f>IFERROR(__xludf.DUMMYFUNCTION("""COMPUTED_VALUE"""),4.0)</f>
        <v>4</v>
      </c>
      <c r="R221" s="2">
        <f>IFERROR(__xludf.DUMMYFUNCTION("""COMPUTED_VALUE"""),2025.0)</f>
        <v>2025</v>
      </c>
      <c r="S221" s="2" t="str">
        <f>IFERROR(__xludf.DUMMYFUNCTION("""COMPUTED_VALUE"""),"Digizag")</f>
        <v>Digizag</v>
      </c>
      <c r="T221" s="2" t="str">
        <f>IFERROR(__xludf.DUMMYFUNCTION("""COMPUTED_VALUE"""),"Digizag")</f>
        <v>Digizag</v>
      </c>
      <c r="U221" s="5">
        <f>IFERROR(__xludf.DUMMYFUNCTION("""COMPUTED_VALUE"""),26.072650377880002)</f>
        <v>26.07265038</v>
      </c>
      <c r="V221" s="2"/>
      <c r="W221" s="2"/>
      <c r="X221" s="2"/>
      <c r="Y221" s="2"/>
      <c r="Z221" s="2"/>
    </row>
    <row r="222">
      <c r="A222" s="6">
        <f>IFERROR(__xludf.DUMMYFUNCTION("""COMPUTED_VALUE"""),45749.85493055556)</f>
        <v>45749.85493</v>
      </c>
      <c r="B222" s="2" t="str">
        <f>IFERROR(__xludf.DUMMYFUNCTION("""COMPUTED_VALUE"""),"April")</f>
        <v>April</v>
      </c>
      <c r="C222" s="3">
        <f>IFERROR(__xludf.DUMMYFUNCTION("""COMPUTED_VALUE"""),714985.0)</f>
        <v>714985</v>
      </c>
      <c r="D222" s="2" t="str">
        <f>IFERROR(__xludf.DUMMYFUNCTION("""COMPUTED_VALUE"""),"WFR")</f>
        <v>WFR</v>
      </c>
      <c r="E222" s="2" t="str">
        <f>IFERROR(__xludf.DUMMYFUNCTION("""COMPUTED_VALUE"""),"Imported from file Digizag.xlsx")</f>
        <v>Imported from file Digizag.xlsx</v>
      </c>
      <c r="F222" s="2" t="str">
        <f>IFERROR(__xludf.DUMMYFUNCTION("""COMPUTED_VALUE"""),"NDJ604702")</f>
        <v>NDJ604702</v>
      </c>
      <c r="G222" s="2" t="str">
        <f>IFERROR(__xludf.DUMMYFUNCTION("""COMPUTED_VALUE"""),"UAE")</f>
        <v>UAE</v>
      </c>
      <c r="H222" s="4">
        <f>IFERROR(__xludf.DUMMYFUNCTION("""COMPUTED_VALUE"""),158.0)</f>
        <v>158</v>
      </c>
      <c r="I222" s="3">
        <f>IFERROR(__xludf.DUMMYFUNCTION("""COMPUTED_VALUE"""),0.0)</f>
        <v>0</v>
      </c>
      <c r="J222" s="4">
        <f>IFERROR(__xludf.DUMMYFUNCTION("""COMPUTED_VALUE"""),15.8)</f>
        <v>15.8</v>
      </c>
      <c r="K222" s="2"/>
      <c r="L222" s="2" t="str">
        <f>IFERROR(__xludf.DUMMYFUNCTION("""COMPUTED_VALUE"""),"Delivered")</f>
        <v>Delivered</v>
      </c>
      <c r="M222" s="2" t="str">
        <f>IFERROR(__xludf.DUMMYFUNCTION("""COMPUTED_VALUE"""),"AED")</f>
        <v>AED</v>
      </c>
      <c r="N222" s="2" t="str">
        <f>IFERROR(__xludf.DUMMYFUNCTION("""COMPUTED_VALUE"""),"Cash")</f>
        <v>Cash</v>
      </c>
      <c r="O222" s="4">
        <f>IFERROR(__xludf.DUMMYFUNCTION("""COMPUTED_VALUE"""),0.0)</f>
        <v>0</v>
      </c>
      <c r="P222" s="2">
        <f>IFERROR(__xludf.DUMMYFUNCTION("""COMPUTED_VALUE"""),2.0)</f>
        <v>2</v>
      </c>
      <c r="Q222" s="2">
        <f>IFERROR(__xludf.DUMMYFUNCTION("""COMPUTED_VALUE"""),4.0)</f>
        <v>4</v>
      </c>
      <c r="R222" s="2">
        <f>IFERROR(__xludf.DUMMYFUNCTION("""COMPUTED_VALUE"""),2025.0)</f>
        <v>2025</v>
      </c>
      <c r="S222" s="2" t="str">
        <f>IFERROR(__xludf.DUMMYFUNCTION("""COMPUTED_VALUE"""),"Digizag")</f>
        <v>Digizag</v>
      </c>
      <c r="T222" s="2" t="str">
        <f>IFERROR(__xludf.DUMMYFUNCTION("""COMPUTED_VALUE"""),"Digizag")</f>
        <v>Digizag</v>
      </c>
      <c r="U222" s="5">
        <f>IFERROR(__xludf.DUMMYFUNCTION("""COMPUTED_VALUE"""),43.022464324)</f>
        <v>43.02246432</v>
      </c>
      <c r="V222" s="2"/>
      <c r="W222" s="2"/>
      <c r="X222" s="2"/>
      <c r="Y222" s="2"/>
      <c r="Z222" s="2"/>
    </row>
    <row r="223">
      <c r="A223" s="6">
        <f>IFERROR(__xludf.DUMMYFUNCTION("""COMPUTED_VALUE"""),45749.86447916667)</f>
        <v>45749.86448</v>
      </c>
      <c r="B223" s="2" t="str">
        <f>IFERROR(__xludf.DUMMYFUNCTION("""COMPUTED_VALUE"""),"April")</f>
        <v>April</v>
      </c>
      <c r="C223" s="3">
        <f>IFERROR(__xludf.DUMMYFUNCTION("""COMPUTED_VALUE"""),554362.0)</f>
        <v>554362</v>
      </c>
      <c r="D223" s="2" t="str">
        <f>IFERROR(__xludf.DUMMYFUNCTION("""COMPUTED_VALUE"""),"MNN16")</f>
        <v>MNN16</v>
      </c>
      <c r="E223" s="2" t="str">
        <f>IFERROR(__xludf.DUMMYFUNCTION("""COMPUTED_VALUE"""),"Imported from file DigiZag Codes 25Feb25.xlsx")</f>
        <v>Imported from file DigiZag Codes 25Feb25.xlsx</v>
      </c>
      <c r="F223" s="2" t="str">
        <f>IFERROR(__xludf.DUMMYFUNCTION("""COMPUTED_VALUE"""),"VJD471781")</f>
        <v>VJD471781</v>
      </c>
      <c r="G223" s="2" t="str">
        <f>IFERROR(__xludf.DUMMYFUNCTION("""COMPUTED_VALUE"""),"Kuwait")</f>
        <v>Kuwait</v>
      </c>
      <c r="H223" s="4">
        <f>IFERROR(__xludf.DUMMYFUNCTION("""COMPUTED_VALUE"""),25.39)</f>
        <v>25.39</v>
      </c>
      <c r="I223" s="3">
        <f>IFERROR(__xludf.DUMMYFUNCTION("""COMPUTED_VALUE"""),0.0)</f>
        <v>0</v>
      </c>
      <c r="J223" s="4">
        <f>IFERROR(__xludf.DUMMYFUNCTION("""COMPUTED_VALUE"""),2.539)</f>
        <v>2.539</v>
      </c>
      <c r="K223" s="2"/>
      <c r="L223" s="2" t="str">
        <f>IFERROR(__xludf.DUMMYFUNCTION("""COMPUTED_VALUE"""),"Delivered")</f>
        <v>Delivered</v>
      </c>
      <c r="M223" s="2" t="str">
        <f>IFERROR(__xludf.DUMMYFUNCTION("""COMPUTED_VALUE"""),"KD")</f>
        <v>KD</v>
      </c>
      <c r="N223" s="2" t="str">
        <f>IFERROR(__xludf.DUMMYFUNCTION("""COMPUTED_VALUE"""),"Credit, Debit, Knet")</f>
        <v>Credit, Debit, Knet</v>
      </c>
      <c r="O223" s="4">
        <f>IFERROR(__xludf.DUMMYFUNCTION("""COMPUTED_VALUE"""),0.0)</f>
        <v>0</v>
      </c>
      <c r="P223" s="2">
        <f>IFERROR(__xludf.DUMMYFUNCTION("""COMPUTED_VALUE"""),2.0)</f>
        <v>2</v>
      </c>
      <c r="Q223" s="2">
        <f>IFERROR(__xludf.DUMMYFUNCTION("""COMPUTED_VALUE"""),4.0)</f>
        <v>4</v>
      </c>
      <c r="R223" s="2">
        <f>IFERROR(__xludf.DUMMYFUNCTION("""COMPUTED_VALUE"""),2025.0)</f>
        <v>2025</v>
      </c>
      <c r="S223" s="2" t="str">
        <f>IFERROR(__xludf.DUMMYFUNCTION("""COMPUTED_VALUE"""),"Digizag")</f>
        <v>Digizag</v>
      </c>
      <c r="T223" s="2" t="str">
        <f>IFERROR(__xludf.DUMMYFUNCTION("""COMPUTED_VALUE"""),"Digizag")</f>
        <v>Digizag</v>
      </c>
      <c r="U223" s="5">
        <f>IFERROR(__xludf.DUMMYFUNCTION("""COMPUTED_VALUE"""),82.7871418)</f>
        <v>82.7871418</v>
      </c>
      <c r="V223" s="2"/>
      <c r="W223" s="2"/>
      <c r="X223" s="2"/>
      <c r="Y223" s="2"/>
      <c r="Z223" s="2"/>
    </row>
    <row r="224">
      <c r="A224" s="6">
        <f>IFERROR(__xludf.DUMMYFUNCTION("""COMPUTED_VALUE"""),45749.88083333333)</f>
        <v>45749.88083</v>
      </c>
      <c r="B224" s="2" t="str">
        <f>IFERROR(__xludf.DUMMYFUNCTION("""COMPUTED_VALUE"""),"April")</f>
        <v>April</v>
      </c>
      <c r="C224" s="3">
        <f>IFERROR(__xludf.DUMMYFUNCTION("""COMPUTED_VALUE"""),305854.0)</f>
        <v>305854</v>
      </c>
      <c r="D224" s="2" t="str">
        <f>IFERROR(__xludf.DUMMYFUNCTION("""COMPUTED_VALUE"""),"MNN16")</f>
        <v>MNN16</v>
      </c>
      <c r="E224" s="2" t="str">
        <f>IFERROR(__xludf.DUMMYFUNCTION("""COMPUTED_VALUE"""),"Imported from file DigiZag Codes 25Feb25.xlsx")</f>
        <v>Imported from file DigiZag Codes 25Feb25.xlsx</v>
      </c>
      <c r="F224" s="2" t="str">
        <f>IFERROR(__xludf.DUMMYFUNCTION("""COMPUTED_VALUE"""),"HQB472263")</f>
        <v>HQB472263</v>
      </c>
      <c r="G224" s="2" t="str">
        <f>IFERROR(__xludf.DUMMYFUNCTION("""COMPUTED_VALUE"""),"Kuwait")</f>
        <v>Kuwait</v>
      </c>
      <c r="H224" s="4">
        <f>IFERROR(__xludf.DUMMYFUNCTION("""COMPUTED_VALUE"""),12.5)</f>
        <v>12.5</v>
      </c>
      <c r="I224" s="3">
        <f>IFERROR(__xludf.DUMMYFUNCTION("""COMPUTED_VALUE"""),1.0)</f>
        <v>1</v>
      </c>
      <c r="J224" s="4">
        <f>IFERROR(__xludf.DUMMYFUNCTION("""COMPUTED_VALUE"""),1.25)</f>
        <v>1.25</v>
      </c>
      <c r="K224" s="2"/>
      <c r="L224" s="2" t="str">
        <f>IFERROR(__xludf.DUMMYFUNCTION("""COMPUTED_VALUE"""),"Partially Cancelled")</f>
        <v>Partially Cancelled</v>
      </c>
      <c r="M224" s="2" t="str">
        <f>IFERROR(__xludf.DUMMYFUNCTION("""COMPUTED_VALUE"""),"KD")</f>
        <v>KD</v>
      </c>
      <c r="N224" s="2" t="str">
        <f>IFERROR(__xludf.DUMMYFUNCTION("""COMPUTED_VALUE"""),"Credit, Debit, Knet")</f>
        <v>Credit, Debit, Knet</v>
      </c>
      <c r="O224" s="4">
        <f>IFERROR(__xludf.DUMMYFUNCTION("""COMPUTED_VALUE"""),5.039999999999999)</f>
        <v>5.04</v>
      </c>
      <c r="P224" s="2">
        <f>IFERROR(__xludf.DUMMYFUNCTION("""COMPUTED_VALUE"""),2.0)</f>
        <v>2</v>
      </c>
      <c r="Q224" s="2">
        <f>IFERROR(__xludf.DUMMYFUNCTION("""COMPUTED_VALUE"""),4.0)</f>
        <v>4</v>
      </c>
      <c r="R224" s="2">
        <f>IFERROR(__xludf.DUMMYFUNCTION("""COMPUTED_VALUE"""),2025.0)</f>
        <v>2025</v>
      </c>
      <c r="S224" s="2" t="str">
        <f>IFERROR(__xludf.DUMMYFUNCTION("""COMPUTED_VALUE"""),"Digizag")</f>
        <v>Digizag</v>
      </c>
      <c r="T224" s="2" t="str">
        <f>IFERROR(__xludf.DUMMYFUNCTION("""COMPUTED_VALUE"""),"Digizag")</f>
        <v>Digizag</v>
      </c>
      <c r="U224" s="5">
        <f>IFERROR(__xludf.DUMMYFUNCTION("""COMPUTED_VALUE"""),40.75775)</f>
        <v>40.75775</v>
      </c>
      <c r="V224" s="2"/>
      <c r="W224" s="2"/>
      <c r="X224" s="2"/>
      <c r="Y224" s="2"/>
      <c r="Z224" s="2"/>
    </row>
    <row r="225">
      <c r="A225" s="6">
        <f>IFERROR(__xludf.DUMMYFUNCTION("""COMPUTED_VALUE"""),45749.908634259256)</f>
        <v>45749.90863</v>
      </c>
      <c r="B225" s="2" t="str">
        <f>IFERROR(__xludf.DUMMYFUNCTION("""COMPUTED_VALUE"""),"April")</f>
        <v>April</v>
      </c>
      <c r="C225" s="3">
        <f>IFERROR(__xludf.DUMMYFUNCTION("""COMPUTED_VALUE"""),715025.0)</f>
        <v>715025</v>
      </c>
      <c r="D225" s="2" t="str">
        <f>IFERROR(__xludf.DUMMYFUNCTION("""COMPUTED_VALUE"""),"DB1")</f>
        <v>DB1</v>
      </c>
      <c r="E225" s="2" t="str">
        <f>IFERROR(__xludf.DUMMYFUNCTION("""COMPUTED_VALUE"""),"Imported from file Digizag.xlsx")</f>
        <v>Imported from file Digizag.xlsx</v>
      </c>
      <c r="F225" s="2" t="str">
        <f>IFERROR(__xludf.DUMMYFUNCTION("""COMPUTED_VALUE"""),"YUP149073")</f>
        <v>YUP149073</v>
      </c>
      <c r="G225" s="2" t="str">
        <f>IFERROR(__xludf.DUMMYFUNCTION("""COMPUTED_VALUE"""),"Kuwait")</f>
        <v>Kuwait</v>
      </c>
      <c r="H225" s="4">
        <f>IFERROR(__xludf.DUMMYFUNCTION("""COMPUTED_VALUE"""),5.0)</f>
        <v>5</v>
      </c>
      <c r="I225" s="3">
        <f>IFERROR(__xludf.DUMMYFUNCTION("""COMPUTED_VALUE"""),0.0)</f>
        <v>0</v>
      </c>
      <c r="J225" s="4">
        <f>IFERROR(__xludf.DUMMYFUNCTION("""COMPUTED_VALUE"""),0.5)</f>
        <v>0.5</v>
      </c>
      <c r="K225" s="2"/>
      <c r="L225" s="2" t="str">
        <f>IFERROR(__xludf.DUMMYFUNCTION("""COMPUTED_VALUE"""),"Delivered")</f>
        <v>Delivered</v>
      </c>
      <c r="M225" s="2" t="str">
        <f>IFERROR(__xludf.DUMMYFUNCTION("""COMPUTED_VALUE"""),"KD")</f>
        <v>KD</v>
      </c>
      <c r="N225" s="2" t="str">
        <f>IFERROR(__xludf.DUMMYFUNCTION("""COMPUTED_VALUE"""),"Credit, Debit, Knet")</f>
        <v>Credit, Debit, Knet</v>
      </c>
      <c r="O225" s="4">
        <f>IFERROR(__xludf.DUMMYFUNCTION("""COMPUTED_VALUE"""),0.0)</f>
        <v>0</v>
      </c>
      <c r="P225" s="2">
        <f>IFERROR(__xludf.DUMMYFUNCTION("""COMPUTED_VALUE"""),2.0)</f>
        <v>2</v>
      </c>
      <c r="Q225" s="2">
        <f>IFERROR(__xludf.DUMMYFUNCTION("""COMPUTED_VALUE"""),4.0)</f>
        <v>4</v>
      </c>
      <c r="R225" s="2">
        <f>IFERROR(__xludf.DUMMYFUNCTION("""COMPUTED_VALUE"""),2025.0)</f>
        <v>2025</v>
      </c>
      <c r="S225" s="2" t="str">
        <f>IFERROR(__xludf.DUMMYFUNCTION("""COMPUTED_VALUE"""),"Digizag")</f>
        <v>Digizag</v>
      </c>
      <c r="T225" s="2" t="str">
        <f>IFERROR(__xludf.DUMMYFUNCTION("""COMPUTED_VALUE"""),"Digizag")</f>
        <v>Digizag</v>
      </c>
      <c r="U225" s="5">
        <f>IFERROR(__xludf.DUMMYFUNCTION("""COMPUTED_VALUE"""),16.3031)</f>
        <v>16.3031</v>
      </c>
      <c r="V225" s="2"/>
      <c r="W225" s="2"/>
      <c r="X225" s="2"/>
      <c r="Y225" s="2"/>
      <c r="Z225" s="2"/>
    </row>
    <row r="226">
      <c r="A226" s="6">
        <f>IFERROR(__xludf.DUMMYFUNCTION("""COMPUTED_VALUE"""),45749.932800925926)</f>
        <v>45749.9328</v>
      </c>
      <c r="B226" s="2" t="str">
        <f>IFERROR(__xludf.DUMMYFUNCTION("""COMPUTED_VALUE"""),"April")</f>
        <v>April</v>
      </c>
      <c r="C226" s="3">
        <f>IFERROR(__xludf.DUMMYFUNCTION("""COMPUTED_VALUE"""),685040.0)</f>
        <v>685040</v>
      </c>
      <c r="D226" s="2" t="str">
        <f>IFERROR(__xludf.DUMMYFUNCTION("""COMPUTED_VALUE"""),"MNN16")</f>
        <v>MNN16</v>
      </c>
      <c r="E226" s="2" t="str">
        <f>IFERROR(__xludf.DUMMYFUNCTION("""COMPUTED_VALUE"""),"Imported from file DigiZag Bidding Codes.xlsx")</f>
        <v>Imported from file DigiZag Bidding Codes.xlsx</v>
      </c>
      <c r="F226" s="2" t="str">
        <f>IFERROR(__xludf.DUMMYFUNCTION("""COMPUTED_VALUE"""),"TDU579027")</f>
        <v>TDU579027</v>
      </c>
      <c r="G226" s="2" t="str">
        <f>IFERROR(__xludf.DUMMYFUNCTION("""COMPUTED_VALUE"""),"Kingdom of Saudi Arabia")</f>
        <v>Kingdom of Saudi Arabia</v>
      </c>
      <c r="H226" s="4">
        <f>IFERROR(__xludf.DUMMYFUNCTION("""COMPUTED_VALUE"""),118.67)</f>
        <v>118.67</v>
      </c>
      <c r="I226" s="3">
        <f>IFERROR(__xludf.DUMMYFUNCTION("""COMPUTED_VALUE"""),0.0)</f>
        <v>0</v>
      </c>
      <c r="J226" s="4">
        <f>IFERROR(__xludf.DUMMYFUNCTION("""COMPUTED_VALUE"""),11.85)</f>
        <v>11.85</v>
      </c>
      <c r="K226" s="2"/>
      <c r="L226" s="2" t="str">
        <f>IFERROR(__xludf.DUMMYFUNCTION("""COMPUTED_VALUE"""),"Delivered")</f>
        <v>Delivered</v>
      </c>
      <c r="M226" s="2" t="str">
        <f>IFERROR(__xludf.DUMMYFUNCTION("""COMPUTED_VALUE"""),"SR")</f>
        <v>SR</v>
      </c>
      <c r="N226" s="2" t="str">
        <f>IFERROR(__xludf.DUMMYFUNCTION("""COMPUTED_VALUE"""),"Credit, Debit, Apple Pay")</f>
        <v>Credit, Debit, Apple Pay</v>
      </c>
      <c r="O226" s="4">
        <f>IFERROR(__xludf.DUMMYFUNCTION("""COMPUTED_VALUE"""),0.0)</f>
        <v>0</v>
      </c>
      <c r="P226" s="2">
        <f>IFERROR(__xludf.DUMMYFUNCTION("""COMPUTED_VALUE"""),2.0)</f>
        <v>2</v>
      </c>
      <c r="Q226" s="2">
        <f>IFERROR(__xludf.DUMMYFUNCTION("""COMPUTED_VALUE"""),4.0)</f>
        <v>4</v>
      </c>
      <c r="R226" s="2">
        <f>IFERROR(__xludf.DUMMYFUNCTION("""COMPUTED_VALUE"""),2025.0)</f>
        <v>2025</v>
      </c>
      <c r="S226" s="2" t="str">
        <f>IFERROR(__xludf.DUMMYFUNCTION("""COMPUTED_VALUE"""),"Digizag")</f>
        <v>Digizag</v>
      </c>
      <c r="T226" s="2" t="str">
        <f>IFERROR(__xludf.DUMMYFUNCTION("""COMPUTED_VALUE"""),"Digizag")</f>
        <v>Digizag</v>
      </c>
      <c r="U226" s="5">
        <f>IFERROR(__xludf.DUMMYFUNCTION("""COMPUTED_VALUE"""),31.642886278820004)</f>
        <v>31.64288628</v>
      </c>
      <c r="V226" s="2"/>
      <c r="W226" s="2"/>
      <c r="X226" s="2"/>
      <c r="Y226" s="2"/>
      <c r="Z226" s="2"/>
    </row>
    <row r="227">
      <c r="A227" s="6">
        <f>IFERROR(__xludf.DUMMYFUNCTION("""COMPUTED_VALUE"""),45749.98311342592)</f>
        <v>45749.98311</v>
      </c>
      <c r="B227" s="2" t="str">
        <f>IFERROR(__xludf.DUMMYFUNCTION("""COMPUTED_VALUE"""),"April")</f>
        <v>April</v>
      </c>
      <c r="C227" s="3">
        <f>IFERROR(__xludf.DUMMYFUNCTION("""COMPUTED_VALUE"""),205793.0)</f>
        <v>205793</v>
      </c>
      <c r="D227" s="2" t="str">
        <f>IFERROR(__xludf.DUMMYFUNCTION("""COMPUTED_VALUE"""),"MNN16")</f>
        <v>MNN16</v>
      </c>
      <c r="E227" s="2" t="str">
        <f>IFERROR(__xludf.DUMMYFUNCTION("""COMPUTED_VALUE"""),"Imported from file DigiZag Codes 25Feb25.xlsx")</f>
        <v>Imported from file DigiZag Codes 25Feb25.xlsx</v>
      </c>
      <c r="F227" s="2" t="str">
        <f>IFERROR(__xludf.DUMMYFUNCTION("""COMPUTED_VALUE"""),"KUD994723")</f>
        <v>KUD994723</v>
      </c>
      <c r="G227" s="2" t="str">
        <f>IFERROR(__xludf.DUMMYFUNCTION("""COMPUTED_VALUE"""),"UAE")</f>
        <v>UAE</v>
      </c>
      <c r="H227" s="4">
        <f>IFERROR(__xludf.DUMMYFUNCTION("""COMPUTED_VALUE"""),284.0)</f>
        <v>284</v>
      </c>
      <c r="I227" s="3">
        <f>IFERROR(__xludf.DUMMYFUNCTION("""COMPUTED_VALUE"""),0.0)</f>
        <v>0</v>
      </c>
      <c r="J227" s="4">
        <f>IFERROR(__xludf.DUMMYFUNCTION("""COMPUTED_VALUE"""),28.4)</f>
        <v>28.4</v>
      </c>
      <c r="K227" s="2"/>
      <c r="L227" s="2" t="str">
        <f>IFERROR(__xludf.DUMMYFUNCTION("""COMPUTED_VALUE"""),"Delivered")</f>
        <v>Delivered</v>
      </c>
      <c r="M227" s="2" t="str">
        <f>IFERROR(__xludf.DUMMYFUNCTION("""COMPUTED_VALUE"""),"AED")</f>
        <v>AED</v>
      </c>
      <c r="N227" s="2" t="str">
        <f>IFERROR(__xludf.DUMMYFUNCTION("""COMPUTED_VALUE"""),"Credit, Debit , Apple Pay")</f>
        <v>Credit, Debit , Apple Pay</v>
      </c>
      <c r="O227" s="4">
        <f>IFERROR(__xludf.DUMMYFUNCTION("""COMPUTED_VALUE"""),0.0)</f>
        <v>0</v>
      </c>
      <c r="P227" s="2">
        <f>IFERROR(__xludf.DUMMYFUNCTION("""COMPUTED_VALUE"""),2.0)</f>
        <v>2</v>
      </c>
      <c r="Q227" s="2">
        <f>IFERROR(__xludf.DUMMYFUNCTION("""COMPUTED_VALUE"""),4.0)</f>
        <v>4</v>
      </c>
      <c r="R227" s="2">
        <f>IFERROR(__xludf.DUMMYFUNCTION("""COMPUTED_VALUE"""),2025.0)</f>
        <v>2025</v>
      </c>
      <c r="S227" s="2" t="str">
        <f>IFERROR(__xludf.DUMMYFUNCTION("""COMPUTED_VALUE"""),"Digizag")</f>
        <v>Digizag</v>
      </c>
      <c r="T227" s="2" t="str">
        <f>IFERROR(__xludf.DUMMYFUNCTION("""COMPUTED_VALUE"""),"Digizag")</f>
        <v>Digizag</v>
      </c>
      <c r="U227" s="5">
        <f>IFERROR(__xludf.DUMMYFUNCTION("""COMPUTED_VALUE"""),77.331518152)</f>
        <v>77.33151815</v>
      </c>
      <c r="V227" s="2"/>
      <c r="W227" s="2"/>
      <c r="X227" s="2"/>
      <c r="Y227" s="2"/>
      <c r="Z227" s="2"/>
    </row>
    <row r="228">
      <c r="A228" s="6">
        <f>IFERROR(__xludf.DUMMYFUNCTION("""COMPUTED_VALUE"""),45750.229791666665)</f>
        <v>45750.22979</v>
      </c>
      <c r="B228" s="2" t="str">
        <f>IFERROR(__xludf.DUMMYFUNCTION("""COMPUTED_VALUE"""),"April")</f>
        <v>April</v>
      </c>
      <c r="C228" s="3">
        <f>IFERROR(__xludf.DUMMYFUNCTION("""COMPUTED_VALUE"""),418067.0)</f>
        <v>418067</v>
      </c>
      <c r="D228" s="2" t="str">
        <f>IFERROR(__xludf.DUMMYFUNCTION("""COMPUTED_VALUE"""),"MNN16")</f>
        <v>MNN16</v>
      </c>
      <c r="E228" s="2" t="str">
        <f>IFERROR(__xludf.DUMMYFUNCTION("""COMPUTED_VALUE"""),"Imported from file DigiZag Codes 25Feb25.xlsx")</f>
        <v>Imported from file DigiZag Codes 25Feb25.xlsx</v>
      </c>
      <c r="F228" s="2" t="str">
        <f>IFERROR(__xludf.DUMMYFUNCTION("""COMPUTED_VALUE"""),"SLZ393977")</f>
        <v>SLZ393977</v>
      </c>
      <c r="G228" s="2" t="str">
        <f>IFERROR(__xludf.DUMMYFUNCTION("""COMPUTED_VALUE"""),"UAE")</f>
        <v>UAE</v>
      </c>
      <c r="H228" s="4">
        <f>IFERROR(__xludf.DUMMYFUNCTION("""COMPUTED_VALUE"""),390.01)</f>
        <v>390.01</v>
      </c>
      <c r="I228" s="3">
        <f>IFERROR(__xludf.DUMMYFUNCTION("""COMPUTED_VALUE"""),0.0)</f>
        <v>0</v>
      </c>
      <c r="J228" s="4">
        <f>IFERROR(__xludf.DUMMYFUNCTION("""COMPUTED_VALUE"""),38.99)</f>
        <v>38.99</v>
      </c>
      <c r="K228" s="2"/>
      <c r="L228" s="2" t="str">
        <f>IFERROR(__xludf.DUMMYFUNCTION("""COMPUTED_VALUE"""),"Delivered")</f>
        <v>Delivered</v>
      </c>
      <c r="M228" s="2" t="str">
        <f>IFERROR(__xludf.DUMMYFUNCTION("""COMPUTED_VALUE"""),"AED")</f>
        <v>AED</v>
      </c>
      <c r="N228" s="2" t="str">
        <f>IFERROR(__xludf.DUMMYFUNCTION("""COMPUTED_VALUE"""),"Credit, Debit , Apple Pay")</f>
        <v>Credit, Debit , Apple Pay</v>
      </c>
      <c r="O228" s="4">
        <f>IFERROR(__xludf.DUMMYFUNCTION("""COMPUTED_VALUE"""),0.0)</f>
        <v>0</v>
      </c>
      <c r="P228" s="2">
        <f>IFERROR(__xludf.DUMMYFUNCTION("""COMPUTED_VALUE"""),3.0)</f>
        <v>3</v>
      </c>
      <c r="Q228" s="2">
        <f>IFERROR(__xludf.DUMMYFUNCTION("""COMPUTED_VALUE"""),4.0)</f>
        <v>4</v>
      </c>
      <c r="R228" s="2">
        <f>IFERROR(__xludf.DUMMYFUNCTION("""COMPUTED_VALUE"""),2025.0)</f>
        <v>2025</v>
      </c>
      <c r="S228" s="2" t="str">
        <f>IFERROR(__xludf.DUMMYFUNCTION("""COMPUTED_VALUE"""),"Digizag")</f>
        <v>Digizag</v>
      </c>
      <c r="T228" s="2" t="str">
        <f>IFERROR(__xludf.DUMMYFUNCTION("""COMPUTED_VALUE"""),"Digizag")</f>
        <v>Digizag</v>
      </c>
      <c r="U228" s="5">
        <f>IFERROR(__xludf.DUMMYFUNCTION("""COMPUTED_VALUE"""),106.19741336077999)</f>
        <v>106.1974134</v>
      </c>
      <c r="V228" s="2"/>
      <c r="W228" s="2"/>
      <c r="X228" s="2"/>
      <c r="Y228" s="2"/>
      <c r="Z228" s="2"/>
    </row>
    <row r="229">
      <c r="A229" s="6">
        <f>IFERROR(__xludf.DUMMYFUNCTION("""COMPUTED_VALUE"""),45750.24960648148)</f>
        <v>45750.24961</v>
      </c>
      <c r="B229" s="2" t="str">
        <f>IFERROR(__xludf.DUMMYFUNCTION("""COMPUTED_VALUE"""),"April")</f>
        <v>April</v>
      </c>
      <c r="C229" s="3">
        <f>IFERROR(__xludf.DUMMYFUNCTION("""COMPUTED_VALUE"""),715158.0)</f>
        <v>715158</v>
      </c>
      <c r="D229" s="2" t="str">
        <f>IFERROR(__xludf.DUMMYFUNCTION("""COMPUTED_VALUE"""),"DB1")</f>
        <v>DB1</v>
      </c>
      <c r="E229" s="2" t="str">
        <f>IFERROR(__xludf.DUMMYFUNCTION("""COMPUTED_VALUE"""),"Imported from file Digizag.xlsx")</f>
        <v>Imported from file Digizag.xlsx</v>
      </c>
      <c r="F229" s="2" t="str">
        <f>IFERROR(__xludf.DUMMYFUNCTION("""COMPUTED_VALUE"""),"GBU430572")</f>
        <v>GBU430572</v>
      </c>
      <c r="G229" s="2" t="str">
        <f>IFERROR(__xludf.DUMMYFUNCTION("""COMPUTED_VALUE"""),"Kingdom of Saudi Arabia")</f>
        <v>Kingdom of Saudi Arabia</v>
      </c>
      <c r="H229" s="4">
        <f>IFERROR(__xludf.DUMMYFUNCTION("""COMPUTED_VALUE"""),138.0)</f>
        <v>138</v>
      </c>
      <c r="I229" s="3">
        <f>IFERROR(__xludf.DUMMYFUNCTION("""COMPUTED_VALUE"""),0.0)</f>
        <v>0</v>
      </c>
      <c r="J229" s="4">
        <f>IFERROR(__xludf.DUMMYFUNCTION("""COMPUTED_VALUE"""),13.8)</f>
        <v>13.8</v>
      </c>
      <c r="K229" s="2"/>
      <c r="L229" s="2" t="str">
        <f>IFERROR(__xludf.DUMMYFUNCTION("""COMPUTED_VALUE"""),"Delivered")</f>
        <v>Delivered</v>
      </c>
      <c r="M229" s="2" t="str">
        <f>IFERROR(__xludf.DUMMYFUNCTION("""COMPUTED_VALUE"""),"SR")</f>
        <v>SR</v>
      </c>
      <c r="N229" s="2" t="str">
        <f>IFERROR(__xludf.DUMMYFUNCTION("""COMPUTED_VALUE"""),"Credit, Debit, Apple Pay")</f>
        <v>Credit, Debit, Apple Pay</v>
      </c>
      <c r="O229" s="4">
        <f>IFERROR(__xludf.DUMMYFUNCTION("""COMPUTED_VALUE"""),0.0)</f>
        <v>0</v>
      </c>
      <c r="P229" s="2">
        <f>IFERROR(__xludf.DUMMYFUNCTION("""COMPUTED_VALUE"""),3.0)</f>
        <v>3</v>
      </c>
      <c r="Q229" s="2">
        <f>IFERROR(__xludf.DUMMYFUNCTION("""COMPUTED_VALUE"""),4.0)</f>
        <v>4</v>
      </c>
      <c r="R229" s="2">
        <f>IFERROR(__xludf.DUMMYFUNCTION("""COMPUTED_VALUE"""),2025.0)</f>
        <v>2025</v>
      </c>
      <c r="S229" s="2" t="str">
        <f>IFERROR(__xludf.DUMMYFUNCTION("""COMPUTED_VALUE"""),"Digizag")</f>
        <v>Digizag</v>
      </c>
      <c r="T229" s="2" t="str">
        <f>IFERROR(__xludf.DUMMYFUNCTION("""COMPUTED_VALUE"""),"Digizag")</f>
        <v>Digizag</v>
      </c>
      <c r="U229" s="5">
        <f>IFERROR(__xludf.DUMMYFUNCTION("""COMPUTED_VALUE"""),36.79715434800001)</f>
        <v>36.79715435</v>
      </c>
      <c r="V229" s="2"/>
      <c r="W229" s="2"/>
      <c r="X229" s="2"/>
      <c r="Y229" s="2"/>
      <c r="Z229" s="2"/>
    </row>
    <row r="230">
      <c r="A230" s="6">
        <f>IFERROR(__xludf.DUMMYFUNCTION("""COMPUTED_VALUE"""),45750.53833333333)</f>
        <v>45750.53833</v>
      </c>
      <c r="B230" s="2" t="str">
        <f>IFERROR(__xludf.DUMMYFUNCTION("""COMPUTED_VALUE"""),"April")</f>
        <v>April</v>
      </c>
      <c r="C230" s="3">
        <f>IFERROR(__xludf.DUMMYFUNCTION("""COMPUTED_VALUE"""),715300.0)</f>
        <v>715300</v>
      </c>
      <c r="D230" s="2" t="str">
        <f>IFERROR(__xludf.DUMMYFUNCTION("""COMPUTED_VALUE"""),"MNN16")</f>
        <v>MNN16</v>
      </c>
      <c r="E230" s="2" t="str">
        <f>IFERROR(__xludf.DUMMYFUNCTION("""COMPUTED_VALUE"""),"Imported from file DigiZag Codes 25Feb25.xlsx")</f>
        <v>Imported from file DigiZag Codes 25Feb25.xlsx</v>
      </c>
      <c r="F230" s="2" t="str">
        <f>IFERROR(__xludf.DUMMYFUNCTION("""COMPUTED_VALUE"""),"ERD291540")</f>
        <v>ERD291540</v>
      </c>
      <c r="G230" s="2" t="str">
        <f>IFERROR(__xludf.DUMMYFUNCTION("""COMPUTED_VALUE"""),"UAE")</f>
        <v>UAE</v>
      </c>
      <c r="H230" s="4">
        <f>IFERROR(__xludf.DUMMYFUNCTION("""COMPUTED_VALUE"""),278.0)</f>
        <v>278</v>
      </c>
      <c r="I230" s="3">
        <f>IFERROR(__xludf.DUMMYFUNCTION("""COMPUTED_VALUE"""),0.0)</f>
        <v>0</v>
      </c>
      <c r="J230" s="4">
        <f>IFERROR(__xludf.DUMMYFUNCTION("""COMPUTED_VALUE"""),27.8)</f>
        <v>27.8</v>
      </c>
      <c r="K230" s="2"/>
      <c r="L230" s="2" t="str">
        <f>IFERROR(__xludf.DUMMYFUNCTION("""COMPUTED_VALUE"""),"Delivered")</f>
        <v>Delivered</v>
      </c>
      <c r="M230" s="2" t="str">
        <f>IFERROR(__xludf.DUMMYFUNCTION("""COMPUTED_VALUE"""),"AED")</f>
        <v>AED</v>
      </c>
      <c r="N230" s="2" t="str">
        <f>IFERROR(__xludf.DUMMYFUNCTION("""COMPUTED_VALUE"""),"Credit, Debit , Apple Pay")</f>
        <v>Credit, Debit , Apple Pay</v>
      </c>
      <c r="O230" s="4">
        <f>IFERROR(__xludf.DUMMYFUNCTION("""COMPUTED_VALUE"""),0.0)</f>
        <v>0</v>
      </c>
      <c r="P230" s="2">
        <f>IFERROR(__xludf.DUMMYFUNCTION("""COMPUTED_VALUE"""),3.0)</f>
        <v>3</v>
      </c>
      <c r="Q230" s="2">
        <f>IFERROR(__xludf.DUMMYFUNCTION("""COMPUTED_VALUE"""),4.0)</f>
        <v>4</v>
      </c>
      <c r="R230" s="2">
        <f>IFERROR(__xludf.DUMMYFUNCTION("""COMPUTED_VALUE"""),2025.0)</f>
        <v>2025</v>
      </c>
      <c r="S230" s="2" t="str">
        <f>IFERROR(__xludf.DUMMYFUNCTION("""COMPUTED_VALUE"""),"Digizag")</f>
        <v>Digizag</v>
      </c>
      <c r="T230" s="2" t="str">
        <f>IFERROR(__xludf.DUMMYFUNCTION("""COMPUTED_VALUE"""),"Digizag")</f>
        <v>Digizag</v>
      </c>
      <c r="U230" s="5">
        <f>IFERROR(__xludf.DUMMYFUNCTION("""COMPUTED_VALUE"""),75.697753684)</f>
        <v>75.69775368</v>
      </c>
      <c r="V230" s="2"/>
      <c r="W230" s="2"/>
      <c r="X230" s="2"/>
      <c r="Y230" s="2"/>
      <c r="Z230" s="2"/>
    </row>
    <row r="231">
      <c r="A231" s="6">
        <f>IFERROR(__xludf.DUMMYFUNCTION("""COMPUTED_VALUE"""),45750.57295138889)</f>
        <v>45750.57295</v>
      </c>
      <c r="B231" s="2" t="str">
        <f>IFERROR(__xludf.DUMMYFUNCTION("""COMPUTED_VALUE"""),"April")</f>
        <v>April</v>
      </c>
      <c r="C231" s="3">
        <f>IFERROR(__xludf.DUMMYFUNCTION("""COMPUTED_VALUE"""),711670.0)</f>
        <v>711670</v>
      </c>
      <c r="D231" s="2" t="str">
        <f>IFERROR(__xludf.DUMMYFUNCTION("""COMPUTED_VALUE"""),"MNN16")</f>
        <v>MNN16</v>
      </c>
      <c r="E231" s="2" t="str">
        <f>IFERROR(__xludf.DUMMYFUNCTION("""COMPUTED_VALUE"""),"Imported from file DigiZag Bidding Codes.xlsx")</f>
        <v>Imported from file DigiZag Bidding Codes.xlsx</v>
      </c>
      <c r="F231" s="2" t="str">
        <f>IFERROR(__xludf.DUMMYFUNCTION("""COMPUTED_VALUE"""),"SCN182849")</f>
        <v>SCN182849</v>
      </c>
      <c r="G231" s="2" t="str">
        <f>IFERROR(__xludf.DUMMYFUNCTION("""COMPUTED_VALUE"""),"Kingdom of Saudi Arabia")</f>
        <v>Kingdom of Saudi Arabia</v>
      </c>
      <c r="H231" s="4">
        <f>IFERROR(__xludf.DUMMYFUNCTION("""COMPUTED_VALUE"""),39.13)</f>
        <v>39.13</v>
      </c>
      <c r="I231" s="3">
        <f>IFERROR(__xludf.DUMMYFUNCTION("""COMPUTED_VALUE"""),0.0)</f>
        <v>0</v>
      </c>
      <c r="J231" s="4">
        <f>IFERROR(__xludf.DUMMYFUNCTION("""COMPUTED_VALUE"""),3.91)</f>
        <v>3.91</v>
      </c>
      <c r="K231" s="2"/>
      <c r="L231" s="2" t="str">
        <f>IFERROR(__xludf.DUMMYFUNCTION("""COMPUTED_VALUE"""),"Delivered")</f>
        <v>Delivered</v>
      </c>
      <c r="M231" s="2" t="str">
        <f>IFERROR(__xludf.DUMMYFUNCTION("""COMPUTED_VALUE"""),"SR")</f>
        <v>SR</v>
      </c>
      <c r="N231" s="2" t="str">
        <f>IFERROR(__xludf.DUMMYFUNCTION("""COMPUTED_VALUE"""),"Credit, Debit, Apple Pay")</f>
        <v>Credit, Debit, Apple Pay</v>
      </c>
      <c r="O231" s="4">
        <f>IFERROR(__xludf.DUMMYFUNCTION("""COMPUTED_VALUE"""),0.0)</f>
        <v>0</v>
      </c>
      <c r="P231" s="2">
        <f>IFERROR(__xludf.DUMMYFUNCTION("""COMPUTED_VALUE"""),3.0)</f>
        <v>3</v>
      </c>
      <c r="Q231" s="2">
        <f>IFERROR(__xludf.DUMMYFUNCTION("""COMPUTED_VALUE"""),4.0)</f>
        <v>4</v>
      </c>
      <c r="R231" s="2">
        <f>IFERROR(__xludf.DUMMYFUNCTION("""COMPUTED_VALUE"""),2025.0)</f>
        <v>2025</v>
      </c>
      <c r="S231" s="2" t="str">
        <f>IFERROR(__xludf.DUMMYFUNCTION("""COMPUTED_VALUE"""),"Digizag")</f>
        <v>Digizag</v>
      </c>
      <c r="T231" s="2" t="str">
        <f>IFERROR(__xludf.DUMMYFUNCTION("""COMPUTED_VALUE"""),"Digizag")</f>
        <v>Digizag</v>
      </c>
      <c r="U231" s="5">
        <f>IFERROR(__xludf.DUMMYFUNCTION("""COMPUTED_VALUE"""),10.433859779980002)</f>
        <v>10.43385978</v>
      </c>
      <c r="V231" s="2"/>
      <c r="W231" s="2"/>
      <c r="X231" s="2"/>
      <c r="Y231" s="2"/>
      <c r="Z231" s="2"/>
    </row>
    <row r="232">
      <c r="A232" s="6">
        <f>IFERROR(__xludf.DUMMYFUNCTION("""COMPUTED_VALUE"""),45750.821550925924)</f>
        <v>45750.82155</v>
      </c>
      <c r="B232" s="2" t="str">
        <f>IFERROR(__xludf.DUMMYFUNCTION("""COMPUTED_VALUE"""),"April")</f>
        <v>April</v>
      </c>
      <c r="C232" s="3">
        <f>IFERROR(__xludf.DUMMYFUNCTION("""COMPUTED_VALUE"""),715551.0)</f>
        <v>715551</v>
      </c>
      <c r="D232" s="2" t="str">
        <f>IFERROR(__xludf.DUMMYFUNCTION("""COMPUTED_VALUE"""),"MNN16")</f>
        <v>MNN16</v>
      </c>
      <c r="E232" s="2" t="str">
        <f>IFERROR(__xludf.DUMMYFUNCTION("""COMPUTED_VALUE"""),"Imported from file DigiZag Bidding Codes.xlsx")</f>
        <v>Imported from file DigiZag Bidding Codes.xlsx</v>
      </c>
      <c r="F232" s="2" t="str">
        <f>IFERROR(__xludf.DUMMYFUNCTION("""COMPUTED_VALUE"""),"HZW773544")</f>
        <v>HZW773544</v>
      </c>
      <c r="G232" s="2" t="str">
        <f>IFERROR(__xludf.DUMMYFUNCTION("""COMPUTED_VALUE"""),"Kingdom of Saudi Arabia")</f>
        <v>Kingdom of Saudi Arabia</v>
      </c>
      <c r="H232" s="4">
        <f>IFERROR(__xludf.DUMMYFUNCTION("""COMPUTED_VALUE"""),111.3)</f>
        <v>111.3</v>
      </c>
      <c r="I232" s="3">
        <f>IFERROR(__xludf.DUMMYFUNCTION("""COMPUTED_VALUE"""),0.0)</f>
        <v>0</v>
      </c>
      <c r="J232" s="4">
        <f>IFERROR(__xludf.DUMMYFUNCTION("""COMPUTED_VALUE"""),11.13)</f>
        <v>11.13</v>
      </c>
      <c r="K232" s="2"/>
      <c r="L232" s="2" t="str">
        <f>IFERROR(__xludf.DUMMYFUNCTION("""COMPUTED_VALUE"""),"Delivered")</f>
        <v>Delivered</v>
      </c>
      <c r="M232" s="2" t="str">
        <f>IFERROR(__xludf.DUMMYFUNCTION("""COMPUTED_VALUE"""),"SR")</f>
        <v>SR</v>
      </c>
      <c r="N232" s="2" t="str">
        <f>IFERROR(__xludf.DUMMYFUNCTION("""COMPUTED_VALUE"""),"Credit, Debit, Apple Pay")</f>
        <v>Credit, Debit, Apple Pay</v>
      </c>
      <c r="O232" s="4">
        <f>IFERROR(__xludf.DUMMYFUNCTION("""COMPUTED_VALUE"""),0.0)</f>
        <v>0</v>
      </c>
      <c r="P232" s="2">
        <f>IFERROR(__xludf.DUMMYFUNCTION("""COMPUTED_VALUE"""),3.0)</f>
        <v>3</v>
      </c>
      <c r="Q232" s="2">
        <f>IFERROR(__xludf.DUMMYFUNCTION("""COMPUTED_VALUE"""),4.0)</f>
        <v>4</v>
      </c>
      <c r="R232" s="2">
        <f>IFERROR(__xludf.DUMMYFUNCTION("""COMPUTED_VALUE"""),2025.0)</f>
        <v>2025</v>
      </c>
      <c r="S232" s="2" t="str">
        <f>IFERROR(__xludf.DUMMYFUNCTION("""COMPUTED_VALUE"""),"Digizag")</f>
        <v>Digizag</v>
      </c>
      <c r="T232" s="2" t="str">
        <f>IFERROR(__xludf.DUMMYFUNCTION("""COMPUTED_VALUE"""),"Digizag")</f>
        <v>Digizag</v>
      </c>
      <c r="U232" s="5">
        <f>IFERROR(__xludf.DUMMYFUNCTION("""COMPUTED_VALUE"""),29.677704919800004)</f>
        <v>29.67770492</v>
      </c>
      <c r="V232" s="2"/>
      <c r="W232" s="2"/>
      <c r="X232" s="2"/>
      <c r="Y232" s="2"/>
      <c r="Z232" s="2"/>
    </row>
    <row r="233">
      <c r="A233" s="6">
        <f>IFERROR(__xludf.DUMMYFUNCTION("""COMPUTED_VALUE"""),45750.84898148148)</f>
        <v>45750.84898</v>
      </c>
      <c r="B233" s="2" t="str">
        <f>IFERROR(__xludf.DUMMYFUNCTION("""COMPUTED_VALUE"""),"April")</f>
        <v>April</v>
      </c>
      <c r="C233" s="3">
        <f>IFERROR(__xludf.DUMMYFUNCTION("""COMPUTED_VALUE"""),715578.0)</f>
        <v>715578</v>
      </c>
      <c r="D233" s="2" t="str">
        <f>IFERROR(__xludf.DUMMYFUNCTION("""COMPUTED_VALUE"""),"MNN16")</f>
        <v>MNN16</v>
      </c>
      <c r="E233" s="2" t="str">
        <f>IFERROR(__xludf.DUMMYFUNCTION("""COMPUTED_VALUE"""),"Imported from file DigiZag Codes 25Feb25.xlsx")</f>
        <v>Imported from file DigiZag Codes 25Feb25.xlsx</v>
      </c>
      <c r="F233" s="2" t="str">
        <f>IFERROR(__xludf.DUMMYFUNCTION("""COMPUTED_VALUE"""),"GRS688837")</f>
        <v>GRS688837</v>
      </c>
      <c r="G233" s="2" t="str">
        <f>IFERROR(__xludf.DUMMYFUNCTION("""COMPUTED_VALUE"""),"UAE")</f>
        <v>UAE</v>
      </c>
      <c r="H233" s="4">
        <f>IFERROR(__xludf.DUMMYFUNCTION("""COMPUTED_VALUE"""),184.0)</f>
        <v>184</v>
      </c>
      <c r="I233" s="3">
        <f>IFERROR(__xludf.DUMMYFUNCTION("""COMPUTED_VALUE"""),0.0)</f>
        <v>0</v>
      </c>
      <c r="J233" s="4">
        <f>IFERROR(__xludf.DUMMYFUNCTION("""COMPUTED_VALUE"""),18.4)</f>
        <v>18.4</v>
      </c>
      <c r="K233" s="2"/>
      <c r="L233" s="2" t="str">
        <f>IFERROR(__xludf.DUMMYFUNCTION("""COMPUTED_VALUE"""),"Delivered")</f>
        <v>Delivered</v>
      </c>
      <c r="M233" s="2" t="str">
        <f>IFERROR(__xludf.DUMMYFUNCTION("""COMPUTED_VALUE"""),"AED")</f>
        <v>AED</v>
      </c>
      <c r="N233" s="2" t="str">
        <f>IFERROR(__xludf.DUMMYFUNCTION("""COMPUTED_VALUE"""),"Credit, Debit , Apple Pay")</f>
        <v>Credit, Debit , Apple Pay</v>
      </c>
      <c r="O233" s="4">
        <f>IFERROR(__xludf.DUMMYFUNCTION("""COMPUTED_VALUE"""),0.0)</f>
        <v>0</v>
      </c>
      <c r="P233" s="2">
        <f>IFERROR(__xludf.DUMMYFUNCTION("""COMPUTED_VALUE"""),3.0)</f>
        <v>3</v>
      </c>
      <c r="Q233" s="2">
        <f>IFERROR(__xludf.DUMMYFUNCTION("""COMPUTED_VALUE"""),4.0)</f>
        <v>4</v>
      </c>
      <c r="R233" s="2">
        <f>IFERROR(__xludf.DUMMYFUNCTION("""COMPUTED_VALUE"""),2025.0)</f>
        <v>2025</v>
      </c>
      <c r="S233" s="2" t="str">
        <f>IFERROR(__xludf.DUMMYFUNCTION("""COMPUTED_VALUE"""),"Digizag")</f>
        <v>Digizag</v>
      </c>
      <c r="T233" s="2" t="str">
        <f>IFERROR(__xludf.DUMMYFUNCTION("""COMPUTED_VALUE"""),"Digizag")</f>
        <v>Digizag</v>
      </c>
      <c r="U233" s="5">
        <f>IFERROR(__xludf.DUMMYFUNCTION("""COMPUTED_VALUE"""),50.102110352)</f>
        <v>50.10211035</v>
      </c>
      <c r="V233" s="2"/>
      <c r="W233" s="2"/>
      <c r="X233" s="2"/>
      <c r="Y233" s="2"/>
      <c r="Z233" s="2"/>
    </row>
    <row r="234">
      <c r="A234" s="6">
        <f>IFERROR(__xludf.DUMMYFUNCTION("""COMPUTED_VALUE"""),45750.911215277774)</f>
        <v>45750.91122</v>
      </c>
      <c r="B234" s="2" t="str">
        <f>IFERROR(__xludf.DUMMYFUNCTION("""COMPUTED_VALUE"""),"April")</f>
        <v>April</v>
      </c>
      <c r="C234" s="3">
        <f>IFERROR(__xludf.DUMMYFUNCTION("""COMPUTED_VALUE"""),715624.0)</f>
        <v>715624</v>
      </c>
      <c r="D234" s="2" t="str">
        <f>IFERROR(__xludf.DUMMYFUNCTION("""COMPUTED_VALUE"""),"MNN16")</f>
        <v>MNN16</v>
      </c>
      <c r="E234" s="2" t="str">
        <f>IFERROR(__xludf.DUMMYFUNCTION("""COMPUTED_VALUE"""),"Imported from file DigiZag Codes 25Feb25.xlsx")</f>
        <v>Imported from file DigiZag Codes 25Feb25.xlsx</v>
      </c>
      <c r="F234" s="2" t="str">
        <f>IFERROR(__xludf.DUMMYFUNCTION("""COMPUTED_VALUE"""),"VUY126412")</f>
        <v>VUY126412</v>
      </c>
      <c r="G234" s="2" t="str">
        <f>IFERROR(__xludf.DUMMYFUNCTION("""COMPUTED_VALUE"""),"UAE")</f>
        <v>UAE</v>
      </c>
      <c r="H234" s="4">
        <f>IFERROR(__xludf.DUMMYFUNCTION("""COMPUTED_VALUE"""),162.0)</f>
        <v>162</v>
      </c>
      <c r="I234" s="3">
        <f>IFERROR(__xludf.DUMMYFUNCTION("""COMPUTED_VALUE"""),0.0)</f>
        <v>0</v>
      </c>
      <c r="J234" s="4">
        <f>IFERROR(__xludf.DUMMYFUNCTION("""COMPUTED_VALUE"""),16.2)</f>
        <v>16.2</v>
      </c>
      <c r="K234" s="2"/>
      <c r="L234" s="2" t="str">
        <f>IFERROR(__xludf.DUMMYFUNCTION("""COMPUTED_VALUE"""),"Delivered")</f>
        <v>Delivered</v>
      </c>
      <c r="M234" s="2" t="str">
        <f>IFERROR(__xludf.DUMMYFUNCTION("""COMPUTED_VALUE"""),"AED")</f>
        <v>AED</v>
      </c>
      <c r="N234" s="2" t="str">
        <f>IFERROR(__xludf.DUMMYFUNCTION("""COMPUTED_VALUE"""),"Credit, Debit , Apple Pay")</f>
        <v>Credit, Debit , Apple Pay</v>
      </c>
      <c r="O234" s="4">
        <f>IFERROR(__xludf.DUMMYFUNCTION("""COMPUTED_VALUE"""),0.0)</f>
        <v>0</v>
      </c>
      <c r="P234" s="2">
        <f>IFERROR(__xludf.DUMMYFUNCTION("""COMPUTED_VALUE"""),3.0)</f>
        <v>3</v>
      </c>
      <c r="Q234" s="2">
        <f>IFERROR(__xludf.DUMMYFUNCTION("""COMPUTED_VALUE"""),4.0)</f>
        <v>4</v>
      </c>
      <c r="R234" s="2">
        <f>IFERROR(__xludf.DUMMYFUNCTION("""COMPUTED_VALUE"""),2025.0)</f>
        <v>2025</v>
      </c>
      <c r="S234" s="2" t="str">
        <f>IFERROR(__xludf.DUMMYFUNCTION("""COMPUTED_VALUE"""),"Digizag")</f>
        <v>Digizag</v>
      </c>
      <c r="T234" s="2" t="str">
        <f>IFERROR(__xludf.DUMMYFUNCTION("""COMPUTED_VALUE"""),"Digizag")</f>
        <v>Digizag</v>
      </c>
      <c r="U234" s="5">
        <f>IFERROR(__xludf.DUMMYFUNCTION("""COMPUTED_VALUE"""),44.111640636)</f>
        <v>44.11164064</v>
      </c>
      <c r="V234" s="2"/>
      <c r="W234" s="2"/>
      <c r="X234" s="2"/>
      <c r="Y234" s="2"/>
      <c r="Z234" s="2"/>
    </row>
    <row r="235">
      <c r="A235" s="6">
        <f>IFERROR(__xludf.DUMMYFUNCTION("""COMPUTED_VALUE"""),45751.06618055555)</f>
        <v>45751.06618</v>
      </c>
      <c r="B235" s="2" t="str">
        <f>IFERROR(__xludf.DUMMYFUNCTION("""COMPUTED_VALUE"""),"April")</f>
        <v>April</v>
      </c>
      <c r="C235" s="3">
        <f>IFERROR(__xludf.DUMMYFUNCTION("""COMPUTED_VALUE"""),715708.0)</f>
        <v>715708</v>
      </c>
      <c r="D235" s="2" t="str">
        <f>IFERROR(__xludf.DUMMYFUNCTION("""COMPUTED_VALUE"""),"MNN16")</f>
        <v>MNN16</v>
      </c>
      <c r="E235" s="2" t="str">
        <f>IFERROR(__xludf.DUMMYFUNCTION("""COMPUTED_VALUE"""),"Imported from file DigiZag Bidding Codes.xlsx")</f>
        <v>Imported from file DigiZag Bidding Codes.xlsx</v>
      </c>
      <c r="F235" s="2" t="str">
        <f>IFERROR(__xludf.DUMMYFUNCTION("""COMPUTED_VALUE"""),"VSG423292")</f>
        <v>VSG423292</v>
      </c>
      <c r="G235" s="2" t="str">
        <f>IFERROR(__xludf.DUMMYFUNCTION("""COMPUTED_VALUE"""),"Kingdom of Saudi Arabia")</f>
        <v>Kingdom of Saudi Arabia</v>
      </c>
      <c r="H235" s="4">
        <f>IFERROR(__xludf.DUMMYFUNCTION("""COMPUTED_VALUE"""),30.43)</f>
        <v>30.43</v>
      </c>
      <c r="I235" s="3">
        <f>IFERROR(__xludf.DUMMYFUNCTION("""COMPUTED_VALUE"""),0.0)</f>
        <v>0</v>
      </c>
      <c r="J235" s="4">
        <f>IFERROR(__xludf.DUMMYFUNCTION("""COMPUTED_VALUE"""),3.04)</f>
        <v>3.04</v>
      </c>
      <c r="K235" s="2"/>
      <c r="L235" s="2" t="str">
        <f>IFERROR(__xludf.DUMMYFUNCTION("""COMPUTED_VALUE"""),"Delivered")</f>
        <v>Delivered</v>
      </c>
      <c r="M235" s="2" t="str">
        <f>IFERROR(__xludf.DUMMYFUNCTION("""COMPUTED_VALUE"""),"SR")</f>
        <v>SR</v>
      </c>
      <c r="N235" s="2" t="str">
        <f>IFERROR(__xludf.DUMMYFUNCTION("""COMPUTED_VALUE"""),"Credit, Debit, Apple Pay")</f>
        <v>Credit, Debit, Apple Pay</v>
      </c>
      <c r="O235" s="4">
        <f>IFERROR(__xludf.DUMMYFUNCTION("""COMPUTED_VALUE"""),0.0)</f>
        <v>0</v>
      </c>
      <c r="P235" s="2">
        <f>IFERROR(__xludf.DUMMYFUNCTION("""COMPUTED_VALUE"""),4.0)</f>
        <v>4</v>
      </c>
      <c r="Q235" s="2">
        <f>IFERROR(__xludf.DUMMYFUNCTION("""COMPUTED_VALUE"""),4.0)</f>
        <v>4</v>
      </c>
      <c r="R235" s="2">
        <f>IFERROR(__xludf.DUMMYFUNCTION("""COMPUTED_VALUE"""),2025.0)</f>
        <v>2025</v>
      </c>
      <c r="S235" s="2" t="str">
        <f>IFERROR(__xludf.DUMMYFUNCTION("""COMPUTED_VALUE"""),"Digizag")</f>
        <v>Digizag</v>
      </c>
      <c r="T235" s="2" t="str">
        <f>IFERROR(__xludf.DUMMYFUNCTION("""COMPUTED_VALUE"""),"Digizag")</f>
        <v>Digizag</v>
      </c>
      <c r="U235" s="5">
        <f>IFERROR(__xludf.DUMMYFUNCTION("""COMPUTED_VALUE"""),8.11403917978)</f>
        <v>8.11403918</v>
      </c>
      <c r="V235" s="2"/>
      <c r="W235" s="2"/>
      <c r="X235" s="2"/>
      <c r="Y235" s="2"/>
      <c r="Z235" s="2"/>
    </row>
    <row r="236">
      <c r="A236" s="6">
        <f>IFERROR(__xludf.DUMMYFUNCTION("""COMPUTED_VALUE"""),45751.07671296296)</f>
        <v>45751.07671</v>
      </c>
      <c r="B236" s="2" t="str">
        <f>IFERROR(__xludf.DUMMYFUNCTION("""COMPUTED_VALUE"""),"April")</f>
        <v>April</v>
      </c>
      <c r="C236" s="3">
        <f>IFERROR(__xludf.DUMMYFUNCTION("""COMPUTED_VALUE"""),715711.0)</f>
        <v>715711</v>
      </c>
      <c r="D236" s="2" t="str">
        <f>IFERROR(__xludf.DUMMYFUNCTION("""COMPUTED_VALUE"""),"MNN16")</f>
        <v>MNN16</v>
      </c>
      <c r="E236" s="2" t="str">
        <f>IFERROR(__xludf.DUMMYFUNCTION("""COMPUTED_VALUE"""),"Imported from file DigiZag Bidding Codes.xlsx")</f>
        <v>Imported from file DigiZag Bidding Codes.xlsx</v>
      </c>
      <c r="F236" s="2" t="str">
        <f>IFERROR(__xludf.DUMMYFUNCTION("""COMPUTED_VALUE"""),"WWE560027")</f>
        <v>WWE560027</v>
      </c>
      <c r="G236" s="2" t="str">
        <f>IFERROR(__xludf.DUMMYFUNCTION("""COMPUTED_VALUE"""),"Kingdom of Saudi Arabia")</f>
        <v>Kingdom of Saudi Arabia</v>
      </c>
      <c r="H236" s="4">
        <f>IFERROR(__xludf.DUMMYFUNCTION("""COMPUTED_VALUE"""),86.0)</f>
        <v>86</v>
      </c>
      <c r="I236" s="3">
        <f>IFERROR(__xludf.DUMMYFUNCTION("""COMPUTED_VALUE"""),0.0)</f>
        <v>0</v>
      </c>
      <c r="J236" s="4">
        <f>IFERROR(__xludf.DUMMYFUNCTION("""COMPUTED_VALUE"""),8.6)</f>
        <v>8.6</v>
      </c>
      <c r="K236" s="2"/>
      <c r="L236" s="2" t="str">
        <f>IFERROR(__xludf.DUMMYFUNCTION("""COMPUTED_VALUE"""),"Delivered")</f>
        <v>Delivered</v>
      </c>
      <c r="M236" s="2" t="str">
        <f>IFERROR(__xludf.DUMMYFUNCTION("""COMPUTED_VALUE"""),"SR")</f>
        <v>SR</v>
      </c>
      <c r="N236" s="2" t="str">
        <f>IFERROR(__xludf.DUMMYFUNCTION("""COMPUTED_VALUE"""),"Credit, Debit, Apple Pay")</f>
        <v>Credit, Debit, Apple Pay</v>
      </c>
      <c r="O236" s="4">
        <f>IFERROR(__xludf.DUMMYFUNCTION("""COMPUTED_VALUE"""),0.0)</f>
        <v>0</v>
      </c>
      <c r="P236" s="2">
        <f>IFERROR(__xludf.DUMMYFUNCTION("""COMPUTED_VALUE"""),4.0)</f>
        <v>4</v>
      </c>
      <c r="Q236" s="2">
        <f>IFERROR(__xludf.DUMMYFUNCTION("""COMPUTED_VALUE"""),4.0)</f>
        <v>4</v>
      </c>
      <c r="R236" s="2">
        <f>IFERROR(__xludf.DUMMYFUNCTION("""COMPUTED_VALUE"""),2025.0)</f>
        <v>2025</v>
      </c>
      <c r="S236" s="2" t="str">
        <f>IFERROR(__xludf.DUMMYFUNCTION("""COMPUTED_VALUE"""),"Digizag")</f>
        <v>Digizag</v>
      </c>
      <c r="T236" s="2" t="str">
        <f>IFERROR(__xludf.DUMMYFUNCTION("""COMPUTED_VALUE"""),"Digizag")</f>
        <v>Digizag</v>
      </c>
      <c r="U236" s="5">
        <f>IFERROR(__xludf.DUMMYFUNCTION("""COMPUTED_VALUE"""),22.931559956)</f>
        <v>22.93155996</v>
      </c>
      <c r="V236" s="2"/>
      <c r="W236" s="2"/>
      <c r="X236" s="2"/>
      <c r="Y236" s="2"/>
      <c r="Z236" s="2"/>
    </row>
    <row r="237">
      <c r="A237" s="6">
        <f>IFERROR(__xludf.DUMMYFUNCTION("""COMPUTED_VALUE"""),45751.374131944445)</f>
        <v>45751.37413</v>
      </c>
      <c r="B237" s="2" t="str">
        <f>IFERROR(__xludf.DUMMYFUNCTION("""COMPUTED_VALUE"""),"April")</f>
        <v>April</v>
      </c>
      <c r="C237" s="3">
        <f>IFERROR(__xludf.DUMMYFUNCTION("""COMPUTED_VALUE"""),715799.0)</f>
        <v>715799</v>
      </c>
      <c r="D237" s="2" t="str">
        <f>IFERROR(__xludf.DUMMYFUNCTION("""COMPUTED_VALUE"""),"MNN16")</f>
        <v>MNN16</v>
      </c>
      <c r="E237" s="2" t="str">
        <f>IFERROR(__xludf.DUMMYFUNCTION("""COMPUTED_VALUE"""),"Imported from file DigiZag Codes 25Feb25.xlsx")</f>
        <v>Imported from file DigiZag Codes 25Feb25.xlsx</v>
      </c>
      <c r="F237" s="2" t="str">
        <f>IFERROR(__xludf.DUMMYFUNCTION("""COMPUTED_VALUE"""),"LJX730446")</f>
        <v>LJX730446</v>
      </c>
      <c r="G237" s="2" t="str">
        <f>IFERROR(__xludf.DUMMYFUNCTION("""COMPUTED_VALUE"""),"UAE")</f>
        <v>UAE</v>
      </c>
      <c r="H237" s="4">
        <f>IFERROR(__xludf.DUMMYFUNCTION("""COMPUTED_VALUE"""),301.0)</f>
        <v>301</v>
      </c>
      <c r="I237" s="3">
        <f>IFERROR(__xludf.DUMMYFUNCTION("""COMPUTED_VALUE"""),0.0)</f>
        <v>0</v>
      </c>
      <c r="J237" s="4">
        <f>IFERROR(__xludf.DUMMYFUNCTION("""COMPUTED_VALUE"""),30.1)</f>
        <v>30.1</v>
      </c>
      <c r="K237" s="2"/>
      <c r="L237" s="2" t="str">
        <f>IFERROR(__xludf.DUMMYFUNCTION("""COMPUTED_VALUE"""),"Delivered")</f>
        <v>Delivered</v>
      </c>
      <c r="M237" s="2" t="str">
        <f>IFERROR(__xludf.DUMMYFUNCTION("""COMPUTED_VALUE"""),"AED")</f>
        <v>AED</v>
      </c>
      <c r="N237" s="2" t="str">
        <f>IFERROR(__xludf.DUMMYFUNCTION("""COMPUTED_VALUE"""),"Credit, Debit , Apple Pay")</f>
        <v>Credit, Debit , Apple Pay</v>
      </c>
      <c r="O237" s="4">
        <f>IFERROR(__xludf.DUMMYFUNCTION("""COMPUTED_VALUE"""),0.0)</f>
        <v>0</v>
      </c>
      <c r="P237" s="2">
        <f>IFERROR(__xludf.DUMMYFUNCTION("""COMPUTED_VALUE"""),4.0)</f>
        <v>4</v>
      </c>
      <c r="Q237" s="2">
        <f>IFERROR(__xludf.DUMMYFUNCTION("""COMPUTED_VALUE"""),4.0)</f>
        <v>4</v>
      </c>
      <c r="R237" s="2">
        <f>IFERROR(__xludf.DUMMYFUNCTION("""COMPUTED_VALUE"""),2025.0)</f>
        <v>2025</v>
      </c>
      <c r="S237" s="2" t="str">
        <f>IFERROR(__xludf.DUMMYFUNCTION("""COMPUTED_VALUE"""),"Digizag")</f>
        <v>Digizag</v>
      </c>
      <c r="T237" s="2" t="str">
        <f>IFERROR(__xludf.DUMMYFUNCTION("""COMPUTED_VALUE"""),"Digizag")</f>
        <v>Digizag</v>
      </c>
      <c r="U237" s="5">
        <f>IFERROR(__xludf.DUMMYFUNCTION("""COMPUTED_VALUE"""),81.960517478)</f>
        <v>81.96051748</v>
      </c>
      <c r="V237" s="2"/>
      <c r="W237" s="2"/>
      <c r="X237" s="2"/>
      <c r="Y237" s="2"/>
      <c r="Z237" s="2"/>
    </row>
    <row r="238">
      <c r="A238" s="6">
        <f>IFERROR(__xludf.DUMMYFUNCTION("""COMPUTED_VALUE"""),45751.49177083333)</f>
        <v>45751.49177</v>
      </c>
      <c r="B238" s="2" t="str">
        <f>IFERROR(__xludf.DUMMYFUNCTION("""COMPUTED_VALUE"""),"April")</f>
        <v>April</v>
      </c>
      <c r="C238" s="3">
        <f>IFERROR(__xludf.DUMMYFUNCTION("""COMPUTED_VALUE"""),715887.0)</f>
        <v>715887</v>
      </c>
      <c r="D238" s="2" t="str">
        <f>IFERROR(__xludf.DUMMYFUNCTION("""COMPUTED_VALUE"""),"MNN16")</f>
        <v>MNN16</v>
      </c>
      <c r="E238" s="2" t="str">
        <f>IFERROR(__xludf.DUMMYFUNCTION("""COMPUTED_VALUE"""),"Imported from file DigiZag Codes 25Feb25.xlsx")</f>
        <v>Imported from file DigiZag Codes 25Feb25.xlsx</v>
      </c>
      <c r="F238" s="2" t="str">
        <f>IFERROR(__xludf.DUMMYFUNCTION("""COMPUTED_VALUE"""),"MPD778445")</f>
        <v>MPD778445</v>
      </c>
      <c r="G238" s="2" t="str">
        <f>IFERROR(__xludf.DUMMYFUNCTION("""COMPUTED_VALUE"""),"Bahrain")</f>
        <v>Bahrain</v>
      </c>
      <c r="H238" s="4">
        <f>IFERROR(__xludf.DUMMYFUNCTION("""COMPUTED_VALUE"""),16.5)</f>
        <v>16.5</v>
      </c>
      <c r="I238" s="3">
        <f>IFERROR(__xludf.DUMMYFUNCTION("""COMPUTED_VALUE"""),0.0)</f>
        <v>0</v>
      </c>
      <c r="J238" s="4">
        <f>IFERROR(__xludf.DUMMYFUNCTION("""COMPUTED_VALUE"""),1.64)</f>
        <v>1.64</v>
      </c>
      <c r="K238" s="2"/>
      <c r="L238" s="2" t="str">
        <f>IFERROR(__xludf.DUMMYFUNCTION("""COMPUTED_VALUE"""),"Delivered")</f>
        <v>Delivered</v>
      </c>
      <c r="M238" s="2" t="str">
        <f>IFERROR(__xludf.DUMMYFUNCTION("""COMPUTED_VALUE"""),"BHD")</f>
        <v>BHD</v>
      </c>
      <c r="N238" s="2" t="str">
        <f>IFERROR(__xludf.DUMMYFUNCTION("""COMPUTED_VALUE"""),"Credit, Debit")</f>
        <v>Credit, Debit</v>
      </c>
      <c r="O238" s="4">
        <f>IFERROR(__xludf.DUMMYFUNCTION("""COMPUTED_VALUE"""),0.0)</f>
        <v>0</v>
      </c>
      <c r="P238" s="2">
        <f>IFERROR(__xludf.DUMMYFUNCTION("""COMPUTED_VALUE"""),4.0)</f>
        <v>4</v>
      </c>
      <c r="Q238" s="2">
        <f>IFERROR(__xludf.DUMMYFUNCTION("""COMPUTED_VALUE"""),4.0)</f>
        <v>4</v>
      </c>
      <c r="R238" s="2">
        <f>IFERROR(__xludf.DUMMYFUNCTION("""COMPUTED_VALUE"""),2025.0)</f>
        <v>2025</v>
      </c>
      <c r="S238" s="2" t="str">
        <f>IFERROR(__xludf.DUMMYFUNCTION("""COMPUTED_VALUE"""),"Digizag")</f>
        <v>Digizag</v>
      </c>
      <c r="T238" s="2" t="str">
        <f>IFERROR(__xludf.DUMMYFUNCTION("""COMPUTED_VALUE"""),"Digizag")</f>
        <v>Digizag</v>
      </c>
      <c r="U238" s="5">
        <f>IFERROR(__xludf.DUMMYFUNCTION("""COMPUTED_VALUE"""),43.7731305)</f>
        <v>43.7731305</v>
      </c>
      <c r="V238" s="2"/>
      <c r="W238" s="2"/>
      <c r="X238" s="2"/>
      <c r="Y238" s="2"/>
      <c r="Z238" s="2"/>
    </row>
    <row r="239">
      <c r="A239" s="6">
        <f>IFERROR(__xludf.DUMMYFUNCTION("""COMPUTED_VALUE"""),45751.49438657407)</f>
        <v>45751.49439</v>
      </c>
      <c r="B239" s="2" t="str">
        <f>IFERROR(__xludf.DUMMYFUNCTION("""COMPUTED_VALUE"""),"April")</f>
        <v>April</v>
      </c>
      <c r="C239" s="3">
        <f>IFERROR(__xludf.DUMMYFUNCTION("""COMPUTED_VALUE"""),22162.0)</f>
        <v>22162</v>
      </c>
      <c r="D239" s="2" t="str">
        <f>IFERROR(__xludf.DUMMYFUNCTION("""COMPUTED_VALUE"""),"DB33")</f>
        <v>DB33</v>
      </c>
      <c r="E239" s="2" t="str">
        <f>IFERROR(__xludf.DUMMYFUNCTION("""COMPUTED_VALUE"""),"Imported from file Digizag.xlsx")</f>
        <v>Imported from file Digizag.xlsx</v>
      </c>
      <c r="F239" s="2" t="str">
        <f>IFERROR(__xludf.DUMMYFUNCTION("""COMPUTED_VALUE"""),"SUW222412")</f>
        <v>SUW222412</v>
      </c>
      <c r="G239" s="2" t="str">
        <f>IFERROR(__xludf.DUMMYFUNCTION("""COMPUTED_VALUE"""),"Kuwait")</f>
        <v>Kuwait</v>
      </c>
      <c r="H239" s="4">
        <f>IFERROR(__xludf.DUMMYFUNCTION("""COMPUTED_VALUE"""),8.5)</f>
        <v>8.5</v>
      </c>
      <c r="I239" s="3">
        <f>IFERROR(__xludf.DUMMYFUNCTION("""COMPUTED_VALUE"""),0.0)</f>
        <v>0</v>
      </c>
      <c r="J239" s="4">
        <f>IFERROR(__xludf.DUMMYFUNCTION("""COMPUTED_VALUE"""),0.85)</f>
        <v>0.85</v>
      </c>
      <c r="K239" s="2"/>
      <c r="L239" s="2" t="str">
        <f>IFERROR(__xludf.DUMMYFUNCTION("""COMPUTED_VALUE"""),"Delivered")</f>
        <v>Delivered</v>
      </c>
      <c r="M239" s="2" t="str">
        <f>IFERROR(__xludf.DUMMYFUNCTION("""COMPUTED_VALUE"""),"KD")</f>
        <v>KD</v>
      </c>
      <c r="N239" s="2" t="str">
        <f>IFERROR(__xludf.DUMMYFUNCTION("""COMPUTED_VALUE"""),"Credit, Debit, Knet")</f>
        <v>Credit, Debit, Knet</v>
      </c>
      <c r="O239" s="4">
        <f>IFERROR(__xludf.DUMMYFUNCTION("""COMPUTED_VALUE"""),0.0)</f>
        <v>0</v>
      </c>
      <c r="P239" s="2">
        <f>IFERROR(__xludf.DUMMYFUNCTION("""COMPUTED_VALUE"""),4.0)</f>
        <v>4</v>
      </c>
      <c r="Q239" s="2">
        <f>IFERROR(__xludf.DUMMYFUNCTION("""COMPUTED_VALUE"""),4.0)</f>
        <v>4</v>
      </c>
      <c r="R239" s="2">
        <f>IFERROR(__xludf.DUMMYFUNCTION("""COMPUTED_VALUE"""),2025.0)</f>
        <v>2025</v>
      </c>
      <c r="S239" s="2" t="str">
        <f>IFERROR(__xludf.DUMMYFUNCTION("""COMPUTED_VALUE"""),"Digizag")</f>
        <v>Digizag</v>
      </c>
      <c r="T239" s="2" t="str">
        <f>IFERROR(__xludf.DUMMYFUNCTION("""COMPUTED_VALUE"""),"Digizag")</f>
        <v>Digizag</v>
      </c>
      <c r="U239" s="5">
        <f>IFERROR(__xludf.DUMMYFUNCTION("""COMPUTED_VALUE"""),27.71527)</f>
        <v>27.71527</v>
      </c>
      <c r="V239" s="2"/>
      <c r="W239" s="2"/>
      <c r="X239" s="2"/>
      <c r="Y239" s="2"/>
      <c r="Z239" s="2"/>
    </row>
    <row r="240">
      <c r="A240" s="6">
        <f>IFERROR(__xludf.DUMMYFUNCTION("""COMPUTED_VALUE"""),45751.5921875)</f>
        <v>45751.59219</v>
      </c>
      <c r="B240" s="2" t="str">
        <f>IFERROR(__xludf.DUMMYFUNCTION("""COMPUTED_VALUE"""),"April")</f>
        <v>April</v>
      </c>
      <c r="C240" s="3">
        <f>IFERROR(__xludf.DUMMYFUNCTION("""COMPUTED_VALUE"""),244595.0)</f>
        <v>244595</v>
      </c>
      <c r="D240" s="2" t="str">
        <f>IFERROR(__xludf.DUMMYFUNCTION("""COMPUTED_VALUE"""),"MNN16")</f>
        <v>MNN16</v>
      </c>
      <c r="E240" s="2" t="str">
        <f>IFERROR(__xludf.DUMMYFUNCTION("""COMPUTED_VALUE"""),"Imported from file DigiZag Bidding Codes.xlsx")</f>
        <v>Imported from file DigiZag Bidding Codes.xlsx</v>
      </c>
      <c r="F240" s="2" t="str">
        <f>IFERROR(__xludf.DUMMYFUNCTION("""COMPUTED_VALUE"""),"QGS866520")</f>
        <v>QGS866520</v>
      </c>
      <c r="G240" s="2" t="str">
        <f>IFERROR(__xludf.DUMMYFUNCTION("""COMPUTED_VALUE"""),"Kingdom of Saudi Arabia")</f>
        <v>Kingdom of Saudi Arabia</v>
      </c>
      <c r="H240" s="4">
        <f>IFERROR(__xludf.DUMMYFUNCTION("""COMPUTED_VALUE"""),120.87)</f>
        <v>120.87</v>
      </c>
      <c r="I240" s="3">
        <f>IFERROR(__xludf.DUMMYFUNCTION("""COMPUTED_VALUE"""),0.0)</f>
        <v>0</v>
      </c>
      <c r="J240" s="4">
        <f>IFERROR(__xludf.DUMMYFUNCTION("""COMPUTED_VALUE"""),12.08)</f>
        <v>12.08</v>
      </c>
      <c r="K240" s="2"/>
      <c r="L240" s="2" t="str">
        <f>IFERROR(__xludf.DUMMYFUNCTION("""COMPUTED_VALUE"""),"Delivered")</f>
        <v>Delivered</v>
      </c>
      <c r="M240" s="2" t="str">
        <f>IFERROR(__xludf.DUMMYFUNCTION("""COMPUTED_VALUE"""),"SR")</f>
        <v>SR</v>
      </c>
      <c r="N240" s="2" t="str">
        <f>IFERROR(__xludf.DUMMYFUNCTION("""COMPUTED_VALUE"""),"Credit, Debit, Apple Pay")</f>
        <v>Credit, Debit, Apple Pay</v>
      </c>
      <c r="O240" s="4">
        <f>IFERROR(__xludf.DUMMYFUNCTION("""COMPUTED_VALUE"""),0.0)</f>
        <v>0</v>
      </c>
      <c r="P240" s="2">
        <f>IFERROR(__xludf.DUMMYFUNCTION("""COMPUTED_VALUE"""),4.0)</f>
        <v>4</v>
      </c>
      <c r="Q240" s="2">
        <f>IFERROR(__xludf.DUMMYFUNCTION("""COMPUTED_VALUE"""),4.0)</f>
        <v>4</v>
      </c>
      <c r="R240" s="2">
        <f>IFERROR(__xludf.DUMMYFUNCTION("""COMPUTED_VALUE"""),2025.0)</f>
        <v>2025</v>
      </c>
      <c r="S240" s="2" t="str">
        <f>IFERROR(__xludf.DUMMYFUNCTION("""COMPUTED_VALUE"""),"Digizag")</f>
        <v>Digizag</v>
      </c>
      <c r="T240" s="2" t="str">
        <f>IFERROR(__xludf.DUMMYFUNCTION("""COMPUTED_VALUE"""),"Digizag")</f>
        <v>Digizag</v>
      </c>
      <c r="U240" s="5">
        <f>IFERROR(__xludf.DUMMYFUNCTION("""COMPUTED_VALUE"""),32.229507580020005)</f>
        <v>32.22950758</v>
      </c>
      <c r="V240" s="2"/>
      <c r="W240" s="2"/>
      <c r="X240" s="2"/>
      <c r="Y240" s="2"/>
      <c r="Z240" s="2"/>
    </row>
    <row r="241">
      <c r="A241" s="6">
        <f>IFERROR(__xludf.DUMMYFUNCTION("""COMPUTED_VALUE"""),45751.60021990741)</f>
        <v>45751.60022</v>
      </c>
      <c r="B241" s="2" t="str">
        <f>IFERROR(__xludf.DUMMYFUNCTION("""COMPUTED_VALUE"""),"April")</f>
        <v>April</v>
      </c>
      <c r="C241" s="3">
        <f>IFERROR(__xludf.DUMMYFUNCTION("""COMPUTED_VALUE"""),715997.0)</f>
        <v>715997</v>
      </c>
      <c r="D241" s="2" t="str">
        <f>IFERROR(__xludf.DUMMYFUNCTION("""COMPUTED_VALUE"""),"MNN16")</f>
        <v>MNN16</v>
      </c>
      <c r="E241" s="2" t="str">
        <f>IFERROR(__xludf.DUMMYFUNCTION("""COMPUTED_VALUE"""),"Imported from file DigiZag Bidding Codes.xlsx")</f>
        <v>Imported from file DigiZag Bidding Codes.xlsx</v>
      </c>
      <c r="F241" s="2" t="str">
        <f>IFERROR(__xludf.DUMMYFUNCTION("""COMPUTED_VALUE"""),"WCB322372")</f>
        <v>WCB322372</v>
      </c>
      <c r="G241" s="2" t="str">
        <f>IFERROR(__xludf.DUMMYFUNCTION("""COMPUTED_VALUE"""),"Kingdom of Saudi Arabia")</f>
        <v>Kingdom of Saudi Arabia</v>
      </c>
      <c r="H241" s="4">
        <f>IFERROR(__xludf.DUMMYFUNCTION("""COMPUTED_VALUE"""),470.19)</f>
        <v>470.19</v>
      </c>
      <c r="I241" s="3">
        <f>IFERROR(__xludf.DUMMYFUNCTION("""COMPUTED_VALUE"""),1.0)</f>
        <v>1</v>
      </c>
      <c r="J241" s="4">
        <f>IFERROR(__xludf.DUMMYFUNCTION("""COMPUTED_VALUE"""),47.01)</f>
        <v>47.01</v>
      </c>
      <c r="K241" s="2"/>
      <c r="L241" s="2" t="str">
        <f>IFERROR(__xludf.DUMMYFUNCTION("""COMPUTED_VALUE"""),"Partially Cancelled")</f>
        <v>Partially Cancelled</v>
      </c>
      <c r="M241" s="2" t="str">
        <f>IFERROR(__xludf.DUMMYFUNCTION("""COMPUTED_VALUE"""),"SR")</f>
        <v>SR</v>
      </c>
      <c r="N241" s="2" t="str">
        <f>IFERROR(__xludf.DUMMYFUNCTION("""COMPUTED_VALUE"""),"Credit, Debit, Apple Pay")</f>
        <v>Credit, Debit, Apple Pay</v>
      </c>
      <c r="O241" s="4">
        <f>IFERROR(__xludf.DUMMYFUNCTION("""COMPUTED_VALUE"""),152.1)</f>
        <v>152.1</v>
      </c>
      <c r="P241" s="2">
        <f>IFERROR(__xludf.DUMMYFUNCTION("""COMPUTED_VALUE"""),4.0)</f>
        <v>4</v>
      </c>
      <c r="Q241" s="2">
        <f>IFERROR(__xludf.DUMMYFUNCTION("""COMPUTED_VALUE"""),4.0)</f>
        <v>4</v>
      </c>
      <c r="R241" s="2">
        <f>IFERROR(__xludf.DUMMYFUNCTION("""COMPUTED_VALUE"""),2025.0)</f>
        <v>2025</v>
      </c>
      <c r="S241" s="2" t="str">
        <f>IFERROR(__xludf.DUMMYFUNCTION("""COMPUTED_VALUE"""),"Digizag")</f>
        <v>Digizag</v>
      </c>
      <c r="T241" s="2" t="str">
        <f>IFERROR(__xludf.DUMMYFUNCTION("""COMPUTED_VALUE"""),"Digizag")</f>
        <v>Digizag</v>
      </c>
      <c r="U241" s="5">
        <f>IFERROR(__xludf.DUMMYFUNCTION("""COMPUTED_VALUE"""),125.37430436874001)</f>
        <v>125.3743044</v>
      </c>
      <c r="V241" s="2"/>
      <c r="W241" s="2"/>
      <c r="X241" s="2"/>
      <c r="Y241" s="2"/>
      <c r="Z241" s="2"/>
    </row>
    <row r="242">
      <c r="A242" s="6">
        <f>IFERROR(__xludf.DUMMYFUNCTION("""COMPUTED_VALUE"""),45751.65103009259)</f>
        <v>45751.65103</v>
      </c>
      <c r="B242" s="2" t="str">
        <f>IFERROR(__xludf.DUMMYFUNCTION("""COMPUTED_VALUE"""),"April")</f>
        <v>April</v>
      </c>
      <c r="C242" s="3">
        <f>IFERROR(__xludf.DUMMYFUNCTION("""COMPUTED_VALUE"""),43485.0)</f>
        <v>43485</v>
      </c>
      <c r="D242" s="2" t="str">
        <f>IFERROR(__xludf.DUMMYFUNCTION("""COMPUTED_VALUE"""),"MNN16")</f>
        <v>MNN16</v>
      </c>
      <c r="E242" s="2" t="str">
        <f>IFERROR(__xludf.DUMMYFUNCTION("""COMPUTED_VALUE"""),"Imported from file DigiZag Codes 25Feb25.xlsx")</f>
        <v>Imported from file DigiZag Codes 25Feb25.xlsx</v>
      </c>
      <c r="F242" s="2" t="str">
        <f>IFERROR(__xludf.DUMMYFUNCTION("""COMPUTED_VALUE"""),"YQL386908")</f>
        <v>YQL386908</v>
      </c>
      <c r="G242" s="2" t="str">
        <f>IFERROR(__xludf.DUMMYFUNCTION("""COMPUTED_VALUE"""),"Kuwait")</f>
        <v>Kuwait</v>
      </c>
      <c r="H242" s="4">
        <f>IFERROR(__xludf.DUMMYFUNCTION("""COMPUTED_VALUE"""),12.95)</f>
        <v>12.95</v>
      </c>
      <c r="I242" s="3">
        <f>IFERROR(__xludf.DUMMYFUNCTION("""COMPUTED_VALUE"""),0.0)</f>
        <v>0</v>
      </c>
      <c r="J242" s="4">
        <f>IFERROR(__xludf.DUMMYFUNCTION("""COMPUTED_VALUE"""),1.295)</f>
        <v>1.295</v>
      </c>
      <c r="K242" s="2"/>
      <c r="L242" s="2" t="str">
        <f>IFERROR(__xludf.DUMMYFUNCTION("""COMPUTED_VALUE"""),"Delivered")</f>
        <v>Delivered</v>
      </c>
      <c r="M242" s="2" t="str">
        <f>IFERROR(__xludf.DUMMYFUNCTION("""COMPUTED_VALUE"""),"KD")</f>
        <v>KD</v>
      </c>
      <c r="N242" s="2" t="str">
        <f>IFERROR(__xludf.DUMMYFUNCTION("""COMPUTED_VALUE"""),"Credit, Debit, Knet")</f>
        <v>Credit, Debit, Knet</v>
      </c>
      <c r="O242" s="4">
        <f>IFERROR(__xludf.DUMMYFUNCTION("""COMPUTED_VALUE"""),0.0)</f>
        <v>0</v>
      </c>
      <c r="P242" s="2">
        <f>IFERROR(__xludf.DUMMYFUNCTION("""COMPUTED_VALUE"""),4.0)</f>
        <v>4</v>
      </c>
      <c r="Q242" s="2">
        <f>IFERROR(__xludf.DUMMYFUNCTION("""COMPUTED_VALUE"""),4.0)</f>
        <v>4</v>
      </c>
      <c r="R242" s="2">
        <f>IFERROR(__xludf.DUMMYFUNCTION("""COMPUTED_VALUE"""),2025.0)</f>
        <v>2025</v>
      </c>
      <c r="S242" s="2" t="str">
        <f>IFERROR(__xludf.DUMMYFUNCTION("""COMPUTED_VALUE"""),"Digizag")</f>
        <v>Digizag</v>
      </c>
      <c r="T242" s="2" t="str">
        <f>IFERROR(__xludf.DUMMYFUNCTION("""COMPUTED_VALUE"""),"Digizag")</f>
        <v>Digizag</v>
      </c>
      <c r="U242" s="5">
        <f>IFERROR(__xludf.DUMMYFUNCTION("""COMPUTED_VALUE"""),42.225029)</f>
        <v>42.225029</v>
      </c>
      <c r="V242" s="2"/>
      <c r="W242" s="2"/>
      <c r="X242" s="2"/>
      <c r="Y242" s="2"/>
      <c r="Z242" s="2"/>
    </row>
    <row r="243">
      <c r="A243" s="6">
        <f>IFERROR(__xludf.DUMMYFUNCTION("""COMPUTED_VALUE"""),45751.655069444445)</f>
        <v>45751.65507</v>
      </c>
      <c r="B243" s="2" t="str">
        <f>IFERROR(__xludf.DUMMYFUNCTION("""COMPUTED_VALUE"""),"April")</f>
        <v>April</v>
      </c>
      <c r="C243" s="3">
        <f>IFERROR(__xludf.DUMMYFUNCTION("""COMPUTED_VALUE"""),716044.0)</f>
        <v>716044</v>
      </c>
      <c r="D243" s="2" t="str">
        <f>IFERROR(__xludf.DUMMYFUNCTION("""COMPUTED_VALUE"""),"MNN16")</f>
        <v>MNN16</v>
      </c>
      <c r="E243" s="2" t="str">
        <f>IFERROR(__xludf.DUMMYFUNCTION("""COMPUTED_VALUE"""),"Imported from file DigiZag Bidding Codes.xlsx")</f>
        <v>Imported from file DigiZag Bidding Codes.xlsx</v>
      </c>
      <c r="F243" s="2" t="str">
        <f>IFERROR(__xludf.DUMMYFUNCTION("""COMPUTED_VALUE"""),"SQU921085")</f>
        <v>SQU921085</v>
      </c>
      <c r="G243" s="2" t="str">
        <f>IFERROR(__xludf.DUMMYFUNCTION("""COMPUTED_VALUE"""),"Kingdom of Saudi Arabia")</f>
        <v>Kingdom of Saudi Arabia</v>
      </c>
      <c r="H243" s="4">
        <f>IFERROR(__xludf.DUMMYFUNCTION("""COMPUTED_VALUE"""),51.3)</f>
        <v>51.3</v>
      </c>
      <c r="I243" s="3">
        <f>IFERROR(__xludf.DUMMYFUNCTION("""COMPUTED_VALUE"""),0.0)</f>
        <v>0</v>
      </c>
      <c r="J243" s="4">
        <f>IFERROR(__xludf.DUMMYFUNCTION("""COMPUTED_VALUE"""),5.13)</f>
        <v>5.13</v>
      </c>
      <c r="K243" s="2"/>
      <c r="L243" s="2" t="str">
        <f>IFERROR(__xludf.DUMMYFUNCTION("""COMPUTED_VALUE"""),"Delivered")</f>
        <v>Delivered</v>
      </c>
      <c r="M243" s="2" t="str">
        <f>IFERROR(__xludf.DUMMYFUNCTION("""COMPUTED_VALUE"""),"SR")</f>
        <v>SR</v>
      </c>
      <c r="N243" s="2" t="str">
        <f>IFERROR(__xludf.DUMMYFUNCTION("""COMPUTED_VALUE"""),"Cash")</f>
        <v>Cash</v>
      </c>
      <c r="O243" s="4">
        <f>IFERROR(__xludf.DUMMYFUNCTION("""COMPUTED_VALUE"""),0.0)</f>
        <v>0</v>
      </c>
      <c r="P243" s="2">
        <f>IFERROR(__xludf.DUMMYFUNCTION("""COMPUTED_VALUE"""),4.0)</f>
        <v>4</v>
      </c>
      <c r="Q243" s="2">
        <f>IFERROR(__xludf.DUMMYFUNCTION("""COMPUTED_VALUE"""),4.0)</f>
        <v>4</v>
      </c>
      <c r="R243" s="2">
        <f>IFERROR(__xludf.DUMMYFUNCTION("""COMPUTED_VALUE"""),2025.0)</f>
        <v>2025</v>
      </c>
      <c r="S243" s="2" t="str">
        <f>IFERROR(__xludf.DUMMYFUNCTION("""COMPUTED_VALUE"""),"Digizag")</f>
        <v>Digizag</v>
      </c>
      <c r="T243" s="2" t="str">
        <f>IFERROR(__xludf.DUMMYFUNCTION("""COMPUTED_VALUE"""),"Digizag")</f>
        <v>Digizag</v>
      </c>
      <c r="U243" s="5">
        <f>IFERROR(__xludf.DUMMYFUNCTION("""COMPUTED_VALUE"""),13.6789421598)</f>
        <v>13.67894216</v>
      </c>
      <c r="V243" s="2"/>
      <c r="W243" s="2"/>
      <c r="X243" s="2"/>
      <c r="Y243" s="2"/>
      <c r="Z243" s="2"/>
    </row>
    <row r="244">
      <c r="A244" s="6">
        <f>IFERROR(__xludf.DUMMYFUNCTION("""COMPUTED_VALUE"""),45751.87752314815)</f>
        <v>45751.87752</v>
      </c>
      <c r="B244" s="2" t="str">
        <f>IFERROR(__xludf.DUMMYFUNCTION("""COMPUTED_VALUE"""),"April")</f>
        <v>April</v>
      </c>
      <c r="C244" s="3">
        <f>IFERROR(__xludf.DUMMYFUNCTION("""COMPUTED_VALUE"""),564377.0)</f>
        <v>564377</v>
      </c>
      <c r="D244" s="2" t="str">
        <f>IFERROR(__xludf.DUMMYFUNCTION("""COMPUTED_VALUE"""),"MNN16")</f>
        <v>MNN16</v>
      </c>
      <c r="E244" s="2" t="str">
        <f>IFERROR(__xludf.DUMMYFUNCTION("""COMPUTED_VALUE"""),"Imported from file DigiZag Codes 25Feb25.xlsx")</f>
        <v>Imported from file DigiZag Codes 25Feb25.xlsx</v>
      </c>
      <c r="F244" s="2" t="str">
        <f>IFERROR(__xludf.DUMMYFUNCTION("""COMPUTED_VALUE"""),"VQA219798")</f>
        <v>VQA219798</v>
      </c>
      <c r="G244" s="2" t="str">
        <f>IFERROR(__xludf.DUMMYFUNCTION("""COMPUTED_VALUE"""),"UAE")</f>
        <v>UAE</v>
      </c>
      <c r="H244" s="4">
        <f>IFERROR(__xludf.DUMMYFUNCTION("""COMPUTED_VALUE"""),225.48)</f>
        <v>225.48</v>
      </c>
      <c r="I244" s="3">
        <f>IFERROR(__xludf.DUMMYFUNCTION("""COMPUTED_VALUE"""),0.0)</f>
        <v>0</v>
      </c>
      <c r="J244" s="4">
        <f>IFERROR(__xludf.DUMMYFUNCTION("""COMPUTED_VALUE"""),22.54)</f>
        <v>22.54</v>
      </c>
      <c r="K244" s="2"/>
      <c r="L244" s="2" t="str">
        <f>IFERROR(__xludf.DUMMYFUNCTION("""COMPUTED_VALUE"""),"Delivered")</f>
        <v>Delivered</v>
      </c>
      <c r="M244" s="2" t="str">
        <f>IFERROR(__xludf.DUMMYFUNCTION("""COMPUTED_VALUE"""),"AED")</f>
        <v>AED</v>
      </c>
      <c r="N244" s="2" t="str">
        <f>IFERROR(__xludf.DUMMYFUNCTION("""COMPUTED_VALUE"""),"Credit, Debit , Apple Pay")</f>
        <v>Credit, Debit , Apple Pay</v>
      </c>
      <c r="O244" s="4">
        <f>IFERROR(__xludf.DUMMYFUNCTION("""COMPUTED_VALUE"""),0.0)</f>
        <v>0</v>
      </c>
      <c r="P244" s="2">
        <f>IFERROR(__xludf.DUMMYFUNCTION("""COMPUTED_VALUE"""),4.0)</f>
        <v>4</v>
      </c>
      <c r="Q244" s="2">
        <f>IFERROR(__xludf.DUMMYFUNCTION("""COMPUTED_VALUE"""),4.0)</f>
        <v>4</v>
      </c>
      <c r="R244" s="2">
        <f>IFERROR(__xludf.DUMMYFUNCTION("""COMPUTED_VALUE"""),2025.0)</f>
        <v>2025</v>
      </c>
      <c r="S244" s="2" t="str">
        <f>IFERROR(__xludf.DUMMYFUNCTION("""COMPUTED_VALUE"""),"Digizag")</f>
        <v>Digizag</v>
      </c>
      <c r="T244" s="2" t="str">
        <f>IFERROR(__xludf.DUMMYFUNCTION("""COMPUTED_VALUE"""),"Digizag")</f>
        <v>Digizag</v>
      </c>
      <c r="U244" s="5">
        <f>IFERROR(__xludf.DUMMYFUNCTION("""COMPUTED_VALUE"""),61.39686870744)</f>
        <v>61.39686871</v>
      </c>
      <c r="V244" s="2"/>
      <c r="W244" s="2"/>
      <c r="X244" s="2"/>
      <c r="Y244" s="2"/>
      <c r="Z244" s="2"/>
    </row>
    <row r="245">
      <c r="A245" s="6">
        <f>IFERROR(__xludf.DUMMYFUNCTION("""COMPUTED_VALUE"""),45752.49381944444)</f>
        <v>45752.49382</v>
      </c>
      <c r="B245" s="2" t="str">
        <f>IFERROR(__xludf.DUMMYFUNCTION("""COMPUTED_VALUE"""),"April")</f>
        <v>April</v>
      </c>
      <c r="C245" s="3">
        <f>IFERROR(__xludf.DUMMYFUNCTION("""COMPUTED_VALUE"""),34389.0)</f>
        <v>34389</v>
      </c>
      <c r="D245" s="2" t="str">
        <f>IFERROR(__xludf.DUMMYFUNCTION("""COMPUTED_VALUE"""),"MNN16")</f>
        <v>MNN16</v>
      </c>
      <c r="E245" s="2" t="str">
        <f>IFERROR(__xludf.DUMMYFUNCTION("""COMPUTED_VALUE"""),"Imported from file DigiZag Codes 25Feb25.xlsx")</f>
        <v>Imported from file DigiZag Codes 25Feb25.xlsx</v>
      </c>
      <c r="F245" s="2" t="str">
        <f>IFERROR(__xludf.DUMMYFUNCTION("""COMPUTED_VALUE"""),"TUG406332")</f>
        <v>TUG406332</v>
      </c>
      <c r="G245" s="2" t="str">
        <f>IFERROR(__xludf.DUMMYFUNCTION("""COMPUTED_VALUE"""),"UAE")</f>
        <v>UAE</v>
      </c>
      <c r="H245" s="4">
        <f>IFERROR(__xludf.DUMMYFUNCTION("""COMPUTED_VALUE"""),202.14)</f>
        <v>202.14</v>
      </c>
      <c r="I245" s="3">
        <f>IFERROR(__xludf.DUMMYFUNCTION("""COMPUTED_VALUE"""),0.0)</f>
        <v>0</v>
      </c>
      <c r="J245" s="4">
        <f>IFERROR(__xludf.DUMMYFUNCTION("""COMPUTED_VALUE"""),20.21)</f>
        <v>20.21</v>
      </c>
      <c r="K245" s="2"/>
      <c r="L245" s="2" t="str">
        <f>IFERROR(__xludf.DUMMYFUNCTION("""COMPUTED_VALUE"""),"Delivered")</f>
        <v>Delivered</v>
      </c>
      <c r="M245" s="2" t="str">
        <f>IFERROR(__xludf.DUMMYFUNCTION("""COMPUTED_VALUE"""),"AED")</f>
        <v>AED</v>
      </c>
      <c r="N245" s="2" t="str">
        <f>IFERROR(__xludf.DUMMYFUNCTION("""COMPUTED_VALUE"""),"Credit, Debit , Apple Pay")</f>
        <v>Credit, Debit , Apple Pay</v>
      </c>
      <c r="O245" s="4">
        <f>IFERROR(__xludf.DUMMYFUNCTION("""COMPUTED_VALUE"""),0.0)</f>
        <v>0</v>
      </c>
      <c r="P245" s="2">
        <f>IFERROR(__xludf.DUMMYFUNCTION("""COMPUTED_VALUE"""),5.0)</f>
        <v>5</v>
      </c>
      <c r="Q245" s="2">
        <f>IFERROR(__xludf.DUMMYFUNCTION("""COMPUTED_VALUE"""),4.0)</f>
        <v>4</v>
      </c>
      <c r="R245" s="2">
        <f>IFERROR(__xludf.DUMMYFUNCTION("""COMPUTED_VALUE"""),2025.0)</f>
        <v>2025</v>
      </c>
      <c r="S245" s="2" t="str">
        <f>IFERROR(__xludf.DUMMYFUNCTION("""COMPUTED_VALUE"""),"Digizag")</f>
        <v>Digizag</v>
      </c>
      <c r="T245" s="2" t="str">
        <f>IFERROR(__xludf.DUMMYFUNCTION("""COMPUTED_VALUE"""),"Digizag")</f>
        <v>Digizag</v>
      </c>
      <c r="U245" s="5">
        <f>IFERROR(__xludf.DUMMYFUNCTION("""COMPUTED_VALUE"""),55.04152492692)</f>
        <v>55.04152493</v>
      </c>
      <c r="V245" s="2"/>
      <c r="W245" s="2"/>
      <c r="X245" s="2"/>
      <c r="Y245" s="2"/>
      <c r="Z245" s="2"/>
    </row>
    <row r="246">
      <c r="A246" s="6">
        <f>IFERROR(__xludf.DUMMYFUNCTION("""COMPUTED_VALUE"""),45752.62515046296)</f>
        <v>45752.62515</v>
      </c>
      <c r="B246" s="2" t="str">
        <f>IFERROR(__xludf.DUMMYFUNCTION("""COMPUTED_VALUE"""),"April")</f>
        <v>April</v>
      </c>
      <c r="C246" s="3">
        <f>IFERROR(__xludf.DUMMYFUNCTION("""COMPUTED_VALUE"""),702251.0)</f>
        <v>702251</v>
      </c>
      <c r="D246" s="2" t="str">
        <f>IFERROR(__xludf.DUMMYFUNCTION("""COMPUTED_VALUE"""),"MNN16")</f>
        <v>MNN16</v>
      </c>
      <c r="E246" s="2" t="str">
        <f>IFERROR(__xludf.DUMMYFUNCTION("""COMPUTED_VALUE"""),"Imported from file DigiZag Codes 25Feb25.xlsx")</f>
        <v>Imported from file DigiZag Codes 25Feb25.xlsx</v>
      </c>
      <c r="F246" s="2" t="str">
        <f>IFERROR(__xludf.DUMMYFUNCTION("""COMPUTED_VALUE"""),"ELB612300")</f>
        <v>ELB612300</v>
      </c>
      <c r="G246" s="2" t="str">
        <f>IFERROR(__xludf.DUMMYFUNCTION("""COMPUTED_VALUE"""),"Kuwait")</f>
        <v>Kuwait</v>
      </c>
      <c r="H246" s="4">
        <f>IFERROR(__xludf.DUMMYFUNCTION("""COMPUTED_VALUE"""),7.6)</f>
        <v>7.6</v>
      </c>
      <c r="I246" s="3">
        <f>IFERROR(__xludf.DUMMYFUNCTION("""COMPUTED_VALUE"""),0.0)</f>
        <v>0</v>
      </c>
      <c r="J246" s="4">
        <f>IFERROR(__xludf.DUMMYFUNCTION("""COMPUTED_VALUE"""),0.76)</f>
        <v>0.76</v>
      </c>
      <c r="K246" s="2"/>
      <c r="L246" s="2" t="str">
        <f>IFERROR(__xludf.DUMMYFUNCTION("""COMPUTED_VALUE"""),"Delivered")</f>
        <v>Delivered</v>
      </c>
      <c r="M246" s="2" t="str">
        <f>IFERROR(__xludf.DUMMYFUNCTION("""COMPUTED_VALUE"""),"KD")</f>
        <v>KD</v>
      </c>
      <c r="N246" s="2" t="str">
        <f>IFERROR(__xludf.DUMMYFUNCTION("""COMPUTED_VALUE"""),"Credit, Debit, Knet")</f>
        <v>Credit, Debit, Knet</v>
      </c>
      <c r="O246" s="4">
        <f>IFERROR(__xludf.DUMMYFUNCTION("""COMPUTED_VALUE"""),0.0)</f>
        <v>0</v>
      </c>
      <c r="P246" s="2">
        <f>IFERROR(__xludf.DUMMYFUNCTION("""COMPUTED_VALUE"""),5.0)</f>
        <v>5</v>
      </c>
      <c r="Q246" s="2">
        <f>IFERROR(__xludf.DUMMYFUNCTION("""COMPUTED_VALUE"""),4.0)</f>
        <v>4</v>
      </c>
      <c r="R246" s="2">
        <f>IFERROR(__xludf.DUMMYFUNCTION("""COMPUTED_VALUE"""),2025.0)</f>
        <v>2025</v>
      </c>
      <c r="S246" s="2" t="str">
        <f>IFERROR(__xludf.DUMMYFUNCTION("""COMPUTED_VALUE"""),"Digizag")</f>
        <v>Digizag</v>
      </c>
      <c r="T246" s="2" t="str">
        <f>IFERROR(__xludf.DUMMYFUNCTION("""COMPUTED_VALUE"""),"Digizag")</f>
        <v>Digizag</v>
      </c>
      <c r="U246" s="5">
        <f>IFERROR(__xludf.DUMMYFUNCTION("""COMPUTED_VALUE"""),24.780711999999998)</f>
        <v>24.780712</v>
      </c>
      <c r="V246" s="2"/>
      <c r="W246" s="2"/>
      <c r="X246" s="2"/>
      <c r="Y246" s="2"/>
      <c r="Z246" s="2"/>
    </row>
    <row r="247">
      <c r="A247" s="6">
        <f>IFERROR(__xludf.DUMMYFUNCTION("""COMPUTED_VALUE"""),45752.70009259259)</f>
        <v>45752.70009</v>
      </c>
      <c r="B247" s="2" t="str">
        <f>IFERROR(__xludf.DUMMYFUNCTION("""COMPUTED_VALUE"""),"April")</f>
        <v>April</v>
      </c>
      <c r="C247" s="3">
        <f>IFERROR(__xludf.DUMMYFUNCTION("""COMPUTED_VALUE"""),716479.0)</f>
        <v>716479</v>
      </c>
      <c r="D247" s="2" t="str">
        <f>IFERROR(__xludf.DUMMYFUNCTION("""COMPUTED_VALUE"""),"MNN16")</f>
        <v>MNN16</v>
      </c>
      <c r="E247" s="2" t="str">
        <f>IFERROR(__xludf.DUMMYFUNCTION("""COMPUTED_VALUE"""),"Imported from file DigiZag Bidding Codes.xlsx")</f>
        <v>Imported from file DigiZag Bidding Codes.xlsx</v>
      </c>
      <c r="F247" s="2" t="str">
        <f>IFERROR(__xludf.DUMMYFUNCTION("""COMPUTED_VALUE"""),"YSW451983")</f>
        <v>YSW451983</v>
      </c>
      <c r="G247" s="2" t="str">
        <f>IFERROR(__xludf.DUMMYFUNCTION("""COMPUTED_VALUE"""),"Kingdom of Saudi Arabia")</f>
        <v>Kingdom of Saudi Arabia</v>
      </c>
      <c r="H247" s="4">
        <f>IFERROR(__xludf.DUMMYFUNCTION("""COMPUTED_VALUE"""),150.0)</f>
        <v>150</v>
      </c>
      <c r="I247" s="3">
        <f>IFERROR(__xludf.DUMMYFUNCTION("""COMPUTED_VALUE"""),1.0)</f>
        <v>1</v>
      </c>
      <c r="J247" s="4">
        <f>IFERROR(__xludf.DUMMYFUNCTION("""COMPUTED_VALUE"""),15.0)</f>
        <v>15</v>
      </c>
      <c r="K247" s="2"/>
      <c r="L247" s="2" t="str">
        <f>IFERROR(__xludf.DUMMYFUNCTION("""COMPUTED_VALUE"""),"Cancelled")</f>
        <v>Cancelled</v>
      </c>
      <c r="M247" s="2" t="str">
        <f>IFERROR(__xludf.DUMMYFUNCTION("""COMPUTED_VALUE"""),"SR")</f>
        <v>SR</v>
      </c>
      <c r="N247" s="2" t="str">
        <f>IFERROR(__xludf.DUMMYFUNCTION("""COMPUTED_VALUE"""),"Cash")</f>
        <v>Cash</v>
      </c>
      <c r="O247" s="4">
        <f>IFERROR(__xludf.DUMMYFUNCTION("""COMPUTED_VALUE"""),135.0)</f>
        <v>135</v>
      </c>
      <c r="P247" s="2">
        <f>IFERROR(__xludf.DUMMYFUNCTION("""COMPUTED_VALUE"""),5.0)</f>
        <v>5</v>
      </c>
      <c r="Q247" s="2">
        <f>IFERROR(__xludf.DUMMYFUNCTION("""COMPUTED_VALUE"""),4.0)</f>
        <v>4</v>
      </c>
      <c r="R247" s="2">
        <f>IFERROR(__xludf.DUMMYFUNCTION("""COMPUTED_VALUE"""),2025.0)</f>
        <v>2025</v>
      </c>
      <c r="S247" s="2" t="str">
        <f>IFERROR(__xludf.DUMMYFUNCTION("""COMPUTED_VALUE"""),"Digizag")</f>
        <v>Digizag</v>
      </c>
      <c r="T247" s="2" t="str">
        <f>IFERROR(__xludf.DUMMYFUNCTION("""COMPUTED_VALUE"""),"Digizag")</f>
        <v>Digizag</v>
      </c>
      <c r="U247" s="5">
        <f>IFERROR(__xludf.DUMMYFUNCTION("""COMPUTED_VALUE"""),39.996906900000006)</f>
        <v>39.9969069</v>
      </c>
      <c r="V247" s="2"/>
      <c r="W247" s="2"/>
      <c r="X247" s="2"/>
      <c r="Y247" s="2"/>
      <c r="Z247" s="2"/>
    </row>
    <row r="248">
      <c r="A248" s="6">
        <f>IFERROR(__xludf.DUMMYFUNCTION("""COMPUTED_VALUE"""),45752.785219907404)</f>
        <v>45752.78522</v>
      </c>
      <c r="B248" s="2" t="str">
        <f>IFERROR(__xludf.DUMMYFUNCTION("""COMPUTED_VALUE"""),"April")</f>
        <v>April</v>
      </c>
      <c r="C248" s="3">
        <f>IFERROR(__xludf.DUMMYFUNCTION("""COMPUTED_VALUE"""),318102.0)</f>
        <v>318102</v>
      </c>
      <c r="D248" s="2" t="str">
        <f>IFERROR(__xludf.DUMMYFUNCTION("""COMPUTED_VALUE"""),"MNN16")</f>
        <v>MNN16</v>
      </c>
      <c r="E248" s="2" t="str">
        <f>IFERROR(__xludf.DUMMYFUNCTION("""COMPUTED_VALUE"""),"Imported from file DigiZag Codes 25Feb25.xlsx")</f>
        <v>Imported from file DigiZag Codes 25Feb25.xlsx</v>
      </c>
      <c r="F248" s="2" t="str">
        <f>IFERROR(__xludf.DUMMYFUNCTION("""COMPUTED_VALUE"""),"KJD377750")</f>
        <v>KJD377750</v>
      </c>
      <c r="G248" s="2" t="str">
        <f>IFERROR(__xludf.DUMMYFUNCTION("""COMPUTED_VALUE"""),"UAE")</f>
        <v>UAE</v>
      </c>
      <c r="H248" s="4">
        <f>IFERROR(__xludf.DUMMYFUNCTION("""COMPUTED_VALUE"""),128.1)</f>
        <v>128.1</v>
      </c>
      <c r="I248" s="3">
        <f>IFERROR(__xludf.DUMMYFUNCTION("""COMPUTED_VALUE"""),0.0)</f>
        <v>0</v>
      </c>
      <c r="J248" s="4">
        <f>IFERROR(__xludf.DUMMYFUNCTION("""COMPUTED_VALUE"""),12.81)</f>
        <v>12.81</v>
      </c>
      <c r="K248" s="2"/>
      <c r="L248" s="2" t="str">
        <f>IFERROR(__xludf.DUMMYFUNCTION("""COMPUTED_VALUE"""),"Delivered")</f>
        <v>Delivered</v>
      </c>
      <c r="M248" s="2" t="str">
        <f>IFERROR(__xludf.DUMMYFUNCTION("""COMPUTED_VALUE"""),"AED")</f>
        <v>AED</v>
      </c>
      <c r="N248" s="2" t="str">
        <f>IFERROR(__xludf.DUMMYFUNCTION("""COMPUTED_VALUE"""),"Credit, Debit , Apple Pay")</f>
        <v>Credit, Debit , Apple Pay</v>
      </c>
      <c r="O248" s="4">
        <f>IFERROR(__xludf.DUMMYFUNCTION("""COMPUTED_VALUE"""),0.0)</f>
        <v>0</v>
      </c>
      <c r="P248" s="2">
        <f>IFERROR(__xludf.DUMMYFUNCTION("""COMPUTED_VALUE"""),5.0)</f>
        <v>5</v>
      </c>
      <c r="Q248" s="2">
        <f>IFERROR(__xludf.DUMMYFUNCTION("""COMPUTED_VALUE"""),4.0)</f>
        <v>4</v>
      </c>
      <c r="R248" s="2">
        <f>IFERROR(__xludf.DUMMYFUNCTION("""COMPUTED_VALUE"""),2025.0)</f>
        <v>2025</v>
      </c>
      <c r="S248" s="2" t="str">
        <f>IFERROR(__xludf.DUMMYFUNCTION("""COMPUTED_VALUE"""),"Digizag")</f>
        <v>Digizag</v>
      </c>
      <c r="T248" s="2" t="str">
        <f>IFERROR(__xludf.DUMMYFUNCTION("""COMPUTED_VALUE"""),"Digizag")</f>
        <v>Digizag</v>
      </c>
      <c r="U248" s="5">
        <f>IFERROR(__xludf.DUMMYFUNCTION("""COMPUTED_VALUE"""),34.8808713918)</f>
        <v>34.88087139</v>
      </c>
      <c r="V248" s="2"/>
      <c r="W248" s="2"/>
      <c r="X248" s="2"/>
      <c r="Y248" s="2"/>
      <c r="Z248" s="2"/>
    </row>
    <row r="249">
      <c r="A249" s="6">
        <f>IFERROR(__xludf.DUMMYFUNCTION("""COMPUTED_VALUE"""),45752.91069444444)</f>
        <v>45752.91069</v>
      </c>
      <c r="B249" s="2" t="str">
        <f>IFERROR(__xludf.DUMMYFUNCTION("""COMPUTED_VALUE"""),"April")</f>
        <v>April</v>
      </c>
      <c r="C249" s="3">
        <f>IFERROR(__xludf.DUMMYFUNCTION("""COMPUTED_VALUE"""),148017.0)</f>
        <v>148017</v>
      </c>
      <c r="D249" s="2" t="str">
        <f>IFERROR(__xludf.DUMMYFUNCTION("""COMPUTED_VALUE"""),"MNN16")</f>
        <v>MNN16</v>
      </c>
      <c r="E249" s="2" t="str">
        <f>IFERROR(__xludf.DUMMYFUNCTION("""COMPUTED_VALUE"""),"Imported from file DigiZag Codes 25Feb25.xlsx")</f>
        <v>Imported from file DigiZag Codes 25Feb25.xlsx</v>
      </c>
      <c r="F249" s="2" t="str">
        <f>IFERROR(__xludf.DUMMYFUNCTION("""COMPUTED_VALUE"""),"GYQ639377")</f>
        <v>GYQ639377</v>
      </c>
      <c r="G249" s="2" t="str">
        <f>IFERROR(__xludf.DUMMYFUNCTION("""COMPUTED_VALUE"""),"Kuwait")</f>
        <v>Kuwait</v>
      </c>
      <c r="H249" s="4">
        <f>IFERROR(__xludf.DUMMYFUNCTION("""COMPUTED_VALUE"""),50.45)</f>
        <v>50.45</v>
      </c>
      <c r="I249" s="3">
        <f>IFERROR(__xludf.DUMMYFUNCTION("""COMPUTED_VALUE"""),1.0)</f>
        <v>1</v>
      </c>
      <c r="J249" s="4">
        <f>IFERROR(__xludf.DUMMYFUNCTION("""COMPUTED_VALUE"""),5.045)</f>
        <v>5.045</v>
      </c>
      <c r="K249" s="2"/>
      <c r="L249" s="2" t="str">
        <f>IFERROR(__xludf.DUMMYFUNCTION("""COMPUTED_VALUE"""),"Partially Cancelled")</f>
        <v>Partially Cancelled</v>
      </c>
      <c r="M249" s="2" t="str">
        <f>IFERROR(__xludf.DUMMYFUNCTION("""COMPUTED_VALUE"""),"KD")</f>
        <v>KD</v>
      </c>
      <c r="N249" s="2" t="str">
        <f>IFERROR(__xludf.DUMMYFUNCTION("""COMPUTED_VALUE"""),"Credit, Debit, Knet")</f>
        <v>Credit, Debit, Knet</v>
      </c>
      <c r="O249" s="4">
        <f>IFERROR(__xludf.DUMMYFUNCTION("""COMPUTED_VALUE"""),20.25)</f>
        <v>20.25</v>
      </c>
      <c r="P249" s="2">
        <f>IFERROR(__xludf.DUMMYFUNCTION("""COMPUTED_VALUE"""),5.0)</f>
        <v>5</v>
      </c>
      <c r="Q249" s="2">
        <f>IFERROR(__xludf.DUMMYFUNCTION("""COMPUTED_VALUE"""),4.0)</f>
        <v>4</v>
      </c>
      <c r="R249" s="2">
        <f>IFERROR(__xludf.DUMMYFUNCTION("""COMPUTED_VALUE"""),2025.0)</f>
        <v>2025</v>
      </c>
      <c r="S249" s="2" t="str">
        <f>IFERROR(__xludf.DUMMYFUNCTION("""COMPUTED_VALUE"""),"Digizag")</f>
        <v>Digizag</v>
      </c>
      <c r="T249" s="2" t="str">
        <f>IFERROR(__xludf.DUMMYFUNCTION("""COMPUTED_VALUE"""),"Digizag")</f>
        <v>Digizag</v>
      </c>
      <c r="U249" s="5">
        <f>IFERROR(__xludf.DUMMYFUNCTION("""COMPUTED_VALUE"""),164.498279)</f>
        <v>164.498279</v>
      </c>
      <c r="V249" s="2"/>
      <c r="W249" s="2"/>
      <c r="X249" s="2"/>
      <c r="Y249" s="2"/>
      <c r="Z249" s="2"/>
    </row>
    <row r="250">
      <c r="A250" s="6">
        <f>IFERROR(__xludf.DUMMYFUNCTION("""COMPUTED_VALUE"""),45753.75355324074)</f>
        <v>45753.75355</v>
      </c>
      <c r="B250" s="2" t="str">
        <f>IFERROR(__xludf.DUMMYFUNCTION("""COMPUTED_VALUE"""),"April")</f>
        <v>April</v>
      </c>
      <c r="C250" s="3">
        <f>IFERROR(__xludf.DUMMYFUNCTION("""COMPUTED_VALUE"""),716970.0)</f>
        <v>716970</v>
      </c>
      <c r="D250" s="2" t="str">
        <f>IFERROR(__xludf.DUMMYFUNCTION("""COMPUTED_VALUE"""),"MNN16")</f>
        <v>MNN16</v>
      </c>
      <c r="E250" s="2" t="str">
        <f>IFERROR(__xludf.DUMMYFUNCTION("""COMPUTED_VALUE"""),"Imported from file DigiZag Codes 25Feb25.xlsx")</f>
        <v>Imported from file DigiZag Codes 25Feb25.xlsx</v>
      </c>
      <c r="F250" s="2" t="str">
        <f>IFERROR(__xludf.DUMMYFUNCTION("""COMPUTED_VALUE"""),"VSR739655")</f>
        <v>VSR739655</v>
      </c>
      <c r="G250" s="2" t="str">
        <f>IFERROR(__xludf.DUMMYFUNCTION("""COMPUTED_VALUE"""),"Bahrain")</f>
        <v>Bahrain</v>
      </c>
      <c r="H250" s="4">
        <f>IFERROR(__xludf.DUMMYFUNCTION("""COMPUTED_VALUE"""),5.25)</f>
        <v>5.25</v>
      </c>
      <c r="I250" s="3">
        <f>IFERROR(__xludf.DUMMYFUNCTION("""COMPUTED_VALUE"""),0.0)</f>
        <v>0</v>
      </c>
      <c r="J250" s="4">
        <f>IFERROR(__xludf.DUMMYFUNCTION("""COMPUTED_VALUE"""),0.52)</f>
        <v>0.52</v>
      </c>
      <c r="K250" s="2"/>
      <c r="L250" s="2" t="str">
        <f>IFERROR(__xludf.DUMMYFUNCTION("""COMPUTED_VALUE"""),"Delivered")</f>
        <v>Delivered</v>
      </c>
      <c r="M250" s="2" t="str">
        <f>IFERROR(__xludf.DUMMYFUNCTION("""COMPUTED_VALUE"""),"BHD")</f>
        <v>BHD</v>
      </c>
      <c r="N250" s="2" t="str">
        <f>IFERROR(__xludf.DUMMYFUNCTION("""COMPUTED_VALUE"""),"Credit, Debit")</f>
        <v>Credit, Debit</v>
      </c>
      <c r="O250" s="4">
        <f>IFERROR(__xludf.DUMMYFUNCTION("""COMPUTED_VALUE"""),0.0)</f>
        <v>0</v>
      </c>
      <c r="P250" s="2">
        <f>IFERROR(__xludf.DUMMYFUNCTION("""COMPUTED_VALUE"""),6.0)</f>
        <v>6</v>
      </c>
      <c r="Q250" s="2">
        <f>IFERROR(__xludf.DUMMYFUNCTION("""COMPUTED_VALUE"""),4.0)</f>
        <v>4</v>
      </c>
      <c r="R250" s="2">
        <f>IFERROR(__xludf.DUMMYFUNCTION("""COMPUTED_VALUE"""),2025.0)</f>
        <v>2025</v>
      </c>
      <c r="S250" s="2" t="str">
        <f>IFERROR(__xludf.DUMMYFUNCTION("""COMPUTED_VALUE"""),"Digizag")</f>
        <v>Digizag</v>
      </c>
      <c r="T250" s="2" t="str">
        <f>IFERROR(__xludf.DUMMYFUNCTION("""COMPUTED_VALUE"""),"Digizag")</f>
        <v>Digizag</v>
      </c>
      <c r="U250" s="5">
        <f>IFERROR(__xludf.DUMMYFUNCTION("""COMPUTED_VALUE"""),13.927814249999999)</f>
        <v>13.92781425</v>
      </c>
      <c r="V250" s="2"/>
      <c r="W250" s="2"/>
      <c r="X250" s="2"/>
      <c r="Y250" s="2"/>
      <c r="Z250" s="2"/>
    </row>
    <row r="251">
      <c r="A251" s="6">
        <f>IFERROR(__xludf.DUMMYFUNCTION("""COMPUTED_VALUE"""),45753.88409722222)</f>
        <v>45753.8841</v>
      </c>
      <c r="B251" s="2" t="str">
        <f>IFERROR(__xludf.DUMMYFUNCTION("""COMPUTED_VALUE"""),"April")</f>
        <v>April</v>
      </c>
      <c r="C251" s="3">
        <f>IFERROR(__xludf.DUMMYFUNCTION("""COMPUTED_VALUE"""),231640.0)</f>
        <v>231640</v>
      </c>
      <c r="D251" s="2" t="str">
        <f>IFERROR(__xludf.DUMMYFUNCTION("""COMPUTED_VALUE"""),"MNN16")</f>
        <v>MNN16</v>
      </c>
      <c r="E251" s="2" t="str">
        <f>IFERROR(__xludf.DUMMYFUNCTION("""COMPUTED_VALUE"""),"Imported from file DigiZag Codes 25Feb25.xlsx")</f>
        <v>Imported from file DigiZag Codes 25Feb25.xlsx</v>
      </c>
      <c r="F251" s="2" t="str">
        <f>IFERROR(__xludf.DUMMYFUNCTION("""COMPUTED_VALUE"""),"WYU597152")</f>
        <v>WYU597152</v>
      </c>
      <c r="G251" s="2" t="str">
        <f>IFERROR(__xludf.DUMMYFUNCTION("""COMPUTED_VALUE"""),"UAE")</f>
        <v>UAE</v>
      </c>
      <c r="H251" s="4">
        <f>IFERROR(__xludf.DUMMYFUNCTION("""COMPUTED_VALUE"""),232.9)</f>
        <v>232.9</v>
      </c>
      <c r="I251" s="3">
        <f>IFERROR(__xludf.DUMMYFUNCTION("""COMPUTED_VALUE"""),0.0)</f>
        <v>0</v>
      </c>
      <c r="J251" s="4">
        <f>IFERROR(__xludf.DUMMYFUNCTION("""COMPUTED_VALUE"""),23.29)</f>
        <v>23.29</v>
      </c>
      <c r="K251" s="2"/>
      <c r="L251" s="2" t="str">
        <f>IFERROR(__xludf.DUMMYFUNCTION("""COMPUTED_VALUE"""),"Delivered")</f>
        <v>Delivered</v>
      </c>
      <c r="M251" s="2" t="str">
        <f>IFERROR(__xludf.DUMMYFUNCTION("""COMPUTED_VALUE"""),"AED")</f>
        <v>AED</v>
      </c>
      <c r="N251" s="2" t="str">
        <f>IFERROR(__xludf.DUMMYFUNCTION("""COMPUTED_VALUE"""),"Credit, Debit , Apple Pay")</f>
        <v>Credit, Debit , Apple Pay</v>
      </c>
      <c r="O251" s="4">
        <f>IFERROR(__xludf.DUMMYFUNCTION("""COMPUTED_VALUE"""),0.0)</f>
        <v>0</v>
      </c>
      <c r="P251" s="2">
        <f>IFERROR(__xludf.DUMMYFUNCTION("""COMPUTED_VALUE"""),6.0)</f>
        <v>6</v>
      </c>
      <c r="Q251" s="2">
        <f>IFERROR(__xludf.DUMMYFUNCTION("""COMPUTED_VALUE"""),4.0)</f>
        <v>4</v>
      </c>
      <c r="R251" s="2">
        <f>IFERROR(__xludf.DUMMYFUNCTION("""COMPUTED_VALUE"""),2025.0)</f>
        <v>2025</v>
      </c>
      <c r="S251" s="2" t="str">
        <f>IFERROR(__xludf.DUMMYFUNCTION("""COMPUTED_VALUE"""),"Digizag")</f>
        <v>Digizag</v>
      </c>
      <c r="T251" s="2" t="str">
        <f>IFERROR(__xludf.DUMMYFUNCTION("""COMPUTED_VALUE"""),"Digizag")</f>
        <v>Digizag</v>
      </c>
      <c r="U251" s="5">
        <f>IFERROR(__xludf.DUMMYFUNCTION("""COMPUTED_VALUE"""),63.4172907662)</f>
        <v>63.41729077</v>
      </c>
      <c r="V251" s="2"/>
      <c r="W251" s="2"/>
      <c r="X251" s="2"/>
      <c r="Y251" s="2"/>
      <c r="Z251" s="2"/>
    </row>
    <row r="252">
      <c r="A252" s="6">
        <f>IFERROR(__xludf.DUMMYFUNCTION("""COMPUTED_VALUE"""),45754.47436342592)</f>
        <v>45754.47436</v>
      </c>
      <c r="B252" s="2" t="str">
        <f>IFERROR(__xludf.DUMMYFUNCTION("""COMPUTED_VALUE"""),"April")</f>
        <v>April</v>
      </c>
      <c r="C252" s="3">
        <f>IFERROR(__xludf.DUMMYFUNCTION("""COMPUTED_VALUE"""),368768.0)</f>
        <v>368768</v>
      </c>
      <c r="D252" s="2" t="str">
        <f>IFERROR(__xludf.DUMMYFUNCTION("""COMPUTED_VALUE"""),"MNN16")</f>
        <v>MNN16</v>
      </c>
      <c r="E252" s="2" t="str">
        <f>IFERROR(__xludf.DUMMYFUNCTION("""COMPUTED_VALUE"""),"Imported from file DigiZag Bidding Codes.xlsx")</f>
        <v>Imported from file DigiZag Bidding Codes.xlsx</v>
      </c>
      <c r="F252" s="2" t="str">
        <f>IFERROR(__xludf.DUMMYFUNCTION("""COMPUTED_VALUE"""),"NWU808049")</f>
        <v>NWU808049</v>
      </c>
      <c r="G252" s="2" t="str">
        <f>IFERROR(__xludf.DUMMYFUNCTION("""COMPUTED_VALUE"""),"Kingdom of Saudi Arabia")</f>
        <v>Kingdom of Saudi Arabia</v>
      </c>
      <c r="H252" s="4">
        <f>IFERROR(__xludf.DUMMYFUNCTION("""COMPUTED_VALUE"""),1913.04)</f>
        <v>1913.04</v>
      </c>
      <c r="I252" s="3">
        <f>IFERROR(__xludf.DUMMYFUNCTION("""COMPUTED_VALUE"""),0.0)</f>
        <v>0</v>
      </c>
      <c r="J252" s="4">
        <f>IFERROR(__xludf.DUMMYFUNCTION("""COMPUTED_VALUE"""),191.3)</f>
        <v>191.3</v>
      </c>
      <c r="K252" s="2"/>
      <c r="L252" s="2" t="str">
        <f>IFERROR(__xludf.DUMMYFUNCTION("""COMPUTED_VALUE"""),"Delivered")</f>
        <v>Delivered</v>
      </c>
      <c r="M252" s="2" t="str">
        <f>IFERROR(__xludf.DUMMYFUNCTION("""COMPUTED_VALUE"""),"SR")</f>
        <v>SR</v>
      </c>
      <c r="N252" s="2" t="str">
        <f>IFERROR(__xludf.DUMMYFUNCTION("""COMPUTED_VALUE"""),"Credit, Debit, Apple Pay")</f>
        <v>Credit, Debit, Apple Pay</v>
      </c>
      <c r="O252" s="4">
        <f>IFERROR(__xludf.DUMMYFUNCTION("""COMPUTED_VALUE"""),0.0)</f>
        <v>0</v>
      </c>
      <c r="P252" s="2">
        <f>IFERROR(__xludf.DUMMYFUNCTION("""COMPUTED_VALUE"""),7.0)</f>
        <v>7</v>
      </c>
      <c r="Q252" s="2">
        <f>IFERROR(__xludf.DUMMYFUNCTION("""COMPUTED_VALUE"""),4.0)</f>
        <v>4</v>
      </c>
      <c r="R252" s="2">
        <f>IFERROR(__xludf.DUMMYFUNCTION("""COMPUTED_VALUE"""),2025.0)</f>
        <v>2025</v>
      </c>
      <c r="S252" s="2" t="str">
        <f>IFERROR(__xludf.DUMMYFUNCTION("""COMPUTED_VALUE"""),"Digizag")</f>
        <v>Digizag</v>
      </c>
      <c r="T252" s="2" t="str">
        <f>IFERROR(__xludf.DUMMYFUNCTION("""COMPUTED_VALUE"""),"Digizag")</f>
        <v>Digizag</v>
      </c>
      <c r="U252" s="5">
        <f>IFERROR(__xludf.DUMMYFUNCTION("""COMPUTED_VALUE"""),510.10455183984004)</f>
        <v>510.1045518</v>
      </c>
      <c r="V252" s="2"/>
      <c r="W252" s="2"/>
      <c r="X252" s="2"/>
      <c r="Y252" s="2"/>
      <c r="Z252" s="2"/>
    </row>
    <row r="253">
      <c r="A253" s="6">
        <f>IFERROR(__xludf.DUMMYFUNCTION("""COMPUTED_VALUE"""),45754.56903935185)</f>
        <v>45754.56904</v>
      </c>
      <c r="B253" s="2" t="str">
        <f>IFERROR(__xludf.DUMMYFUNCTION("""COMPUTED_VALUE"""),"April")</f>
        <v>April</v>
      </c>
      <c r="C253" s="3">
        <f>IFERROR(__xludf.DUMMYFUNCTION("""COMPUTED_VALUE"""),182703.0)</f>
        <v>182703</v>
      </c>
      <c r="D253" s="2" t="str">
        <f>IFERROR(__xludf.DUMMYFUNCTION("""COMPUTED_VALUE"""),"MNN15")</f>
        <v>MNN15</v>
      </c>
      <c r="E253" s="2" t="str">
        <f>IFERROR(__xludf.DUMMYFUNCTION("""COMPUTED_VALUE"""),"Imported from file DigiZag Codes 25Feb25.xlsx")</f>
        <v>Imported from file DigiZag Codes 25Feb25.xlsx</v>
      </c>
      <c r="F253" s="2" t="str">
        <f>IFERROR(__xludf.DUMMYFUNCTION("""COMPUTED_VALUE"""),"CPR398908")</f>
        <v>CPR398908</v>
      </c>
      <c r="G253" s="2" t="str">
        <f>IFERROR(__xludf.DUMMYFUNCTION("""COMPUTED_VALUE"""),"Bahrain")</f>
        <v>Bahrain</v>
      </c>
      <c r="H253" s="4">
        <f>IFERROR(__xludf.DUMMYFUNCTION("""COMPUTED_VALUE"""),66.85)</f>
        <v>66.85</v>
      </c>
      <c r="I253" s="3">
        <f>IFERROR(__xludf.DUMMYFUNCTION("""COMPUTED_VALUE"""),0.0)</f>
        <v>0</v>
      </c>
      <c r="J253" s="4">
        <f>IFERROR(__xludf.DUMMYFUNCTION("""COMPUTED_VALUE"""),6.68)</f>
        <v>6.68</v>
      </c>
      <c r="K253" s="2"/>
      <c r="L253" s="2" t="str">
        <f>IFERROR(__xludf.DUMMYFUNCTION("""COMPUTED_VALUE"""),"Delivered")</f>
        <v>Delivered</v>
      </c>
      <c r="M253" s="2" t="str">
        <f>IFERROR(__xludf.DUMMYFUNCTION("""COMPUTED_VALUE"""),"BHD")</f>
        <v>BHD</v>
      </c>
      <c r="N253" s="2" t="str">
        <f>IFERROR(__xludf.DUMMYFUNCTION("""COMPUTED_VALUE"""),"Credit, Debit")</f>
        <v>Credit, Debit</v>
      </c>
      <c r="O253" s="4">
        <f>IFERROR(__xludf.DUMMYFUNCTION("""COMPUTED_VALUE"""),0.0)</f>
        <v>0</v>
      </c>
      <c r="P253" s="2">
        <f>IFERROR(__xludf.DUMMYFUNCTION("""COMPUTED_VALUE"""),7.0)</f>
        <v>7</v>
      </c>
      <c r="Q253" s="2">
        <f>IFERROR(__xludf.DUMMYFUNCTION("""COMPUTED_VALUE"""),4.0)</f>
        <v>4</v>
      </c>
      <c r="R253" s="2">
        <f>IFERROR(__xludf.DUMMYFUNCTION("""COMPUTED_VALUE"""),2025.0)</f>
        <v>2025</v>
      </c>
      <c r="S253" s="2" t="str">
        <f>IFERROR(__xludf.DUMMYFUNCTION("""COMPUTED_VALUE"""),"Digizag")</f>
        <v>Digizag</v>
      </c>
      <c r="T253" s="2" t="str">
        <f>IFERROR(__xludf.DUMMYFUNCTION("""COMPUTED_VALUE"""),"Digizag")</f>
        <v>Digizag</v>
      </c>
      <c r="U253" s="5">
        <f>IFERROR(__xludf.DUMMYFUNCTION("""COMPUTED_VALUE"""),177.34750144999998)</f>
        <v>177.3475015</v>
      </c>
      <c r="V253" s="2"/>
      <c r="W253" s="2"/>
      <c r="X253" s="2"/>
      <c r="Y253" s="2"/>
      <c r="Z253" s="2"/>
    </row>
    <row r="254">
      <c r="A254" s="6">
        <f>IFERROR(__xludf.DUMMYFUNCTION("""COMPUTED_VALUE"""),45754.57513888889)</f>
        <v>45754.57514</v>
      </c>
      <c r="B254" s="2" t="str">
        <f>IFERROR(__xludf.DUMMYFUNCTION("""COMPUTED_VALUE"""),"April")</f>
        <v>April</v>
      </c>
      <c r="C254" s="3">
        <f>IFERROR(__xludf.DUMMYFUNCTION("""COMPUTED_VALUE"""),697164.0)</f>
        <v>697164</v>
      </c>
      <c r="D254" s="2" t="str">
        <f>IFERROR(__xludf.DUMMYFUNCTION("""COMPUTED_VALUE"""),"MNN16")</f>
        <v>MNN16</v>
      </c>
      <c r="E254" s="2" t="str">
        <f>IFERROR(__xludf.DUMMYFUNCTION("""COMPUTED_VALUE"""),"Imported from file DigiZag Bidding Codes.xlsx")</f>
        <v>Imported from file DigiZag Bidding Codes.xlsx</v>
      </c>
      <c r="F254" s="2" t="str">
        <f>IFERROR(__xludf.DUMMYFUNCTION("""COMPUTED_VALUE"""),"JQX117440")</f>
        <v>JQX117440</v>
      </c>
      <c r="G254" s="2" t="str">
        <f>IFERROR(__xludf.DUMMYFUNCTION("""COMPUTED_VALUE"""),"Kingdom of Saudi Arabia")</f>
        <v>Kingdom of Saudi Arabia</v>
      </c>
      <c r="H254" s="4">
        <f>IFERROR(__xludf.DUMMYFUNCTION("""COMPUTED_VALUE"""),181.0)</f>
        <v>181</v>
      </c>
      <c r="I254" s="3">
        <f>IFERROR(__xludf.DUMMYFUNCTION("""COMPUTED_VALUE"""),0.0)</f>
        <v>0</v>
      </c>
      <c r="J254" s="4">
        <f>IFERROR(__xludf.DUMMYFUNCTION("""COMPUTED_VALUE"""),18.1)</f>
        <v>18.1</v>
      </c>
      <c r="K254" s="2"/>
      <c r="L254" s="2" t="str">
        <f>IFERROR(__xludf.DUMMYFUNCTION("""COMPUTED_VALUE"""),"Delivered")</f>
        <v>Delivered</v>
      </c>
      <c r="M254" s="2" t="str">
        <f>IFERROR(__xludf.DUMMYFUNCTION("""COMPUTED_VALUE"""),"SR")</f>
        <v>SR</v>
      </c>
      <c r="N254" s="2" t="str">
        <f>IFERROR(__xludf.DUMMYFUNCTION("""COMPUTED_VALUE"""),"Pay in 4. No interest, no fees")</f>
        <v>Pay in 4. No interest, no fees</v>
      </c>
      <c r="O254" s="4">
        <f>IFERROR(__xludf.DUMMYFUNCTION("""COMPUTED_VALUE"""),0.0)</f>
        <v>0</v>
      </c>
      <c r="P254" s="2">
        <f>IFERROR(__xludf.DUMMYFUNCTION("""COMPUTED_VALUE"""),7.0)</f>
        <v>7</v>
      </c>
      <c r="Q254" s="2">
        <f>IFERROR(__xludf.DUMMYFUNCTION("""COMPUTED_VALUE"""),4.0)</f>
        <v>4</v>
      </c>
      <c r="R254" s="2">
        <f>IFERROR(__xludf.DUMMYFUNCTION("""COMPUTED_VALUE"""),2025.0)</f>
        <v>2025</v>
      </c>
      <c r="S254" s="2" t="str">
        <f>IFERROR(__xludf.DUMMYFUNCTION("""COMPUTED_VALUE"""),"Digizag")</f>
        <v>Digizag</v>
      </c>
      <c r="T254" s="2" t="str">
        <f>IFERROR(__xludf.DUMMYFUNCTION("""COMPUTED_VALUE"""),"Digizag")</f>
        <v>Digizag</v>
      </c>
      <c r="U254" s="5">
        <f>IFERROR(__xludf.DUMMYFUNCTION("""COMPUTED_VALUE"""),48.26293432600001)</f>
        <v>48.26293433</v>
      </c>
      <c r="V254" s="2"/>
      <c r="W254" s="2"/>
      <c r="X254" s="2"/>
      <c r="Y254" s="2"/>
      <c r="Z254" s="2"/>
    </row>
    <row r="255">
      <c r="A255" s="6">
        <f>IFERROR(__xludf.DUMMYFUNCTION("""COMPUTED_VALUE"""),45755.18011574074)</f>
        <v>45755.18012</v>
      </c>
      <c r="B255" s="2" t="str">
        <f>IFERROR(__xludf.DUMMYFUNCTION("""COMPUTED_VALUE"""),"April")</f>
        <v>April</v>
      </c>
      <c r="C255" s="3">
        <f>IFERROR(__xludf.DUMMYFUNCTION("""COMPUTED_VALUE"""),691678.0)</f>
        <v>691678</v>
      </c>
      <c r="D255" s="2" t="str">
        <f>IFERROR(__xludf.DUMMYFUNCTION("""COMPUTED_VALUE"""),"MNN16")</f>
        <v>MNN16</v>
      </c>
      <c r="E255" s="2" t="str">
        <f>IFERROR(__xludf.DUMMYFUNCTION("""COMPUTED_VALUE"""),"Imported from file DigiZag Codes 25Feb25.xlsx")</f>
        <v>Imported from file DigiZag Codes 25Feb25.xlsx</v>
      </c>
      <c r="F255" s="2" t="str">
        <f>IFERROR(__xludf.DUMMYFUNCTION("""COMPUTED_VALUE"""),"GNN581128")</f>
        <v>GNN581128</v>
      </c>
      <c r="G255" s="2" t="str">
        <f>IFERROR(__xludf.DUMMYFUNCTION("""COMPUTED_VALUE"""),"Kuwait")</f>
        <v>Kuwait</v>
      </c>
      <c r="H255" s="4">
        <f>IFERROR(__xludf.DUMMYFUNCTION("""COMPUTED_VALUE"""),14.95)</f>
        <v>14.95</v>
      </c>
      <c r="I255" s="3">
        <f>IFERROR(__xludf.DUMMYFUNCTION("""COMPUTED_VALUE"""),0.0)</f>
        <v>0</v>
      </c>
      <c r="J255" s="4">
        <f>IFERROR(__xludf.DUMMYFUNCTION("""COMPUTED_VALUE"""),1.495)</f>
        <v>1.495</v>
      </c>
      <c r="K255" s="2"/>
      <c r="L255" s="2" t="str">
        <f>IFERROR(__xludf.DUMMYFUNCTION("""COMPUTED_VALUE"""),"Delivered")</f>
        <v>Delivered</v>
      </c>
      <c r="M255" s="2" t="str">
        <f>IFERROR(__xludf.DUMMYFUNCTION("""COMPUTED_VALUE"""),"KD")</f>
        <v>KD</v>
      </c>
      <c r="N255" s="2" t="str">
        <f>IFERROR(__xludf.DUMMYFUNCTION("""COMPUTED_VALUE"""),"Credit, Debit, Knet")</f>
        <v>Credit, Debit, Knet</v>
      </c>
      <c r="O255" s="4">
        <f>IFERROR(__xludf.DUMMYFUNCTION("""COMPUTED_VALUE"""),0.0)</f>
        <v>0</v>
      </c>
      <c r="P255" s="2">
        <f>IFERROR(__xludf.DUMMYFUNCTION("""COMPUTED_VALUE"""),8.0)</f>
        <v>8</v>
      </c>
      <c r="Q255" s="2">
        <f>IFERROR(__xludf.DUMMYFUNCTION("""COMPUTED_VALUE"""),4.0)</f>
        <v>4</v>
      </c>
      <c r="R255" s="2">
        <f>IFERROR(__xludf.DUMMYFUNCTION("""COMPUTED_VALUE"""),2025.0)</f>
        <v>2025</v>
      </c>
      <c r="S255" s="2" t="str">
        <f>IFERROR(__xludf.DUMMYFUNCTION("""COMPUTED_VALUE"""),"Digizag")</f>
        <v>Digizag</v>
      </c>
      <c r="T255" s="2" t="str">
        <f>IFERROR(__xludf.DUMMYFUNCTION("""COMPUTED_VALUE"""),"Digizag")</f>
        <v>Digizag</v>
      </c>
      <c r="U255" s="5">
        <f>IFERROR(__xludf.DUMMYFUNCTION("""COMPUTED_VALUE"""),48.746269)</f>
        <v>48.746269</v>
      </c>
      <c r="V255" s="2"/>
      <c r="W255" s="2"/>
      <c r="X255" s="2"/>
      <c r="Y255" s="2"/>
      <c r="Z255" s="2"/>
    </row>
    <row r="256">
      <c r="A256" s="6">
        <f>IFERROR(__xludf.DUMMYFUNCTION("""COMPUTED_VALUE"""),45755.52138888889)</f>
        <v>45755.52139</v>
      </c>
      <c r="B256" s="2" t="str">
        <f>IFERROR(__xludf.DUMMYFUNCTION("""COMPUTED_VALUE"""),"April")</f>
        <v>April</v>
      </c>
      <c r="C256" s="3">
        <f>IFERROR(__xludf.DUMMYFUNCTION("""COMPUTED_VALUE"""),717577.0)</f>
        <v>717577</v>
      </c>
      <c r="D256" s="2" t="str">
        <f>IFERROR(__xludf.DUMMYFUNCTION("""COMPUTED_VALUE"""),"MIMI44")</f>
        <v>MIMI44</v>
      </c>
      <c r="E256" s="2" t="str">
        <f>IFERROR(__xludf.DUMMYFUNCTION("""COMPUTED_VALUE"""),"Imported from file DigiZag Codes 25Feb25.xlsx")</f>
        <v>Imported from file DigiZag Codes 25Feb25.xlsx</v>
      </c>
      <c r="F256" s="2" t="str">
        <f>IFERROR(__xludf.DUMMYFUNCTION("""COMPUTED_VALUE"""),"EQC705128")</f>
        <v>EQC705128</v>
      </c>
      <c r="G256" s="2" t="str">
        <f>IFERROR(__xludf.DUMMYFUNCTION("""COMPUTED_VALUE"""),"Kuwait")</f>
        <v>Kuwait</v>
      </c>
      <c r="H256" s="4">
        <f>IFERROR(__xludf.DUMMYFUNCTION("""COMPUTED_VALUE"""),9.85)</f>
        <v>9.85</v>
      </c>
      <c r="I256" s="3">
        <f>IFERROR(__xludf.DUMMYFUNCTION("""COMPUTED_VALUE"""),0.0)</f>
        <v>0</v>
      </c>
      <c r="J256" s="4">
        <f>IFERROR(__xludf.DUMMYFUNCTION("""COMPUTED_VALUE"""),0.985)</f>
        <v>0.985</v>
      </c>
      <c r="K256" s="2"/>
      <c r="L256" s="2" t="str">
        <f>IFERROR(__xludf.DUMMYFUNCTION("""COMPUTED_VALUE"""),"Delivered")</f>
        <v>Delivered</v>
      </c>
      <c r="M256" s="2" t="str">
        <f>IFERROR(__xludf.DUMMYFUNCTION("""COMPUTED_VALUE"""),"KD")</f>
        <v>KD</v>
      </c>
      <c r="N256" s="2" t="str">
        <f>IFERROR(__xludf.DUMMYFUNCTION("""COMPUTED_VALUE"""),"Credit, Debit, Knet")</f>
        <v>Credit, Debit, Knet</v>
      </c>
      <c r="O256" s="4">
        <f>IFERROR(__xludf.DUMMYFUNCTION("""COMPUTED_VALUE"""),0.0)</f>
        <v>0</v>
      </c>
      <c r="P256" s="2">
        <f>IFERROR(__xludf.DUMMYFUNCTION("""COMPUTED_VALUE"""),8.0)</f>
        <v>8</v>
      </c>
      <c r="Q256" s="2">
        <f>IFERROR(__xludf.DUMMYFUNCTION("""COMPUTED_VALUE"""),4.0)</f>
        <v>4</v>
      </c>
      <c r="R256" s="2">
        <f>IFERROR(__xludf.DUMMYFUNCTION("""COMPUTED_VALUE"""),2025.0)</f>
        <v>2025</v>
      </c>
      <c r="S256" s="2" t="str">
        <f>IFERROR(__xludf.DUMMYFUNCTION("""COMPUTED_VALUE"""),"Digizag")</f>
        <v>Digizag</v>
      </c>
      <c r="T256" s="2" t="str">
        <f>IFERROR(__xludf.DUMMYFUNCTION("""COMPUTED_VALUE"""),"Digizag")</f>
        <v>Digizag</v>
      </c>
      <c r="U256" s="5">
        <f>IFERROR(__xludf.DUMMYFUNCTION("""COMPUTED_VALUE"""),32.117107)</f>
        <v>32.117107</v>
      </c>
      <c r="V256" s="2"/>
      <c r="W256" s="2"/>
      <c r="X256" s="2"/>
      <c r="Y256" s="2"/>
      <c r="Z256" s="2"/>
    </row>
    <row r="257">
      <c r="A257" s="6">
        <f>IFERROR(__xludf.DUMMYFUNCTION("""COMPUTED_VALUE"""),45755.57098379629)</f>
        <v>45755.57098</v>
      </c>
      <c r="B257" s="2" t="str">
        <f>IFERROR(__xludf.DUMMYFUNCTION("""COMPUTED_VALUE"""),"April")</f>
        <v>April</v>
      </c>
      <c r="C257" s="3">
        <f>IFERROR(__xludf.DUMMYFUNCTION("""COMPUTED_VALUE"""),690350.0)</f>
        <v>690350</v>
      </c>
      <c r="D257" s="2" t="str">
        <f>IFERROR(__xludf.DUMMYFUNCTION("""COMPUTED_VALUE"""),"DB3")</f>
        <v>DB3</v>
      </c>
      <c r="E257" s="2" t="str">
        <f>IFERROR(__xludf.DUMMYFUNCTION("""COMPUTED_VALUE"""),"Imported from file Digizag.xlsx")</f>
        <v>Imported from file Digizag.xlsx</v>
      </c>
      <c r="F257" s="2" t="str">
        <f>IFERROR(__xludf.DUMMYFUNCTION("""COMPUTED_VALUE"""),"XLD775134")</f>
        <v>XLD775134</v>
      </c>
      <c r="G257" s="2" t="str">
        <f>IFERROR(__xludf.DUMMYFUNCTION("""COMPUTED_VALUE"""),"Kingdom of Saudi Arabia")</f>
        <v>Kingdom of Saudi Arabia</v>
      </c>
      <c r="H257" s="4">
        <f>IFERROR(__xludf.DUMMYFUNCTION("""COMPUTED_VALUE"""),135.86)</f>
        <v>135.86</v>
      </c>
      <c r="I257" s="3">
        <f>IFERROR(__xludf.DUMMYFUNCTION("""COMPUTED_VALUE"""),0.0)</f>
        <v>0</v>
      </c>
      <c r="J257" s="4">
        <f>IFERROR(__xludf.DUMMYFUNCTION("""COMPUTED_VALUE"""),13.58)</f>
        <v>13.58</v>
      </c>
      <c r="K257" s="2"/>
      <c r="L257" s="2" t="str">
        <f>IFERROR(__xludf.DUMMYFUNCTION("""COMPUTED_VALUE"""),"Delivered")</f>
        <v>Delivered</v>
      </c>
      <c r="M257" s="2" t="str">
        <f>IFERROR(__xludf.DUMMYFUNCTION("""COMPUTED_VALUE"""),"SR")</f>
        <v>SR</v>
      </c>
      <c r="N257" s="2" t="str">
        <f>IFERROR(__xludf.DUMMYFUNCTION("""COMPUTED_VALUE"""),"Cash")</f>
        <v>Cash</v>
      </c>
      <c r="O257" s="4">
        <f>IFERROR(__xludf.DUMMYFUNCTION("""COMPUTED_VALUE"""),0.0)</f>
        <v>0</v>
      </c>
      <c r="P257" s="2">
        <f>IFERROR(__xludf.DUMMYFUNCTION("""COMPUTED_VALUE"""),8.0)</f>
        <v>8</v>
      </c>
      <c r="Q257" s="2">
        <f>IFERROR(__xludf.DUMMYFUNCTION("""COMPUTED_VALUE"""),4.0)</f>
        <v>4</v>
      </c>
      <c r="R257" s="2">
        <f>IFERROR(__xludf.DUMMYFUNCTION("""COMPUTED_VALUE"""),2025.0)</f>
        <v>2025</v>
      </c>
      <c r="S257" s="2" t="str">
        <f>IFERROR(__xludf.DUMMYFUNCTION("""COMPUTED_VALUE"""),"Digizag")</f>
        <v>Digizag</v>
      </c>
      <c r="T257" s="2" t="str">
        <f>IFERROR(__xludf.DUMMYFUNCTION("""COMPUTED_VALUE"""),"Digizag")</f>
        <v>Digizag</v>
      </c>
      <c r="U257" s="5">
        <f>IFERROR(__xludf.DUMMYFUNCTION("""COMPUTED_VALUE"""),36.22653180956001)</f>
        <v>36.22653181</v>
      </c>
      <c r="V257" s="2"/>
      <c r="W257" s="2"/>
      <c r="X257" s="2"/>
      <c r="Y257" s="2"/>
      <c r="Z257" s="2"/>
    </row>
    <row r="258">
      <c r="A258" s="6">
        <f>IFERROR(__xludf.DUMMYFUNCTION("""COMPUTED_VALUE"""),45755.80384259259)</f>
        <v>45755.80384</v>
      </c>
      <c r="B258" s="2" t="str">
        <f>IFERROR(__xludf.DUMMYFUNCTION("""COMPUTED_VALUE"""),"April")</f>
        <v>April</v>
      </c>
      <c r="C258" s="3">
        <f>IFERROR(__xludf.DUMMYFUNCTION("""COMPUTED_VALUE"""),13435.0)</f>
        <v>13435</v>
      </c>
      <c r="D258" s="2" t="str">
        <f>IFERROR(__xludf.DUMMYFUNCTION("""COMPUTED_VALUE"""),"MNN16")</f>
        <v>MNN16</v>
      </c>
      <c r="E258" s="2" t="str">
        <f>IFERROR(__xludf.DUMMYFUNCTION("""COMPUTED_VALUE"""),"Imported from file DigiZag Bidding Codes.xlsx")</f>
        <v>Imported from file DigiZag Bidding Codes.xlsx</v>
      </c>
      <c r="F258" s="2" t="str">
        <f>IFERROR(__xludf.DUMMYFUNCTION("""COMPUTED_VALUE"""),"BJR636908")</f>
        <v>BJR636908</v>
      </c>
      <c r="G258" s="2" t="str">
        <f>IFERROR(__xludf.DUMMYFUNCTION("""COMPUTED_VALUE"""),"Kingdom of Saudi Arabia")</f>
        <v>Kingdom of Saudi Arabia</v>
      </c>
      <c r="H258" s="4">
        <f>IFERROR(__xludf.DUMMYFUNCTION("""COMPUTED_VALUE"""),1020.42)</f>
        <v>1020.42</v>
      </c>
      <c r="I258" s="3">
        <f>IFERROR(__xludf.DUMMYFUNCTION("""COMPUTED_VALUE"""),0.0)</f>
        <v>0</v>
      </c>
      <c r="J258" s="4">
        <f>IFERROR(__xludf.DUMMYFUNCTION("""COMPUTED_VALUE"""),102.04)</f>
        <v>102.04</v>
      </c>
      <c r="K258" s="2"/>
      <c r="L258" s="2" t="str">
        <f>IFERROR(__xludf.DUMMYFUNCTION("""COMPUTED_VALUE"""),"Delivered")</f>
        <v>Delivered</v>
      </c>
      <c r="M258" s="2" t="str">
        <f>IFERROR(__xludf.DUMMYFUNCTION("""COMPUTED_VALUE"""),"SR")</f>
        <v>SR</v>
      </c>
      <c r="N258" s="2" t="str">
        <f>IFERROR(__xludf.DUMMYFUNCTION("""COMPUTED_VALUE"""),"Credit, Debit, Apple Pay")</f>
        <v>Credit, Debit, Apple Pay</v>
      </c>
      <c r="O258" s="4">
        <f>IFERROR(__xludf.DUMMYFUNCTION("""COMPUTED_VALUE"""),0.0)</f>
        <v>0</v>
      </c>
      <c r="P258" s="2">
        <f>IFERROR(__xludf.DUMMYFUNCTION("""COMPUTED_VALUE"""),8.0)</f>
        <v>8</v>
      </c>
      <c r="Q258" s="2">
        <f>IFERROR(__xludf.DUMMYFUNCTION("""COMPUTED_VALUE"""),4.0)</f>
        <v>4</v>
      </c>
      <c r="R258" s="2">
        <f>IFERROR(__xludf.DUMMYFUNCTION("""COMPUTED_VALUE"""),2025.0)</f>
        <v>2025</v>
      </c>
      <c r="S258" s="2" t="str">
        <f>IFERROR(__xludf.DUMMYFUNCTION("""COMPUTED_VALUE"""),"Digizag")</f>
        <v>Digizag</v>
      </c>
      <c r="T258" s="2" t="str">
        <f>IFERROR(__xludf.DUMMYFUNCTION("""COMPUTED_VALUE"""),"Digizag")</f>
        <v>Digizag</v>
      </c>
      <c r="U258" s="5">
        <f>IFERROR(__xludf.DUMMYFUNCTION("""COMPUTED_VALUE"""),272.09095825932)</f>
        <v>272.0909583</v>
      </c>
      <c r="V258" s="2"/>
      <c r="W258" s="2"/>
      <c r="X258" s="2"/>
      <c r="Y258" s="2"/>
      <c r="Z258" s="2"/>
    </row>
    <row r="259">
      <c r="A259" s="6">
        <f>IFERROR(__xludf.DUMMYFUNCTION("""COMPUTED_VALUE"""),45755.85778935185)</f>
        <v>45755.85779</v>
      </c>
      <c r="B259" s="2" t="str">
        <f>IFERROR(__xludf.DUMMYFUNCTION("""COMPUTED_VALUE"""),"April")</f>
        <v>April</v>
      </c>
      <c r="C259" s="3">
        <f>IFERROR(__xludf.DUMMYFUNCTION("""COMPUTED_VALUE"""),717793.0)</f>
        <v>717793</v>
      </c>
      <c r="D259" s="2" t="str">
        <f>IFERROR(__xludf.DUMMYFUNCTION("""COMPUTED_VALUE"""),"MNN16")</f>
        <v>MNN16</v>
      </c>
      <c r="E259" s="2" t="str">
        <f>IFERROR(__xludf.DUMMYFUNCTION("""COMPUTED_VALUE"""),"Imported from file DigiZag Bidding Codes.xlsx")</f>
        <v>Imported from file DigiZag Bidding Codes.xlsx</v>
      </c>
      <c r="F259" s="2" t="str">
        <f>IFERROR(__xludf.DUMMYFUNCTION("""COMPUTED_VALUE"""),"GQV615011")</f>
        <v>GQV615011</v>
      </c>
      <c r="G259" s="2" t="str">
        <f>IFERROR(__xludf.DUMMYFUNCTION("""COMPUTED_VALUE"""),"Kingdom of Saudi Arabia")</f>
        <v>Kingdom of Saudi Arabia</v>
      </c>
      <c r="H259" s="4">
        <f>IFERROR(__xludf.DUMMYFUNCTION("""COMPUTED_VALUE"""),166.22)</f>
        <v>166.22</v>
      </c>
      <c r="I259" s="3">
        <f>IFERROR(__xludf.DUMMYFUNCTION("""COMPUTED_VALUE"""),0.0)</f>
        <v>0</v>
      </c>
      <c r="J259" s="4">
        <f>IFERROR(__xludf.DUMMYFUNCTION("""COMPUTED_VALUE"""),16.62)</f>
        <v>16.62</v>
      </c>
      <c r="K259" s="2"/>
      <c r="L259" s="2" t="str">
        <f>IFERROR(__xludf.DUMMYFUNCTION("""COMPUTED_VALUE"""),"Delivered")</f>
        <v>Delivered</v>
      </c>
      <c r="M259" s="2" t="str">
        <f>IFERROR(__xludf.DUMMYFUNCTION("""COMPUTED_VALUE"""),"SR")</f>
        <v>SR</v>
      </c>
      <c r="N259" s="2" t="str">
        <f>IFERROR(__xludf.DUMMYFUNCTION("""COMPUTED_VALUE"""),"Credit, Debit, Apple Pay")</f>
        <v>Credit, Debit, Apple Pay</v>
      </c>
      <c r="O259" s="4">
        <f>IFERROR(__xludf.DUMMYFUNCTION("""COMPUTED_VALUE"""),0.0)</f>
        <v>0</v>
      </c>
      <c r="P259" s="2">
        <f>IFERROR(__xludf.DUMMYFUNCTION("""COMPUTED_VALUE"""),8.0)</f>
        <v>8</v>
      </c>
      <c r="Q259" s="2">
        <f>IFERROR(__xludf.DUMMYFUNCTION("""COMPUTED_VALUE"""),4.0)</f>
        <v>4</v>
      </c>
      <c r="R259" s="2">
        <f>IFERROR(__xludf.DUMMYFUNCTION("""COMPUTED_VALUE"""),2025.0)</f>
        <v>2025</v>
      </c>
      <c r="S259" s="2" t="str">
        <f>IFERROR(__xludf.DUMMYFUNCTION("""COMPUTED_VALUE"""),"Digizag")</f>
        <v>Digizag</v>
      </c>
      <c r="T259" s="2" t="str">
        <f>IFERROR(__xludf.DUMMYFUNCTION("""COMPUTED_VALUE"""),"Digizag")</f>
        <v>Digizag</v>
      </c>
      <c r="U259" s="5">
        <f>IFERROR(__xludf.DUMMYFUNCTION("""COMPUTED_VALUE"""),44.321905766120004)</f>
        <v>44.32190577</v>
      </c>
      <c r="V259" s="2"/>
      <c r="W259" s="2"/>
      <c r="X259" s="2"/>
      <c r="Y259" s="2"/>
      <c r="Z259" s="2"/>
    </row>
    <row r="260">
      <c r="A260" s="6">
        <f>IFERROR(__xludf.DUMMYFUNCTION("""COMPUTED_VALUE"""),45755.86645833333)</f>
        <v>45755.86646</v>
      </c>
      <c r="B260" s="2" t="str">
        <f>IFERROR(__xludf.DUMMYFUNCTION("""COMPUTED_VALUE"""),"April")</f>
        <v>April</v>
      </c>
      <c r="C260" s="3">
        <f>IFERROR(__xludf.DUMMYFUNCTION("""COMPUTED_VALUE"""),397706.0)</f>
        <v>397706</v>
      </c>
      <c r="D260" s="2" t="str">
        <f>IFERROR(__xludf.DUMMYFUNCTION("""COMPUTED_VALUE"""),"DB3")</f>
        <v>DB3</v>
      </c>
      <c r="E260" s="2" t="str">
        <f>IFERROR(__xludf.DUMMYFUNCTION("""COMPUTED_VALUE"""),"Imported from file Digizag.xlsx")</f>
        <v>Imported from file Digizag.xlsx</v>
      </c>
      <c r="F260" s="2" t="str">
        <f>IFERROR(__xludf.DUMMYFUNCTION("""COMPUTED_VALUE"""),"WKT994334")</f>
        <v>WKT994334</v>
      </c>
      <c r="G260" s="2" t="str">
        <f>IFERROR(__xludf.DUMMYFUNCTION("""COMPUTED_VALUE"""),"UAE")</f>
        <v>UAE</v>
      </c>
      <c r="H260" s="4">
        <f>IFERROR(__xludf.DUMMYFUNCTION("""COMPUTED_VALUE"""),189.0)</f>
        <v>189</v>
      </c>
      <c r="I260" s="3">
        <f>IFERROR(__xludf.DUMMYFUNCTION("""COMPUTED_VALUE"""),0.0)</f>
        <v>0</v>
      </c>
      <c r="J260" s="4">
        <f>IFERROR(__xludf.DUMMYFUNCTION("""COMPUTED_VALUE"""),18.9)</f>
        <v>18.9</v>
      </c>
      <c r="K260" s="2"/>
      <c r="L260" s="2" t="str">
        <f>IFERROR(__xludf.DUMMYFUNCTION("""COMPUTED_VALUE"""),"Delivered")</f>
        <v>Delivered</v>
      </c>
      <c r="M260" s="2" t="str">
        <f>IFERROR(__xludf.DUMMYFUNCTION("""COMPUTED_VALUE"""),"AED")</f>
        <v>AED</v>
      </c>
      <c r="N260" s="2" t="str">
        <f>IFERROR(__xludf.DUMMYFUNCTION("""COMPUTED_VALUE"""),"Credit, Debit , Apple Pay")</f>
        <v>Credit, Debit , Apple Pay</v>
      </c>
      <c r="O260" s="4">
        <f>IFERROR(__xludf.DUMMYFUNCTION("""COMPUTED_VALUE"""),0.0)</f>
        <v>0</v>
      </c>
      <c r="P260" s="2">
        <f>IFERROR(__xludf.DUMMYFUNCTION("""COMPUTED_VALUE"""),8.0)</f>
        <v>8</v>
      </c>
      <c r="Q260" s="2">
        <f>IFERROR(__xludf.DUMMYFUNCTION("""COMPUTED_VALUE"""),4.0)</f>
        <v>4</v>
      </c>
      <c r="R260" s="2">
        <f>IFERROR(__xludf.DUMMYFUNCTION("""COMPUTED_VALUE"""),2025.0)</f>
        <v>2025</v>
      </c>
      <c r="S260" s="2" t="str">
        <f>IFERROR(__xludf.DUMMYFUNCTION("""COMPUTED_VALUE"""),"Digizag")</f>
        <v>Digizag</v>
      </c>
      <c r="T260" s="2" t="str">
        <f>IFERROR(__xludf.DUMMYFUNCTION("""COMPUTED_VALUE"""),"Digizag")</f>
        <v>Digizag</v>
      </c>
      <c r="U260" s="5">
        <f>IFERROR(__xludf.DUMMYFUNCTION("""COMPUTED_VALUE"""),51.463580742)</f>
        <v>51.46358074</v>
      </c>
      <c r="V260" s="2"/>
      <c r="W260" s="2"/>
      <c r="X260" s="2"/>
      <c r="Y260" s="2"/>
      <c r="Z260" s="2"/>
    </row>
    <row r="261">
      <c r="A261" s="6">
        <f>IFERROR(__xludf.DUMMYFUNCTION("""COMPUTED_VALUE"""),45755.96540509259)</f>
        <v>45755.96541</v>
      </c>
      <c r="B261" s="2" t="str">
        <f>IFERROR(__xludf.DUMMYFUNCTION("""COMPUTED_VALUE"""),"April")</f>
        <v>April</v>
      </c>
      <c r="C261" s="3">
        <f>IFERROR(__xludf.DUMMYFUNCTION("""COMPUTED_VALUE"""),674071.0)</f>
        <v>674071</v>
      </c>
      <c r="D261" s="2" t="str">
        <f>IFERROR(__xludf.DUMMYFUNCTION("""COMPUTED_VALUE"""),"DB3")</f>
        <v>DB3</v>
      </c>
      <c r="E261" s="2" t="str">
        <f>IFERROR(__xludf.DUMMYFUNCTION("""COMPUTED_VALUE"""),"Imported from file Digizag.xlsx")</f>
        <v>Imported from file Digizag.xlsx</v>
      </c>
      <c r="F261" s="2" t="str">
        <f>IFERROR(__xludf.DUMMYFUNCTION("""COMPUTED_VALUE"""),"TQP817260")</f>
        <v>TQP817260</v>
      </c>
      <c r="G261" s="2" t="str">
        <f>IFERROR(__xludf.DUMMYFUNCTION("""COMPUTED_VALUE"""),"UAE")</f>
        <v>UAE</v>
      </c>
      <c r="H261" s="4">
        <f>IFERROR(__xludf.DUMMYFUNCTION("""COMPUTED_VALUE"""),262.76)</f>
        <v>262.76</v>
      </c>
      <c r="I261" s="3">
        <f>IFERROR(__xludf.DUMMYFUNCTION("""COMPUTED_VALUE"""),0.0)</f>
        <v>0</v>
      </c>
      <c r="J261" s="4">
        <f>IFERROR(__xludf.DUMMYFUNCTION("""COMPUTED_VALUE"""),26.27)</f>
        <v>26.27</v>
      </c>
      <c r="K261" s="2"/>
      <c r="L261" s="2" t="str">
        <f>IFERROR(__xludf.DUMMYFUNCTION("""COMPUTED_VALUE"""),"Delivered")</f>
        <v>Delivered</v>
      </c>
      <c r="M261" s="2" t="str">
        <f>IFERROR(__xludf.DUMMYFUNCTION("""COMPUTED_VALUE"""),"AED")</f>
        <v>AED</v>
      </c>
      <c r="N261" s="2" t="str">
        <f>IFERROR(__xludf.DUMMYFUNCTION("""COMPUTED_VALUE"""),"Credit, Debit , Apple Pay")</f>
        <v>Credit, Debit , Apple Pay</v>
      </c>
      <c r="O261" s="4">
        <f>IFERROR(__xludf.DUMMYFUNCTION("""COMPUTED_VALUE"""),0.0)</f>
        <v>0</v>
      </c>
      <c r="P261" s="2">
        <f>IFERROR(__xludf.DUMMYFUNCTION("""COMPUTED_VALUE"""),8.0)</f>
        <v>8</v>
      </c>
      <c r="Q261" s="2">
        <f>IFERROR(__xludf.DUMMYFUNCTION("""COMPUTED_VALUE"""),4.0)</f>
        <v>4</v>
      </c>
      <c r="R261" s="2">
        <f>IFERROR(__xludf.DUMMYFUNCTION("""COMPUTED_VALUE"""),2025.0)</f>
        <v>2025</v>
      </c>
      <c r="S261" s="2" t="str">
        <f>IFERROR(__xludf.DUMMYFUNCTION("""COMPUTED_VALUE"""),"Digizag")</f>
        <v>Digizag</v>
      </c>
      <c r="T261" s="2" t="str">
        <f>IFERROR(__xludf.DUMMYFUNCTION("""COMPUTED_VALUE"""),"Digizag")</f>
        <v>Digizag</v>
      </c>
      <c r="U261" s="5">
        <f>IFERROR(__xludf.DUMMYFUNCTION("""COMPUTED_VALUE"""),71.54799193528)</f>
        <v>71.54799194</v>
      </c>
      <c r="V261" s="2"/>
      <c r="W261" s="2"/>
      <c r="X261" s="2"/>
      <c r="Y261" s="2"/>
      <c r="Z261" s="2"/>
    </row>
    <row r="262">
      <c r="A262" s="6">
        <f>IFERROR(__xludf.DUMMYFUNCTION("""COMPUTED_VALUE"""),45756.019745370366)</f>
        <v>45756.01975</v>
      </c>
      <c r="B262" s="2" t="str">
        <f>IFERROR(__xludf.DUMMYFUNCTION("""COMPUTED_VALUE"""),"April")</f>
        <v>April</v>
      </c>
      <c r="C262" s="3">
        <f>IFERROR(__xludf.DUMMYFUNCTION("""COMPUTED_VALUE"""),49118.0)</f>
        <v>49118</v>
      </c>
      <c r="D262" s="2" t="str">
        <f>IFERROR(__xludf.DUMMYFUNCTION("""COMPUTED_VALUE"""),"DB3")</f>
        <v>DB3</v>
      </c>
      <c r="E262" s="2" t="str">
        <f>IFERROR(__xludf.DUMMYFUNCTION("""COMPUTED_VALUE"""),"Imported from file Digizag.xlsx")</f>
        <v>Imported from file Digizag.xlsx</v>
      </c>
      <c r="F262" s="2" t="str">
        <f>IFERROR(__xludf.DUMMYFUNCTION("""COMPUTED_VALUE"""),"GWA649845")</f>
        <v>GWA649845</v>
      </c>
      <c r="G262" s="2" t="str">
        <f>IFERROR(__xludf.DUMMYFUNCTION("""COMPUTED_VALUE"""),"Kingdom of Saudi Arabia")</f>
        <v>Kingdom of Saudi Arabia</v>
      </c>
      <c r="H262" s="4">
        <f>IFERROR(__xludf.DUMMYFUNCTION("""COMPUTED_VALUE"""),199.0)</f>
        <v>199</v>
      </c>
      <c r="I262" s="3">
        <f>IFERROR(__xludf.DUMMYFUNCTION("""COMPUTED_VALUE"""),0.0)</f>
        <v>0</v>
      </c>
      <c r="J262" s="4">
        <f>IFERROR(__xludf.DUMMYFUNCTION("""COMPUTED_VALUE"""),19.9)</f>
        <v>19.9</v>
      </c>
      <c r="K262" s="2"/>
      <c r="L262" s="2" t="str">
        <f>IFERROR(__xludf.DUMMYFUNCTION("""COMPUTED_VALUE"""),"Delivered")</f>
        <v>Delivered</v>
      </c>
      <c r="M262" s="2" t="str">
        <f>IFERROR(__xludf.DUMMYFUNCTION("""COMPUTED_VALUE"""),"SR")</f>
        <v>SR</v>
      </c>
      <c r="N262" s="2" t="str">
        <f>IFERROR(__xludf.DUMMYFUNCTION("""COMPUTED_VALUE"""),"Credit, Debit, Apple Pay")</f>
        <v>Credit, Debit, Apple Pay</v>
      </c>
      <c r="O262" s="4">
        <f>IFERROR(__xludf.DUMMYFUNCTION("""COMPUTED_VALUE"""),0.0)</f>
        <v>0</v>
      </c>
      <c r="P262" s="2">
        <f>IFERROR(__xludf.DUMMYFUNCTION("""COMPUTED_VALUE"""),9.0)</f>
        <v>9</v>
      </c>
      <c r="Q262" s="2">
        <f>IFERROR(__xludf.DUMMYFUNCTION("""COMPUTED_VALUE"""),4.0)</f>
        <v>4</v>
      </c>
      <c r="R262" s="2">
        <f>IFERROR(__xludf.DUMMYFUNCTION("""COMPUTED_VALUE"""),2025.0)</f>
        <v>2025</v>
      </c>
      <c r="S262" s="2" t="str">
        <f>IFERROR(__xludf.DUMMYFUNCTION("""COMPUTED_VALUE"""),"Digizag")</f>
        <v>Digizag</v>
      </c>
      <c r="T262" s="2" t="str">
        <f>IFERROR(__xludf.DUMMYFUNCTION("""COMPUTED_VALUE"""),"Digizag")</f>
        <v>Digizag</v>
      </c>
      <c r="U262" s="5">
        <f>IFERROR(__xludf.DUMMYFUNCTION("""COMPUTED_VALUE"""),53.062563154)</f>
        <v>53.06256315</v>
      </c>
      <c r="V262" s="2"/>
      <c r="W262" s="2"/>
      <c r="X262" s="2"/>
      <c r="Y262" s="2"/>
      <c r="Z262" s="2"/>
    </row>
    <row r="263">
      <c r="A263" s="6">
        <f>IFERROR(__xludf.DUMMYFUNCTION("""COMPUTED_VALUE"""),45756.255011574074)</f>
        <v>45756.25501</v>
      </c>
      <c r="B263" s="2" t="str">
        <f>IFERROR(__xludf.DUMMYFUNCTION("""COMPUTED_VALUE"""),"April")</f>
        <v>April</v>
      </c>
      <c r="C263" s="3">
        <f>IFERROR(__xludf.DUMMYFUNCTION("""COMPUTED_VALUE"""),51896.0)</f>
        <v>51896</v>
      </c>
      <c r="D263" s="2" t="str">
        <f>IFERROR(__xludf.DUMMYFUNCTION("""COMPUTED_VALUE"""),"DB3")</f>
        <v>DB3</v>
      </c>
      <c r="E263" s="2" t="str">
        <f>IFERROR(__xludf.DUMMYFUNCTION("""COMPUTED_VALUE"""),"Imported from file Digizag.xlsx")</f>
        <v>Imported from file Digizag.xlsx</v>
      </c>
      <c r="F263" s="2" t="str">
        <f>IFERROR(__xludf.DUMMYFUNCTION("""COMPUTED_VALUE"""),"DXY781870")</f>
        <v>DXY781870</v>
      </c>
      <c r="G263" s="2" t="str">
        <f>IFERROR(__xludf.DUMMYFUNCTION("""COMPUTED_VALUE"""),"Kingdom of Saudi Arabia")</f>
        <v>Kingdom of Saudi Arabia</v>
      </c>
      <c r="H263" s="4">
        <f>IFERROR(__xludf.DUMMYFUNCTION("""COMPUTED_VALUE"""),224.0)</f>
        <v>224</v>
      </c>
      <c r="I263" s="3">
        <f>IFERROR(__xludf.DUMMYFUNCTION("""COMPUTED_VALUE"""),0.0)</f>
        <v>0</v>
      </c>
      <c r="J263" s="4">
        <f>IFERROR(__xludf.DUMMYFUNCTION("""COMPUTED_VALUE"""),22.4)</f>
        <v>22.4</v>
      </c>
      <c r="K263" s="2"/>
      <c r="L263" s="2" t="str">
        <f>IFERROR(__xludf.DUMMYFUNCTION("""COMPUTED_VALUE"""),"Delivered")</f>
        <v>Delivered</v>
      </c>
      <c r="M263" s="2" t="str">
        <f>IFERROR(__xludf.DUMMYFUNCTION("""COMPUTED_VALUE"""),"SR")</f>
        <v>SR</v>
      </c>
      <c r="N263" s="2" t="str">
        <f>IFERROR(__xludf.DUMMYFUNCTION("""COMPUTED_VALUE"""),"Credit, Debit, Apple Pay")</f>
        <v>Credit, Debit, Apple Pay</v>
      </c>
      <c r="O263" s="4">
        <f>IFERROR(__xludf.DUMMYFUNCTION("""COMPUTED_VALUE"""),0.0)</f>
        <v>0</v>
      </c>
      <c r="P263" s="2">
        <f>IFERROR(__xludf.DUMMYFUNCTION("""COMPUTED_VALUE"""),9.0)</f>
        <v>9</v>
      </c>
      <c r="Q263" s="2">
        <f>IFERROR(__xludf.DUMMYFUNCTION("""COMPUTED_VALUE"""),4.0)</f>
        <v>4</v>
      </c>
      <c r="R263" s="2">
        <f>IFERROR(__xludf.DUMMYFUNCTION("""COMPUTED_VALUE"""),2025.0)</f>
        <v>2025</v>
      </c>
      <c r="S263" s="2" t="str">
        <f>IFERROR(__xludf.DUMMYFUNCTION("""COMPUTED_VALUE"""),"Digizag")</f>
        <v>Digizag</v>
      </c>
      <c r="T263" s="2" t="str">
        <f>IFERROR(__xludf.DUMMYFUNCTION("""COMPUTED_VALUE"""),"Digizag")</f>
        <v>Digizag</v>
      </c>
      <c r="U263" s="5">
        <f>IFERROR(__xludf.DUMMYFUNCTION("""COMPUTED_VALUE"""),59.72871430400001)</f>
        <v>59.7287143</v>
      </c>
      <c r="V263" s="2"/>
      <c r="W263" s="2"/>
      <c r="X263" s="2"/>
      <c r="Y263" s="2"/>
      <c r="Z263" s="2"/>
    </row>
    <row r="264">
      <c r="A264" s="6">
        <f>IFERROR(__xludf.DUMMYFUNCTION("""COMPUTED_VALUE"""),45756.27006944444)</f>
        <v>45756.27007</v>
      </c>
      <c r="B264" s="2" t="str">
        <f>IFERROR(__xludf.DUMMYFUNCTION("""COMPUTED_VALUE"""),"April")</f>
        <v>April</v>
      </c>
      <c r="C264" s="3">
        <f>IFERROR(__xludf.DUMMYFUNCTION("""COMPUTED_VALUE"""),242669.0)</f>
        <v>242669</v>
      </c>
      <c r="D264" s="2" t="str">
        <f>IFERROR(__xludf.DUMMYFUNCTION("""COMPUTED_VALUE"""),"MNN16")</f>
        <v>MNN16</v>
      </c>
      <c r="E264" s="2" t="str">
        <f>IFERROR(__xludf.DUMMYFUNCTION("""COMPUTED_VALUE"""),"Imported from file DigiZag Codes 25Feb25.xlsx")</f>
        <v>Imported from file DigiZag Codes 25Feb25.xlsx</v>
      </c>
      <c r="F264" s="2" t="str">
        <f>IFERROR(__xludf.DUMMYFUNCTION("""COMPUTED_VALUE"""),"MUA397791")</f>
        <v>MUA397791</v>
      </c>
      <c r="G264" s="2" t="str">
        <f>IFERROR(__xludf.DUMMYFUNCTION("""COMPUTED_VALUE"""),"UAE")</f>
        <v>UAE</v>
      </c>
      <c r="H264" s="4">
        <f>IFERROR(__xludf.DUMMYFUNCTION("""COMPUTED_VALUE"""),141.0)</f>
        <v>141</v>
      </c>
      <c r="I264" s="3">
        <f>IFERROR(__xludf.DUMMYFUNCTION("""COMPUTED_VALUE"""),0.0)</f>
        <v>0</v>
      </c>
      <c r="J264" s="4">
        <f>IFERROR(__xludf.DUMMYFUNCTION("""COMPUTED_VALUE"""),14.1)</f>
        <v>14.1</v>
      </c>
      <c r="K264" s="2"/>
      <c r="L264" s="2" t="str">
        <f>IFERROR(__xludf.DUMMYFUNCTION("""COMPUTED_VALUE"""),"Delivered")</f>
        <v>Delivered</v>
      </c>
      <c r="M264" s="2" t="str">
        <f>IFERROR(__xludf.DUMMYFUNCTION("""COMPUTED_VALUE"""),"AED")</f>
        <v>AED</v>
      </c>
      <c r="N264" s="2" t="str">
        <f>IFERROR(__xludf.DUMMYFUNCTION("""COMPUTED_VALUE"""),"Credit, Debit , Apple Pay")</f>
        <v>Credit, Debit , Apple Pay</v>
      </c>
      <c r="O264" s="4">
        <f>IFERROR(__xludf.DUMMYFUNCTION("""COMPUTED_VALUE"""),0.0)</f>
        <v>0</v>
      </c>
      <c r="P264" s="2">
        <f>IFERROR(__xludf.DUMMYFUNCTION("""COMPUTED_VALUE"""),9.0)</f>
        <v>9</v>
      </c>
      <c r="Q264" s="2">
        <f>IFERROR(__xludf.DUMMYFUNCTION("""COMPUTED_VALUE"""),4.0)</f>
        <v>4</v>
      </c>
      <c r="R264" s="2">
        <f>IFERROR(__xludf.DUMMYFUNCTION("""COMPUTED_VALUE"""),2025.0)</f>
        <v>2025</v>
      </c>
      <c r="S264" s="2" t="str">
        <f>IFERROR(__xludf.DUMMYFUNCTION("""COMPUTED_VALUE"""),"Digizag")</f>
        <v>Digizag</v>
      </c>
      <c r="T264" s="2" t="str">
        <f>IFERROR(__xludf.DUMMYFUNCTION("""COMPUTED_VALUE"""),"Digizag")</f>
        <v>Digizag</v>
      </c>
      <c r="U264" s="5">
        <f>IFERROR(__xludf.DUMMYFUNCTION("""COMPUTED_VALUE"""),38.393464998)</f>
        <v>38.393465</v>
      </c>
      <c r="V264" s="2"/>
      <c r="W264" s="2"/>
      <c r="X264" s="2"/>
      <c r="Y264" s="2"/>
      <c r="Z264" s="2"/>
    </row>
    <row r="265">
      <c r="A265" s="6">
        <f>IFERROR(__xludf.DUMMYFUNCTION("""COMPUTED_VALUE"""),45756.463912037034)</f>
        <v>45756.46391</v>
      </c>
      <c r="B265" s="2" t="str">
        <f>IFERROR(__xludf.DUMMYFUNCTION("""COMPUTED_VALUE"""),"April")</f>
        <v>April</v>
      </c>
      <c r="C265" s="3">
        <f>IFERROR(__xludf.DUMMYFUNCTION("""COMPUTED_VALUE"""),259474.0)</f>
        <v>259474</v>
      </c>
      <c r="D265" s="2" t="str">
        <f>IFERROR(__xludf.DUMMYFUNCTION("""COMPUTED_VALUE"""),"DB3")</f>
        <v>DB3</v>
      </c>
      <c r="E265" s="2" t="str">
        <f>IFERROR(__xludf.DUMMYFUNCTION("""COMPUTED_VALUE"""),"Imported from file Digizag.xlsx")</f>
        <v>Imported from file Digizag.xlsx</v>
      </c>
      <c r="F265" s="2" t="str">
        <f>IFERROR(__xludf.DUMMYFUNCTION("""COMPUTED_VALUE"""),"MXU177938")</f>
        <v>MXU177938</v>
      </c>
      <c r="G265" s="2" t="str">
        <f>IFERROR(__xludf.DUMMYFUNCTION("""COMPUTED_VALUE"""),"UAE")</f>
        <v>UAE</v>
      </c>
      <c r="H265" s="4">
        <f>IFERROR(__xludf.DUMMYFUNCTION("""COMPUTED_VALUE"""),218.0)</f>
        <v>218</v>
      </c>
      <c r="I265" s="3">
        <f>IFERROR(__xludf.DUMMYFUNCTION("""COMPUTED_VALUE"""),0.0)</f>
        <v>0</v>
      </c>
      <c r="J265" s="4">
        <f>IFERROR(__xludf.DUMMYFUNCTION("""COMPUTED_VALUE"""),21.8)</f>
        <v>21.8</v>
      </c>
      <c r="K265" s="2"/>
      <c r="L265" s="2" t="str">
        <f>IFERROR(__xludf.DUMMYFUNCTION("""COMPUTED_VALUE"""),"Delivered")</f>
        <v>Delivered</v>
      </c>
      <c r="M265" s="2" t="str">
        <f>IFERROR(__xludf.DUMMYFUNCTION("""COMPUTED_VALUE"""),"AED")</f>
        <v>AED</v>
      </c>
      <c r="N265" s="2" t="str">
        <f>IFERROR(__xludf.DUMMYFUNCTION("""COMPUTED_VALUE"""),"Credit, Debit , Apple Pay")</f>
        <v>Credit, Debit , Apple Pay</v>
      </c>
      <c r="O265" s="4">
        <f>IFERROR(__xludf.DUMMYFUNCTION("""COMPUTED_VALUE"""),0.0)</f>
        <v>0</v>
      </c>
      <c r="P265" s="2">
        <f>IFERROR(__xludf.DUMMYFUNCTION("""COMPUTED_VALUE"""),9.0)</f>
        <v>9</v>
      </c>
      <c r="Q265" s="2">
        <f>IFERROR(__xludf.DUMMYFUNCTION("""COMPUTED_VALUE"""),4.0)</f>
        <v>4</v>
      </c>
      <c r="R265" s="2">
        <f>IFERROR(__xludf.DUMMYFUNCTION("""COMPUTED_VALUE"""),2025.0)</f>
        <v>2025</v>
      </c>
      <c r="S265" s="2" t="str">
        <f>IFERROR(__xludf.DUMMYFUNCTION("""COMPUTED_VALUE"""),"Digizag")</f>
        <v>Digizag</v>
      </c>
      <c r="T265" s="2" t="str">
        <f>IFERROR(__xludf.DUMMYFUNCTION("""COMPUTED_VALUE"""),"Digizag")</f>
        <v>Digizag</v>
      </c>
      <c r="U265" s="5">
        <f>IFERROR(__xludf.DUMMYFUNCTION("""COMPUTED_VALUE"""),59.360109004)</f>
        <v>59.360109</v>
      </c>
      <c r="V265" s="2"/>
      <c r="W265" s="2"/>
      <c r="X265" s="2"/>
      <c r="Y265" s="2"/>
      <c r="Z265" s="2"/>
    </row>
    <row r="266">
      <c r="A266" s="6">
        <f>IFERROR(__xludf.DUMMYFUNCTION("""COMPUTED_VALUE"""),45756.59539351852)</f>
        <v>45756.59539</v>
      </c>
      <c r="B266" s="2" t="str">
        <f>IFERROR(__xludf.DUMMYFUNCTION("""COMPUTED_VALUE"""),"April")</f>
        <v>April</v>
      </c>
      <c r="C266" s="3">
        <f>IFERROR(__xludf.DUMMYFUNCTION("""COMPUTED_VALUE"""),718065.0)</f>
        <v>718065</v>
      </c>
      <c r="D266" s="2" t="str">
        <f>IFERROR(__xludf.DUMMYFUNCTION("""COMPUTED_VALUE"""),"MNN16")</f>
        <v>MNN16</v>
      </c>
      <c r="E266" s="2" t="str">
        <f>IFERROR(__xludf.DUMMYFUNCTION("""COMPUTED_VALUE"""),"Imported from file DigiZag Codes 25Feb25.xlsx")</f>
        <v>Imported from file DigiZag Codes 25Feb25.xlsx</v>
      </c>
      <c r="F266" s="2" t="str">
        <f>IFERROR(__xludf.DUMMYFUNCTION("""COMPUTED_VALUE"""),"ZPA937875")</f>
        <v>ZPA937875</v>
      </c>
      <c r="G266" s="2" t="str">
        <f>IFERROR(__xludf.DUMMYFUNCTION("""COMPUTED_VALUE"""),"Bahrain")</f>
        <v>Bahrain</v>
      </c>
      <c r="H266" s="4">
        <f>IFERROR(__xludf.DUMMYFUNCTION("""COMPUTED_VALUE"""),5.0)</f>
        <v>5</v>
      </c>
      <c r="I266" s="3">
        <f>IFERROR(__xludf.DUMMYFUNCTION("""COMPUTED_VALUE"""),0.0)</f>
        <v>0</v>
      </c>
      <c r="J266" s="4">
        <f>IFERROR(__xludf.DUMMYFUNCTION("""COMPUTED_VALUE"""),0.5)</f>
        <v>0.5</v>
      </c>
      <c r="K266" s="2"/>
      <c r="L266" s="2" t="str">
        <f>IFERROR(__xludf.DUMMYFUNCTION("""COMPUTED_VALUE"""),"Delivered")</f>
        <v>Delivered</v>
      </c>
      <c r="M266" s="2" t="str">
        <f>IFERROR(__xludf.DUMMYFUNCTION("""COMPUTED_VALUE"""),"BHD")</f>
        <v>BHD</v>
      </c>
      <c r="N266" s="2" t="str">
        <f>IFERROR(__xludf.DUMMYFUNCTION("""COMPUTED_VALUE"""),"Credit, Debit")</f>
        <v>Credit, Debit</v>
      </c>
      <c r="O266" s="4">
        <f>IFERROR(__xludf.DUMMYFUNCTION("""COMPUTED_VALUE"""),0.0)</f>
        <v>0</v>
      </c>
      <c r="P266" s="2">
        <f>IFERROR(__xludf.DUMMYFUNCTION("""COMPUTED_VALUE"""),9.0)</f>
        <v>9</v>
      </c>
      <c r="Q266" s="2">
        <f>IFERROR(__xludf.DUMMYFUNCTION("""COMPUTED_VALUE"""),4.0)</f>
        <v>4</v>
      </c>
      <c r="R266" s="2">
        <f>IFERROR(__xludf.DUMMYFUNCTION("""COMPUTED_VALUE"""),2025.0)</f>
        <v>2025</v>
      </c>
      <c r="S266" s="2" t="str">
        <f>IFERROR(__xludf.DUMMYFUNCTION("""COMPUTED_VALUE"""),"Digizag")</f>
        <v>Digizag</v>
      </c>
      <c r="T266" s="2" t="str">
        <f>IFERROR(__xludf.DUMMYFUNCTION("""COMPUTED_VALUE"""),"Digizag")</f>
        <v>Digizag</v>
      </c>
      <c r="U266" s="5">
        <f>IFERROR(__xludf.DUMMYFUNCTION("""COMPUTED_VALUE"""),13.264585)</f>
        <v>13.264585</v>
      </c>
      <c r="V266" s="2"/>
      <c r="W266" s="2"/>
      <c r="X266" s="2"/>
      <c r="Y266" s="2"/>
      <c r="Z266" s="2"/>
    </row>
    <row r="267">
      <c r="A267" s="6">
        <f>IFERROR(__xludf.DUMMYFUNCTION("""COMPUTED_VALUE"""),45756.68111111111)</f>
        <v>45756.68111</v>
      </c>
      <c r="B267" s="2" t="str">
        <f>IFERROR(__xludf.DUMMYFUNCTION("""COMPUTED_VALUE"""),"April")</f>
        <v>April</v>
      </c>
      <c r="C267" s="3">
        <f>IFERROR(__xludf.DUMMYFUNCTION("""COMPUTED_VALUE"""),224003.0)</f>
        <v>224003</v>
      </c>
      <c r="D267" s="2" t="str">
        <f>IFERROR(__xludf.DUMMYFUNCTION("""COMPUTED_VALUE"""),"DB3")</f>
        <v>DB3</v>
      </c>
      <c r="E267" s="2" t="str">
        <f>IFERROR(__xludf.DUMMYFUNCTION("""COMPUTED_VALUE"""),"Imported from file Digizag.xlsx")</f>
        <v>Imported from file Digizag.xlsx</v>
      </c>
      <c r="F267" s="2" t="str">
        <f>IFERROR(__xludf.DUMMYFUNCTION("""COMPUTED_VALUE"""),"DXM616012")</f>
        <v>DXM616012</v>
      </c>
      <c r="G267" s="2" t="str">
        <f>IFERROR(__xludf.DUMMYFUNCTION("""COMPUTED_VALUE"""),"Kingdom of Saudi Arabia")</f>
        <v>Kingdom of Saudi Arabia</v>
      </c>
      <c r="H267" s="4">
        <f>IFERROR(__xludf.DUMMYFUNCTION("""COMPUTED_VALUE"""),107.76)</f>
        <v>107.76</v>
      </c>
      <c r="I267" s="3">
        <f>IFERROR(__xludf.DUMMYFUNCTION("""COMPUTED_VALUE"""),0.0)</f>
        <v>0</v>
      </c>
      <c r="J267" s="4">
        <f>IFERROR(__xludf.DUMMYFUNCTION("""COMPUTED_VALUE"""),10.77)</f>
        <v>10.77</v>
      </c>
      <c r="K267" s="2"/>
      <c r="L267" s="2" t="str">
        <f>IFERROR(__xludf.DUMMYFUNCTION("""COMPUTED_VALUE"""),"Delivered")</f>
        <v>Delivered</v>
      </c>
      <c r="M267" s="2" t="str">
        <f>IFERROR(__xludf.DUMMYFUNCTION("""COMPUTED_VALUE"""),"SR")</f>
        <v>SR</v>
      </c>
      <c r="N267" s="2" t="str">
        <f>IFERROR(__xludf.DUMMYFUNCTION("""COMPUTED_VALUE"""),"Credit, Debit, Apple Pay")</f>
        <v>Credit, Debit, Apple Pay</v>
      </c>
      <c r="O267" s="4">
        <f>IFERROR(__xludf.DUMMYFUNCTION("""COMPUTED_VALUE"""),0.0)</f>
        <v>0</v>
      </c>
      <c r="P267" s="2">
        <f>IFERROR(__xludf.DUMMYFUNCTION("""COMPUTED_VALUE"""),9.0)</f>
        <v>9</v>
      </c>
      <c r="Q267" s="2">
        <f>IFERROR(__xludf.DUMMYFUNCTION("""COMPUTED_VALUE"""),4.0)</f>
        <v>4</v>
      </c>
      <c r="R267" s="2">
        <f>IFERROR(__xludf.DUMMYFUNCTION("""COMPUTED_VALUE"""),2025.0)</f>
        <v>2025</v>
      </c>
      <c r="S267" s="2" t="str">
        <f>IFERROR(__xludf.DUMMYFUNCTION("""COMPUTED_VALUE"""),"Digizag")</f>
        <v>Digizag</v>
      </c>
      <c r="T267" s="2" t="str">
        <f>IFERROR(__xludf.DUMMYFUNCTION("""COMPUTED_VALUE"""),"Digizag")</f>
        <v>Digizag</v>
      </c>
      <c r="U267" s="5">
        <f>IFERROR(__xludf.DUMMYFUNCTION("""COMPUTED_VALUE"""),28.733777916960005)</f>
        <v>28.73377792</v>
      </c>
      <c r="V267" s="2"/>
      <c r="W267" s="2"/>
      <c r="X267" s="2"/>
      <c r="Y267" s="2"/>
      <c r="Z267" s="2"/>
    </row>
    <row r="268">
      <c r="A268" s="6">
        <f>IFERROR(__xludf.DUMMYFUNCTION("""COMPUTED_VALUE"""),45756.713171296295)</f>
        <v>45756.71317</v>
      </c>
      <c r="B268" s="2" t="str">
        <f>IFERROR(__xludf.DUMMYFUNCTION("""COMPUTED_VALUE"""),"April")</f>
        <v>April</v>
      </c>
      <c r="C268" s="3">
        <f>IFERROR(__xludf.DUMMYFUNCTION("""COMPUTED_VALUE"""),289358.0)</f>
        <v>289358</v>
      </c>
      <c r="D268" s="2" t="str">
        <f>IFERROR(__xludf.DUMMYFUNCTION("""COMPUTED_VALUE"""),"DB3")</f>
        <v>DB3</v>
      </c>
      <c r="E268" s="2" t="str">
        <f>IFERROR(__xludf.DUMMYFUNCTION("""COMPUTED_VALUE"""),"Imported from file Digizag.xlsx")</f>
        <v>Imported from file Digizag.xlsx</v>
      </c>
      <c r="F268" s="2" t="str">
        <f>IFERROR(__xludf.DUMMYFUNCTION("""COMPUTED_VALUE"""),"JAT233910")</f>
        <v>JAT233910</v>
      </c>
      <c r="G268" s="2" t="str">
        <f>IFERROR(__xludf.DUMMYFUNCTION("""COMPUTED_VALUE"""),"UAE")</f>
        <v>UAE</v>
      </c>
      <c r="H268" s="4">
        <f>IFERROR(__xludf.DUMMYFUNCTION("""COMPUTED_VALUE"""),346.0)</f>
        <v>346</v>
      </c>
      <c r="I268" s="3">
        <f>IFERROR(__xludf.DUMMYFUNCTION("""COMPUTED_VALUE"""),0.0)</f>
        <v>0</v>
      </c>
      <c r="J268" s="4">
        <f>IFERROR(__xludf.DUMMYFUNCTION("""COMPUTED_VALUE"""),34.6)</f>
        <v>34.6</v>
      </c>
      <c r="K268" s="2"/>
      <c r="L268" s="2" t="str">
        <f>IFERROR(__xludf.DUMMYFUNCTION("""COMPUTED_VALUE"""),"Delivered")</f>
        <v>Delivered</v>
      </c>
      <c r="M268" s="2" t="str">
        <f>IFERROR(__xludf.DUMMYFUNCTION("""COMPUTED_VALUE"""),"AED")</f>
        <v>AED</v>
      </c>
      <c r="N268" s="2" t="str">
        <f>IFERROR(__xludf.DUMMYFUNCTION("""COMPUTED_VALUE"""),"Credit, Debit , Apple Pay")</f>
        <v>Credit, Debit , Apple Pay</v>
      </c>
      <c r="O268" s="4">
        <f>IFERROR(__xludf.DUMMYFUNCTION("""COMPUTED_VALUE"""),0.0)</f>
        <v>0</v>
      </c>
      <c r="P268" s="2">
        <f>IFERROR(__xludf.DUMMYFUNCTION("""COMPUTED_VALUE"""),9.0)</f>
        <v>9</v>
      </c>
      <c r="Q268" s="2">
        <f>IFERROR(__xludf.DUMMYFUNCTION("""COMPUTED_VALUE"""),4.0)</f>
        <v>4</v>
      </c>
      <c r="R268" s="2">
        <f>IFERROR(__xludf.DUMMYFUNCTION("""COMPUTED_VALUE"""),2025.0)</f>
        <v>2025</v>
      </c>
      <c r="S268" s="2" t="str">
        <f>IFERROR(__xludf.DUMMYFUNCTION("""COMPUTED_VALUE"""),"Digizag")</f>
        <v>Digizag</v>
      </c>
      <c r="T268" s="2" t="str">
        <f>IFERROR(__xludf.DUMMYFUNCTION("""COMPUTED_VALUE"""),"Digizag")</f>
        <v>Digizag</v>
      </c>
      <c r="U268" s="5">
        <f>IFERROR(__xludf.DUMMYFUNCTION("""COMPUTED_VALUE"""),94.213750988)</f>
        <v>94.21375099</v>
      </c>
      <c r="V268" s="2"/>
      <c r="W268" s="2"/>
      <c r="X268" s="2"/>
      <c r="Y268" s="2"/>
      <c r="Z268" s="2"/>
    </row>
    <row r="269">
      <c r="A269" s="6">
        <f>IFERROR(__xludf.DUMMYFUNCTION("""COMPUTED_VALUE"""),45756.71672453704)</f>
        <v>45756.71672</v>
      </c>
      <c r="B269" s="2" t="str">
        <f>IFERROR(__xludf.DUMMYFUNCTION("""COMPUTED_VALUE"""),"April")</f>
        <v>April</v>
      </c>
      <c r="C269" s="3">
        <f>IFERROR(__xludf.DUMMYFUNCTION("""COMPUTED_VALUE"""),652122.0)</f>
        <v>652122</v>
      </c>
      <c r="D269" s="2" t="str">
        <f>IFERROR(__xludf.DUMMYFUNCTION("""COMPUTED_VALUE"""),"MNN16")</f>
        <v>MNN16</v>
      </c>
      <c r="E269" s="2" t="str">
        <f>IFERROR(__xludf.DUMMYFUNCTION("""COMPUTED_VALUE"""),"Imported from file DigiZag Bidding Codes.xlsx")</f>
        <v>Imported from file DigiZag Bidding Codes.xlsx</v>
      </c>
      <c r="F269" s="2" t="str">
        <f>IFERROR(__xludf.DUMMYFUNCTION("""COMPUTED_VALUE"""),"MNC261933")</f>
        <v>MNC261933</v>
      </c>
      <c r="G269" s="2" t="str">
        <f>IFERROR(__xludf.DUMMYFUNCTION("""COMPUTED_VALUE"""),"Kingdom of Saudi Arabia")</f>
        <v>Kingdom of Saudi Arabia</v>
      </c>
      <c r="H269" s="4">
        <f>IFERROR(__xludf.DUMMYFUNCTION("""COMPUTED_VALUE"""),60.0)</f>
        <v>60</v>
      </c>
      <c r="I269" s="3">
        <f>IFERROR(__xludf.DUMMYFUNCTION("""COMPUTED_VALUE"""),0.0)</f>
        <v>0</v>
      </c>
      <c r="J269" s="4">
        <f>IFERROR(__xludf.DUMMYFUNCTION("""COMPUTED_VALUE"""),6.0)</f>
        <v>6</v>
      </c>
      <c r="K269" s="2"/>
      <c r="L269" s="2" t="str">
        <f>IFERROR(__xludf.DUMMYFUNCTION("""COMPUTED_VALUE"""),"Delivered")</f>
        <v>Delivered</v>
      </c>
      <c r="M269" s="2" t="str">
        <f>IFERROR(__xludf.DUMMYFUNCTION("""COMPUTED_VALUE"""),"SR")</f>
        <v>SR</v>
      </c>
      <c r="N269" s="2" t="str">
        <f>IFERROR(__xludf.DUMMYFUNCTION("""COMPUTED_VALUE"""),"Credit, Debit, Apple Pay")</f>
        <v>Credit, Debit, Apple Pay</v>
      </c>
      <c r="O269" s="4">
        <f>IFERROR(__xludf.DUMMYFUNCTION("""COMPUTED_VALUE"""),0.0)</f>
        <v>0</v>
      </c>
      <c r="P269" s="2">
        <f>IFERROR(__xludf.DUMMYFUNCTION("""COMPUTED_VALUE"""),9.0)</f>
        <v>9</v>
      </c>
      <c r="Q269" s="2">
        <f>IFERROR(__xludf.DUMMYFUNCTION("""COMPUTED_VALUE"""),4.0)</f>
        <v>4</v>
      </c>
      <c r="R269" s="2">
        <f>IFERROR(__xludf.DUMMYFUNCTION("""COMPUTED_VALUE"""),2025.0)</f>
        <v>2025</v>
      </c>
      <c r="S269" s="2" t="str">
        <f>IFERROR(__xludf.DUMMYFUNCTION("""COMPUTED_VALUE"""),"Digizag")</f>
        <v>Digizag</v>
      </c>
      <c r="T269" s="2" t="str">
        <f>IFERROR(__xludf.DUMMYFUNCTION("""COMPUTED_VALUE"""),"Digizag")</f>
        <v>Digizag</v>
      </c>
      <c r="U269" s="5">
        <f>IFERROR(__xludf.DUMMYFUNCTION("""COMPUTED_VALUE"""),15.998762760000002)</f>
        <v>15.99876276</v>
      </c>
      <c r="V269" s="2"/>
      <c r="W269" s="2"/>
      <c r="X269" s="2"/>
      <c r="Y269" s="2"/>
      <c r="Z269" s="2"/>
    </row>
    <row r="270">
      <c r="A270" s="6">
        <f>IFERROR(__xludf.DUMMYFUNCTION("""COMPUTED_VALUE"""),45756.87951388889)</f>
        <v>45756.87951</v>
      </c>
      <c r="B270" s="2" t="str">
        <f>IFERROR(__xludf.DUMMYFUNCTION("""COMPUTED_VALUE"""),"April")</f>
        <v>April</v>
      </c>
      <c r="C270" s="3">
        <f>IFERROR(__xludf.DUMMYFUNCTION("""COMPUTED_VALUE"""),718279.0)</f>
        <v>718279</v>
      </c>
      <c r="D270" s="2" t="str">
        <f>IFERROR(__xludf.DUMMYFUNCTION("""COMPUTED_VALUE"""),"WFR")</f>
        <v>WFR</v>
      </c>
      <c r="E270" s="2" t="str">
        <f>IFERROR(__xludf.DUMMYFUNCTION("""COMPUTED_VALUE"""),"Imported from file Digizag.xlsx")</f>
        <v>Imported from file Digizag.xlsx</v>
      </c>
      <c r="F270" s="2" t="str">
        <f>IFERROR(__xludf.DUMMYFUNCTION("""COMPUTED_VALUE"""),"XJE436666")</f>
        <v>XJE436666</v>
      </c>
      <c r="G270" s="2" t="str">
        <f>IFERROR(__xludf.DUMMYFUNCTION("""COMPUTED_VALUE"""),"Kingdom of Saudi Arabia")</f>
        <v>Kingdom of Saudi Arabia</v>
      </c>
      <c r="H270" s="4">
        <f>IFERROR(__xludf.DUMMYFUNCTION("""COMPUTED_VALUE"""),173.04)</f>
        <v>173.04</v>
      </c>
      <c r="I270" s="3">
        <f>IFERROR(__xludf.DUMMYFUNCTION("""COMPUTED_VALUE"""),0.0)</f>
        <v>0</v>
      </c>
      <c r="J270" s="4">
        <f>IFERROR(__xludf.DUMMYFUNCTION("""COMPUTED_VALUE"""),17.3)</f>
        <v>17.3</v>
      </c>
      <c r="K270" s="2"/>
      <c r="L270" s="2" t="str">
        <f>IFERROR(__xludf.DUMMYFUNCTION("""COMPUTED_VALUE"""),"Delivered")</f>
        <v>Delivered</v>
      </c>
      <c r="M270" s="2" t="str">
        <f>IFERROR(__xludf.DUMMYFUNCTION("""COMPUTED_VALUE"""),"SR")</f>
        <v>SR</v>
      </c>
      <c r="N270" s="2" t="str">
        <f>IFERROR(__xludf.DUMMYFUNCTION("""COMPUTED_VALUE"""),"Cash")</f>
        <v>Cash</v>
      </c>
      <c r="O270" s="4">
        <f>IFERROR(__xludf.DUMMYFUNCTION("""COMPUTED_VALUE"""),0.0)</f>
        <v>0</v>
      </c>
      <c r="P270" s="2">
        <f>IFERROR(__xludf.DUMMYFUNCTION("""COMPUTED_VALUE"""),9.0)</f>
        <v>9</v>
      </c>
      <c r="Q270" s="2">
        <f>IFERROR(__xludf.DUMMYFUNCTION("""COMPUTED_VALUE"""),4.0)</f>
        <v>4</v>
      </c>
      <c r="R270" s="2">
        <f>IFERROR(__xludf.DUMMYFUNCTION("""COMPUTED_VALUE"""),2025.0)</f>
        <v>2025</v>
      </c>
      <c r="S270" s="2" t="str">
        <f>IFERROR(__xludf.DUMMYFUNCTION("""COMPUTED_VALUE"""),"Digizag")</f>
        <v>Digizag</v>
      </c>
      <c r="T270" s="2" t="str">
        <f>IFERROR(__xludf.DUMMYFUNCTION("""COMPUTED_VALUE"""),"Digizag")</f>
        <v>Digizag</v>
      </c>
      <c r="U270" s="5">
        <f>IFERROR(__xludf.DUMMYFUNCTION("""COMPUTED_VALUE"""),46.14043179984)</f>
        <v>46.1404318</v>
      </c>
      <c r="V270" s="2"/>
      <c r="W270" s="2"/>
      <c r="X270" s="2"/>
      <c r="Y270" s="2"/>
      <c r="Z270" s="2"/>
    </row>
    <row r="271">
      <c r="A271" s="6">
        <f>IFERROR(__xludf.DUMMYFUNCTION("""COMPUTED_VALUE"""),45756.886932870366)</f>
        <v>45756.88693</v>
      </c>
      <c r="B271" s="2" t="str">
        <f>IFERROR(__xludf.DUMMYFUNCTION("""COMPUTED_VALUE"""),"April")</f>
        <v>April</v>
      </c>
      <c r="C271" s="3">
        <f>IFERROR(__xludf.DUMMYFUNCTION("""COMPUTED_VALUE"""),718284.0)</f>
        <v>718284</v>
      </c>
      <c r="D271" s="2" t="str">
        <f>IFERROR(__xludf.DUMMYFUNCTION("""COMPUTED_VALUE"""),"MNN16")</f>
        <v>MNN16</v>
      </c>
      <c r="E271" s="2" t="str">
        <f>IFERROR(__xludf.DUMMYFUNCTION("""COMPUTED_VALUE"""),"Imported from file DigiZag Codes 25Feb25.xlsx")</f>
        <v>Imported from file DigiZag Codes 25Feb25.xlsx</v>
      </c>
      <c r="F271" s="2" t="str">
        <f>IFERROR(__xludf.DUMMYFUNCTION("""COMPUTED_VALUE"""),"PTT632576")</f>
        <v>PTT632576</v>
      </c>
      <c r="G271" s="2" t="str">
        <f>IFERROR(__xludf.DUMMYFUNCTION("""COMPUTED_VALUE"""),"UAE")</f>
        <v>UAE</v>
      </c>
      <c r="H271" s="4">
        <f>IFERROR(__xludf.DUMMYFUNCTION("""COMPUTED_VALUE"""),278.0)</f>
        <v>278</v>
      </c>
      <c r="I271" s="3">
        <f>IFERROR(__xludf.DUMMYFUNCTION("""COMPUTED_VALUE"""),0.0)</f>
        <v>0</v>
      </c>
      <c r="J271" s="4">
        <f>IFERROR(__xludf.DUMMYFUNCTION("""COMPUTED_VALUE"""),27.8)</f>
        <v>27.8</v>
      </c>
      <c r="K271" s="2"/>
      <c r="L271" s="2" t="str">
        <f>IFERROR(__xludf.DUMMYFUNCTION("""COMPUTED_VALUE"""),"Delivered")</f>
        <v>Delivered</v>
      </c>
      <c r="M271" s="2" t="str">
        <f>IFERROR(__xludf.DUMMYFUNCTION("""COMPUTED_VALUE"""),"AED")</f>
        <v>AED</v>
      </c>
      <c r="N271" s="2" t="str">
        <f>IFERROR(__xludf.DUMMYFUNCTION("""COMPUTED_VALUE"""),"Credit, Debit , Apple Pay")</f>
        <v>Credit, Debit , Apple Pay</v>
      </c>
      <c r="O271" s="4">
        <f>IFERROR(__xludf.DUMMYFUNCTION("""COMPUTED_VALUE"""),0.0)</f>
        <v>0</v>
      </c>
      <c r="P271" s="2">
        <f>IFERROR(__xludf.DUMMYFUNCTION("""COMPUTED_VALUE"""),9.0)</f>
        <v>9</v>
      </c>
      <c r="Q271" s="2">
        <f>IFERROR(__xludf.DUMMYFUNCTION("""COMPUTED_VALUE"""),4.0)</f>
        <v>4</v>
      </c>
      <c r="R271" s="2">
        <f>IFERROR(__xludf.DUMMYFUNCTION("""COMPUTED_VALUE"""),2025.0)</f>
        <v>2025</v>
      </c>
      <c r="S271" s="2" t="str">
        <f>IFERROR(__xludf.DUMMYFUNCTION("""COMPUTED_VALUE"""),"Digizag")</f>
        <v>Digizag</v>
      </c>
      <c r="T271" s="2" t="str">
        <f>IFERROR(__xludf.DUMMYFUNCTION("""COMPUTED_VALUE"""),"Digizag")</f>
        <v>Digizag</v>
      </c>
      <c r="U271" s="5">
        <f>IFERROR(__xludf.DUMMYFUNCTION("""COMPUTED_VALUE"""),75.697753684)</f>
        <v>75.69775368</v>
      </c>
      <c r="V271" s="2"/>
      <c r="W271" s="2"/>
      <c r="X271" s="2"/>
      <c r="Y271" s="2"/>
      <c r="Z271" s="2"/>
    </row>
    <row r="272">
      <c r="A272" s="6">
        <f>IFERROR(__xludf.DUMMYFUNCTION("""COMPUTED_VALUE"""),45757.15118055556)</f>
        <v>45757.15118</v>
      </c>
      <c r="B272" s="2" t="str">
        <f>IFERROR(__xludf.DUMMYFUNCTION("""COMPUTED_VALUE"""),"April")</f>
        <v>April</v>
      </c>
      <c r="C272" s="3">
        <f>IFERROR(__xludf.DUMMYFUNCTION("""COMPUTED_VALUE"""),718336.0)</f>
        <v>718336</v>
      </c>
      <c r="D272" s="2" t="str">
        <f>IFERROR(__xludf.DUMMYFUNCTION("""COMPUTED_VALUE"""),"MNN16")</f>
        <v>MNN16</v>
      </c>
      <c r="E272" s="2" t="str">
        <f>IFERROR(__xludf.DUMMYFUNCTION("""COMPUTED_VALUE"""),"Imported from file DigiZag Codes 25Feb25.xlsx")</f>
        <v>Imported from file DigiZag Codes 25Feb25.xlsx</v>
      </c>
      <c r="F272" s="2" t="str">
        <f>IFERROR(__xludf.DUMMYFUNCTION("""COMPUTED_VALUE"""),"GEU300208")</f>
        <v>GEU300208</v>
      </c>
      <c r="G272" s="2" t="str">
        <f>IFERROR(__xludf.DUMMYFUNCTION("""COMPUTED_VALUE"""),"UAE")</f>
        <v>UAE</v>
      </c>
      <c r="H272" s="4">
        <f>IFERROR(__xludf.DUMMYFUNCTION("""COMPUTED_VALUE"""),130.0)</f>
        <v>130</v>
      </c>
      <c r="I272" s="3">
        <f>IFERROR(__xludf.DUMMYFUNCTION("""COMPUTED_VALUE"""),0.0)</f>
        <v>0</v>
      </c>
      <c r="J272" s="4">
        <f>IFERROR(__xludf.DUMMYFUNCTION("""COMPUTED_VALUE"""),13.0)</f>
        <v>13</v>
      </c>
      <c r="K272" s="2"/>
      <c r="L272" s="2" t="str">
        <f>IFERROR(__xludf.DUMMYFUNCTION("""COMPUTED_VALUE"""),"Delivered")</f>
        <v>Delivered</v>
      </c>
      <c r="M272" s="2" t="str">
        <f>IFERROR(__xludf.DUMMYFUNCTION("""COMPUTED_VALUE"""),"AED")</f>
        <v>AED</v>
      </c>
      <c r="N272" s="2" t="str">
        <f>IFERROR(__xludf.DUMMYFUNCTION("""COMPUTED_VALUE"""),"Cash")</f>
        <v>Cash</v>
      </c>
      <c r="O272" s="4">
        <f>IFERROR(__xludf.DUMMYFUNCTION("""COMPUTED_VALUE"""),0.0)</f>
        <v>0</v>
      </c>
      <c r="P272" s="2">
        <f>IFERROR(__xludf.DUMMYFUNCTION("""COMPUTED_VALUE"""),10.0)</f>
        <v>10</v>
      </c>
      <c r="Q272" s="2">
        <f>IFERROR(__xludf.DUMMYFUNCTION("""COMPUTED_VALUE"""),4.0)</f>
        <v>4</v>
      </c>
      <c r="R272" s="2">
        <f>IFERROR(__xludf.DUMMYFUNCTION("""COMPUTED_VALUE"""),2025.0)</f>
        <v>2025</v>
      </c>
      <c r="S272" s="2" t="str">
        <f>IFERROR(__xludf.DUMMYFUNCTION("""COMPUTED_VALUE"""),"Digizag")</f>
        <v>Digizag</v>
      </c>
      <c r="T272" s="2" t="str">
        <f>IFERROR(__xludf.DUMMYFUNCTION("""COMPUTED_VALUE"""),"Digizag")</f>
        <v>Digizag</v>
      </c>
      <c r="U272" s="5">
        <f>IFERROR(__xludf.DUMMYFUNCTION("""COMPUTED_VALUE"""),35.39823014)</f>
        <v>35.39823014</v>
      </c>
      <c r="V272" s="2"/>
      <c r="W272" s="2"/>
      <c r="X272" s="2"/>
      <c r="Y272" s="2"/>
      <c r="Z272" s="2"/>
    </row>
    <row r="273">
      <c r="A273" s="6">
        <f>IFERROR(__xludf.DUMMYFUNCTION("""COMPUTED_VALUE"""),45757.365277777775)</f>
        <v>45757.36528</v>
      </c>
      <c r="B273" s="2" t="str">
        <f>IFERROR(__xludf.DUMMYFUNCTION("""COMPUTED_VALUE"""),"April")</f>
        <v>April</v>
      </c>
      <c r="C273" s="3">
        <f>IFERROR(__xludf.DUMMYFUNCTION("""COMPUTED_VALUE"""),718403.0)</f>
        <v>718403</v>
      </c>
      <c r="D273" s="2" t="str">
        <f>IFERROR(__xludf.DUMMYFUNCTION("""COMPUTED_VALUE"""),"MNN16")</f>
        <v>MNN16</v>
      </c>
      <c r="E273" s="2" t="str">
        <f>IFERROR(__xludf.DUMMYFUNCTION("""COMPUTED_VALUE"""),"Imported from file DigiZag Codes 25Feb25.xlsx")</f>
        <v>Imported from file DigiZag Codes 25Feb25.xlsx</v>
      </c>
      <c r="F273" s="2" t="str">
        <f>IFERROR(__xludf.DUMMYFUNCTION("""COMPUTED_VALUE"""),"NQM825431")</f>
        <v>NQM825431</v>
      </c>
      <c r="G273" s="2" t="str">
        <f>IFERROR(__xludf.DUMMYFUNCTION("""COMPUTED_VALUE"""),"UAE")</f>
        <v>UAE</v>
      </c>
      <c r="H273" s="4">
        <f>IFERROR(__xludf.DUMMYFUNCTION("""COMPUTED_VALUE"""),104.0)</f>
        <v>104</v>
      </c>
      <c r="I273" s="3">
        <f>IFERROR(__xludf.DUMMYFUNCTION("""COMPUTED_VALUE"""),0.0)</f>
        <v>0</v>
      </c>
      <c r="J273" s="4">
        <f>IFERROR(__xludf.DUMMYFUNCTION("""COMPUTED_VALUE"""),10.4)</f>
        <v>10.4</v>
      </c>
      <c r="K273" s="2"/>
      <c r="L273" s="2" t="str">
        <f>IFERROR(__xludf.DUMMYFUNCTION("""COMPUTED_VALUE"""),"Delivered")</f>
        <v>Delivered</v>
      </c>
      <c r="M273" s="2" t="str">
        <f>IFERROR(__xludf.DUMMYFUNCTION("""COMPUTED_VALUE"""),"AED")</f>
        <v>AED</v>
      </c>
      <c r="N273" s="2" t="str">
        <f>IFERROR(__xludf.DUMMYFUNCTION("""COMPUTED_VALUE"""),"Credit, Debit , Apple Pay")</f>
        <v>Credit, Debit , Apple Pay</v>
      </c>
      <c r="O273" s="4">
        <f>IFERROR(__xludf.DUMMYFUNCTION("""COMPUTED_VALUE"""),0.0)</f>
        <v>0</v>
      </c>
      <c r="P273" s="2">
        <f>IFERROR(__xludf.DUMMYFUNCTION("""COMPUTED_VALUE"""),10.0)</f>
        <v>10</v>
      </c>
      <c r="Q273" s="2">
        <f>IFERROR(__xludf.DUMMYFUNCTION("""COMPUTED_VALUE"""),4.0)</f>
        <v>4</v>
      </c>
      <c r="R273" s="2">
        <f>IFERROR(__xludf.DUMMYFUNCTION("""COMPUTED_VALUE"""),2025.0)</f>
        <v>2025</v>
      </c>
      <c r="S273" s="2" t="str">
        <f>IFERROR(__xludf.DUMMYFUNCTION("""COMPUTED_VALUE"""),"Digizag")</f>
        <v>Digizag</v>
      </c>
      <c r="T273" s="2" t="str">
        <f>IFERROR(__xludf.DUMMYFUNCTION("""COMPUTED_VALUE"""),"Digizag")</f>
        <v>Digizag</v>
      </c>
      <c r="U273" s="5">
        <f>IFERROR(__xludf.DUMMYFUNCTION("""COMPUTED_VALUE"""),28.318584112)</f>
        <v>28.31858411</v>
      </c>
      <c r="V273" s="2"/>
      <c r="W273" s="2"/>
      <c r="X273" s="2"/>
      <c r="Y273" s="2"/>
      <c r="Z273" s="2"/>
    </row>
    <row r="274">
      <c r="A274" s="6">
        <f>IFERROR(__xludf.DUMMYFUNCTION("""COMPUTED_VALUE"""),45757.40375)</f>
        <v>45757.40375</v>
      </c>
      <c r="B274" s="2" t="str">
        <f>IFERROR(__xludf.DUMMYFUNCTION("""COMPUTED_VALUE"""),"April")</f>
        <v>April</v>
      </c>
      <c r="C274" s="3">
        <f>IFERROR(__xludf.DUMMYFUNCTION("""COMPUTED_VALUE"""),718324.0)</f>
        <v>718324</v>
      </c>
      <c r="D274" s="2" t="str">
        <f>IFERROR(__xludf.DUMMYFUNCTION("""COMPUTED_VALUE"""),"MNN16")</f>
        <v>MNN16</v>
      </c>
      <c r="E274" s="2" t="str">
        <f>IFERROR(__xludf.DUMMYFUNCTION("""COMPUTED_VALUE"""),"Imported from file DigiZag Codes 25Feb25.xlsx")</f>
        <v>Imported from file DigiZag Codes 25Feb25.xlsx</v>
      </c>
      <c r="F274" s="2" t="str">
        <f>IFERROR(__xludf.DUMMYFUNCTION("""COMPUTED_VALUE"""),"YHJ501438")</f>
        <v>YHJ501438</v>
      </c>
      <c r="G274" s="2" t="str">
        <f>IFERROR(__xludf.DUMMYFUNCTION("""COMPUTED_VALUE"""),"Bahrain")</f>
        <v>Bahrain</v>
      </c>
      <c r="H274" s="4">
        <f>IFERROR(__xludf.DUMMYFUNCTION("""COMPUTED_VALUE"""),7.0)</f>
        <v>7</v>
      </c>
      <c r="I274" s="3">
        <f>IFERROR(__xludf.DUMMYFUNCTION("""COMPUTED_VALUE"""),0.0)</f>
        <v>0</v>
      </c>
      <c r="J274" s="4">
        <f>IFERROR(__xludf.DUMMYFUNCTION("""COMPUTED_VALUE"""),0.7)</f>
        <v>0.7</v>
      </c>
      <c r="K274" s="2"/>
      <c r="L274" s="2" t="str">
        <f>IFERROR(__xludf.DUMMYFUNCTION("""COMPUTED_VALUE"""),"Delivered")</f>
        <v>Delivered</v>
      </c>
      <c r="M274" s="2" t="str">
        <f>IFERROR(__xludf.DUMMYFUNCTION("""COMPUTED_VALUE"""),"BHD")</f>
        <v>BHD</v>
      </c>
      <c r="N274" s="2" t="str">
        <f>IFERROR(__xludf.DUMMYFUNCTION("""COMPUTED_VALUE"""),"Cash")</f>
        <v>Cash</v>
      </c>
      <c r="O274" s="4">
        <f>IFERROR(__xludf.DUMMYFUNCTION("""COMPUTED_VALUE"""),0.0)</f>
        <v>0</v>
      </c>
      <c r="P274" s="2">
        <f>IFERROR(__xludf.DUMMYFUNCTION("""COMPUTED_VALUE"""),10.0)</f>
        <v>10</v>
      </c>
      <c r="Q274" s="2">
        <f>IFERROR(__xludf.DUMMYFUNCTION("""COMPUTED_VALUE"""),4.0)</f>
        <v>4</v>
      </c>
      <c r="R274" s="2">
        <f>IFERROR(__xludf.DUMMYFUNCTION("""COMPUTED_VALUE"""),2025.0)</f>
        <v>2025</v>
      </c>
      <c r="S274" s="2" t="str">
        <f>IFERROR(__xludf.DUMMYFUNCTION("""COMPUTED_VALUE"""),"Digizag")</f>
        <v>Digizag</v>
      </c>
      <c r="T274" s="2" t="str">
        <f>IFERROR(__xludf.DUMMYFUNCTION("""COMPUTED_VALUE"""),"Digizag")</f>
        <v>Digizag</v>
      </c>
      <c r="U274" s="5">
        <f>IFERROR(__xludf.DUMMYFUNCTION("""COMPUTED_VALUE"""),18.570419)</f>
        <v>18.570419</v>
      </c>
      <c r="V274" s="2"/>
      <c r="W274" s="2"/>
      <c r="X274" s="2"/>
      <c r="Y274" s="2"/>
      <c r="Z274" s="2"/>
    </row>
    <row r="275">
      <c r="A275" s="6">
        <f>IFERROR(__xludf.DUMMYFUNCTION("""COMPUTED_VALUE"""),45757.412407407406)</f>
        <v>45757.41241</v>
      </c>
      <c r="B275" s="2" t="str">
        <f>IFERROR(__xludf.DUMMYFUNCTION("""COMPUTED_VALUE"""),"April")</f>
        <v>April</v>
      </c>
      <c r="C275" s="3">
        <f>IFERROR(__xludf.DUMMYFUNCTION("""COMPUTED_VALUE"""),534121.0)</f>
        <v>534121</v>
      </c>
      <c r="D275" s="2" t="str">
        <f>IFERROR(__xludf.DUMMYFUNCTION("""COMPUTED_VALUE"""),"MNN16")</f>
        <v>MNN16</v>
      </c>
      <c r="E275" s="2" t="str">
        <f>IFERROR(__xludf.DUMMYFUNCTION("""COMPUTED_VALUE"""),"Imported from file DigiZag Codes 25Feb25.xlsx")</f>
        <v>Imported from file DigiZag Codes 25Feb25.xlsx</v>
      </c>
      <c r="F275" s="2" t="str">
        <f>IFERROR(__xludf.DUMMYFUNCTION("""COMPUTED_VALUE"""),"XPU598293")</f>
        <v>XPU598293</v>
      </c>
      <c r="G275" s="2" t="str">
        <f>IFERROR(__xludf.DUMMYFUNCTION("""COMPUTED_VALUE"""),"Kuwait")</f>
        <v>Kuwait</v>
      </c>
      <c r="H275" s="4">
        <f>IFERROR(__xludf.DUMMYFUNCTION("""COMPUTED_VALUE"""),19.8)</f>
        <v>19.8</v>
      </c>
      <c r="I275" s="3">
        <f>IFERROR(__xludf.DUMMYFUNCTION("""COMPUTED_VALUE"""),0.0)</f>
        <v>0</v>
      </c>
      <c r="J275" s="4">
        <f>IFERROR(__xludf.DUMMYFUNCTION("""COMPUTED_VALUE"""),1.98)</f>
        <v>1.98</v>
      </c>
      <c r="K275" s="2"/>
      <c r="L275" s="2" t="str">
        <f>IFERROR(__xludf.DUMMYFUNCTION("""COMPUTED_VALUE"""),"Delivered")</f>
        <v>Delivered</v>
      </c>
      <c r="M275" s="2" t="str">
        <f>IFERROR(__xludf.DUMMYFUNCTION("""COMPUTED_VALUE"""),"KD")</f>
        <v>KD</v>
      </c>
      <c r="N275" s="2" t="str">
        <f>IFERROR(__xludf.DUMMYFUNCTION("""COMPUTED_VALUE"""),"Credit, Debit, Knet")</f>
        <v>Credit, Debit, Knet</v>
      </c>
      <c r="O275" s="4">
        <f>IFERROR(__xludf.DUMMYFUNCTION("""COMPUTED_VALUE"""),0.0)</f>
        <v>0</v>
      </c>
      <c r="P275" s="2">
        <f>IFERROR(__xludf.DUMMYFUNCTION("""COMPUTED_VALUE"""),10.0)</f>
        <v>10</v>
      </c>
      <c r="Q275" s="2">
        <f>IFERROR(__xludf.DUMMYFUNCTION("""COMPUTED_VALUE"""),4.0)</f>
        <v>4</v>
      </c>
      <c r="R275" s="2">
        <f>IFERROR(__xludf.DUMMYFUNCTION("""COMPUTED_VALUE"""),2025.0)</f>
        <v>2025</v>
      </c>
      <c r="S275" s="2" t="str">
        <f>IFERROR(__xludf.DUMMYFUNCTION("""COMPUTED_VALUE"""),"Digizag")</f>
        <v>Digizag</v>
      </c>
      <c r="T275" s="2" t="str">
        <f>IFERROR(__xludf.DUMMYFUNCTION("""COMPUTED_VALUE"""),"Digizag")</f>
        <v>Digizag</v>
      </c>
      <c r="U275" s="5">
        <f>IFERROR(__xludf.DUMMYFUNCTION("""COMPUTED_VALUE"""),64.560276)</f>
        <v>64.560276</v>
      </c>
      <c r="V275" s="2"/>
      <c r="W275" s="2"/>
      <c r="X275" s="2"/>
      <c r="Y275" s="2"/>
      <c r="Z275" s="2"/>
    </row>
    <row r="276">
      <c r="A276" s="6">
        <f>IFERROR(__xludf.DUMMYFUNCTION("""COMPUTED_VALUE"""),45757.41799768518)</f>
        <v>45757.418</v>
      </c>
      <c r="B276" s="2" t="str">
        <f>IFERROR(__xludf.DUMMYFUNCTION("""COMPUTED_VALUE"""),"April")</f>
        <v>April</v>
      </c>
      <c r="C276" s="3">
        <f>IFERROR(__xludf.DUMMYFUNCTION("""COMPUTED_VALUE"""),516729.0)</f>
        <v>516729</v>
      </c>
      <c r="D276" s="2" t="str">
        <f>IFERROR(__xludf.DUMMYFUNCTION("""COMPUTED_VALUE"""),"MNN16")</f>
        <v>MNN16</v>
      </c>
      <c r="E276" s="2" t="str">
        <f>IFERROR(__xludf.DUMMYFUNCTION("""COMPUTED_VALUE"""),"Imported from file DigiZag Codes 25Feb25.xlsx")</f>
        <v>Imported from file DigiZag Codes 25Feb25.xlsx</v>
      </c>
      <c r="F276" s="2" t="str">
        <f>IFERROR(__xludf.DUMMYFUNCTION("""COMPUTED_VALUE"""),"DJH633296")</f>
        <v>DJH633296</v>
      </c>
      <c r="G276" s="2" t="str">
        <f>IFERROR(__xludf.DUMMYFUNCTION("""COMPUTED_VALUE"""),"UAE")</f>
        <v>UAE</v>
      </c>
      <c r="H276" s="4">
        <f>IFERROR(__xludf.DUMMYFUNCTION("""COMPUTED_VALUE"""),224.0)</f>
        <v>224</v>
      </c>
      <c r="I276" s="3">
        <f>IFERROR(__xludf.DUMMYFUNCTION("""COMPUTED_VALUE"""),0.0)</f>
        <v>0</v>
      </c>
      <c r="J276" s="4">
        <f>IFERROR(__xludf.DUMMYFUNCTION("""COMPUTED_VALUE"""),22.4)</f>
        <v>22.4</v>
      </c>
      <c r="K276" s="2"/>
      <c r="L276" s="2" t="str">
        <f>IFERROR(__xludf.DUMMYFUNCTION("""COMPUTED_VALUE"""),"Delivered")</f>
        <v>Delivered</v>
      </c>
      <c r="M276" s="2" t="str">
        <f>IFERROR(__xludf.DUMMYFUNCTION("""COMPUTED_VALUE"""),"AED")</f>
        <v>AED</v>
      </c>
      <c r="N276" s="2" t="str">
        <f>IFERROR(__xludf.DUMMYFUNCTION("""COMPUTED_VALUE"""),"Credit, Debit , Apple Pay")</f>
        <v>Credit, Debit , Apple Pay</v>
      </c>
      <c r="O276" s="4">
        <f>IFERROR(__xludf.DUMMYFUNCTION("""COMPUTED_VALUE"""),0.0)</f>
        <v>0</v>
      </c>
      <c r="P276" s="2">
        <f>IFERROR(__xludf.DUMMYFUNCTION("""COMPUTED_VALUE"""),10.0)</f>
        <v>10</v>
      </c>
      <c r="Q276" s="2">
        <f>IFERROR(__xludf.DUMMYFUNCTION("""COMPUTED_VALUE"""),4.0)</f>
        <v>4</v>
      </c>
      <c r="R276" s="2">
        <f>IFERROR(__xludf.DUMMYFUNCTION("""COMPUTED_VALUE"""),2025.0)</f>
        <v>2025</v>
      </c>
      <c r="S276" s="2" t="str">
        <f>IFERROR(__xludf.DUMMYFUNCTION("""COMPUTED_VALUE"""),"Digizag")</f>
        <v>Digizag</v>
      </c>
      <c r="T276" s="2" t="str">
        <f>IFERROR(__xludf.DUMMYFUNCTION("""COMPUTED_VALUE"""),"Digizag")</f>
        <v>Digizag</v>
      </c>
      <c r="U276" s="5">
        <f>IFERROR(__xludf.DUMMYFUNCTION("""COMPUTED_VALUE"""),60.993873472)</f>
        <v>60.99387347</v>
      </c>
      <c r="V276" s="2"/>
      <c r="W276" s="2"/>
      <c r="X276" s="2"/>
      <c r="Y276" s="2"/>
      <c r="Z276" s="2"/>
    </row>
    <row r="277">
      <c r="A277" s="6">
        <f>IFERROR(__xludf.DUMMYFUNCTION("""COMPUTED_VALUE"""),45757.53849537037)</f>
        <v>45757.5385</v>
      </c>
      <c r="B277" s="2" t="str">
        <f>IFERROR(__xludf.DUMMYFUNCTION("""COMPUTED_VALUE"""),"April")</f>
        <v>April</v>
      </c>
      <c r="C277" s="3">
        <f>IFERROR(__xludf.DUMMYFUNCTION("""COMPUTED_VALUE"""),718196.0)</f>
        <v>718196</v>
      </c>
      <c r="D277" s="2" t="str">
        <f>IFERROR(__xludf.DUMMYFUNCTION("""COMPUTED_VALUE"""),"MNN16")</f>
        <v>MNN16</v>
      </c>
      <c r="E277" s="2" t="str">
        <f>IFERROR(__xludf.DUMMYFUNCTION("""COMPUTED_VALUE"""),"Imported from file DigiZag Codes 25Feb25.xlsx")</f>
        <v>Imported from file DigiZag Codes 25Feb25.xlsx</v>
      </c>
      <c r="F277" s="2" t="str">
        <f>IFERROR(__xludf.DUMMYFUNCTION("""COMPUTED_VALUE"""),"YEH627652")</f>
        <v>YEH627652</v>
      </c>
      <c r="G277" s="2" t="str">
        <f>IFERROR(__xludf.DUMMYFUNCTION("""COMPUTED_VALUE"""),"Kuwait")</f>
        <v>Kuwait</v>
      </c>
      <c r="H277" s="4">
        <f>IFERROR(__xludf.DUMMYFUNCTION("""COMPUTED_VALUE"""),18.0)</f>
        <v>18</v>
      </c>
      <c r="I277" s="3">
        <f>IFERROR(__xludf.DUMMYFUNCTION("""COMPUTED_VALUE"""),0.0)</f>
        <v>0</v>
      </c>
      <c r="J277" s="4">
        <f>IFERROR(__xludf.DUMMYFUNCTION("""COMPUTED_VALUE"""),1.8)</f>
        <v>1.8</v>
      </c>
      <c r="K277" s="2"/>
      <c r="L277" s="2" t="str">
        <f>IFERROR(__xludf.DUMMYFUNCTION("""COMPUTED_VALUE"""),"Delivered")</f>
        <v>Delivered</v>
      </c>
      <c r="M277" s="2" t="str">
        <f>IFERROR(__xludf.DUMMYFUNCTION("""COMPUTED_VALUE"""),"KD")</f>
        <v>KD</v>
      </c>
      <c r="N277" s="2" t="str">
        <f>IFERROR(__xludf.DUMMYFUNCTION("""COMPUTED_VALUE"""),"Cash")</f>
        <v>Cash</v>
      </c>
      <c r="O277" s="4">
        <f>IFERROR(__xludf.DUMMYFUNCTION("""COMPUTED_VALUE"""),0.0)</f>
        <v>0</v>
      </c>
      <c r="P277" s="2">
        <f>IFERROR(__xludf.DUMMYFUNCTION("""COMPUTED_VALUE"""),10.0)</f>
        <v>10</v>
      </c>
      <c r="Q277" s="2">
        <f>IFERROR(__xludf.DUMMYFUNCTION("""COMPUTED_VALUE"""),4.0)</f>
        <v>4</v>
      </c>
      <c r="R277" s="2">
        <f>IFERROR(__xludf.DUMMYFUNCTION("""COMPUTED_VALUE"""),2025.0)</f>
        <v>2025</v>
      </c>
      <c r="S277" s="2" t="str">
        <f>IFERROR(__xludf.DUMMYFUNCTION("""COMPUTED_VALUE"""),"Digizag")</f>
        <v>Digizag</v>
      </c>
      <c r="T277" s="2" t="str">
        <f>IFERROR(__xludf.DUMMYFUNCTION("""COMPUTED_VALUE"""),"Digizag")</f>
        <v>Digizag</v>
      </c>
      <c r="U277" s="5">
        <f>IFERROR(__xludf.DUMMYFUNCTION("""COMPUTED_VALUE"""),58.691159999999996)</f>
        <v>58.69116</v>
      </c>
      <c r="V277" s="2"/>
      <c r="W277" s="2"/>
      <c r="X277" s="2"/>
      <c r="Y277" s="2"/>
      <c r="Z277" s="2"/>
    </row>
    <row r="278">
      <c r="A278" s="6">
        <f>IFERROR(__xludf.DUMMYFUNCTION("""COMPUTED_VALUE"""),45757.67403935185)</f>
        <v>45757.67404</v>
      </c>
      <c r="B278" s="2" t="str">
        <f>IFERROR(__xludf.DUMMYFUNCTION("""COMPUTED_VALUE"""),"April")</f>
        <v>April</v>
      </c>
      <c r="C278" s="3">
        <f>IFERROR(__xludf.DUMMYFUNCTION("""COMPUTED_VALUE"""),718643.0)</f>
        <v>718643</v>
      </c>
      <c r="D278" s="2" t="str">
        <f>IFERROR(__xludf.DUMMYFUNCTION("""COMPUTED_VALUE"""),"MNN16")</f>
        <v>MNN16</v>
      </c>
      <c r="E278" s="2" t="str">
        <f>IFERROR(__xludf.DUMMYFUNCTION("""COMPUTED_VALUE"""),"Imported from file DigiZag Bidding Codes.xlsx")</f>
        <v>Imported from file DigiZag Bidding Codes.xlsx</v>
      </c>
      <c r="F278" s="2" t="str">
        <f>IFERROR(__xludf.DUMMYFUNCTION("""COMPUTED_VALUE"""),"LUR216762")</f>
        <v>LUR216762</v>
      </c>
      <c r="G278" s="2" t="str">
        <f>IFERROR(__xludf.DUMMYFUNCTION("""COMPUTED_VALUE"""),"Kingdom of Saudi Arabia")</f>
        <v>Kingdom of Saudi Arabia</v>
      </c>
      <c r="H278" s="4">
        <f>IFERROR(__xludf.DUMMYFUNCTION("""COMPUTED_VALUE"""),126.37)</f>
        <v>126.37</v>
      </c>
      <c r="I278" s="3">
        <f>IFERROR(__xludf.DUMMYFUNCTION("""COMPUTED_VALUE"""),0.0)</f>
        <v>0</v>
      </c>
      <c r="J278" s="4">
        <f>IFERROR(__xludf.DUMMYFUNCTION("""COMPUTED_VALUE"""),12.63)</f>
        <v>12.63</v>
      </c>
      <c r="K278" s="2"/>
      <c r="L278" s="2" t="str">
        <f>IFERROR(__xludf.DUMMYFUNCTION("""COMPUTED_VALUE"""),"Delivered")</f>
        <v>Delivered</v>
      </c>
      <c r="M278" s="2" t="str">
        <f>IFERROR(__xludf.DUMMYFUNCTION("""COMPUTED_VALUE"""),"SR")</f>
        <v>SR</v>
      </c>
      <c r="N278" s="2" t="str">
        <f>IFERROR(__xludf.DUMMYFUNCTION("""COMPUTED_VALUE"""),"Credit, Debit, Apple Pay")</f>
        <v>Credit, Debit, Apple Pay</v>
      </c>
      <c r="O278" s="4">
        <f>IFERROR(__xludf.DUMMYFUNCTION("""COMPUTED_VALUE"""),0.0)</f>
        <v>0</v>
      </c>
      <c r="P278" s="2">
        <f>IFERROR(__xludf.DUMMYFUNCTION("""COMPUTED_VALUE"""),10.0)</f>
        <v>10</v>
      </c>
      <c r="Q278" s="2">
        <f>IFERROR(__xludf.DUMMYFUNCTION("""COMPUTED_VALUE"""),4.0)</f>
        <v>4</v>
      </c>
      <c r="R278" s="2">
        <f>IFERROR(__xludf.DUMMYFUNCTION("""COMPUTED_VALUE"""),2025.0)</f>
        <v>2025</v>
      </c>
      <c r="S278" s="2" t="str">
        <f>IFERROR(__xludf.DUMMYFUNCTION("""COMPUTED_VALUE"""),"Digizag")</f>
        <v>Digizag</v>
      </c>
      <c r="T278" s="2" t="str">
        <f>IFERROR(__xludf.DUMMYFUNCTION("""COMPUTED_VALUE"""),"Digizag")</f>
        <v>Digizag</v>
      </c>
      <c r="U278" s="5">
        <f>IFERROR(__xludf.DUMMYFUNCTION("""COMPUTED_VALUE"""),33.696060833020006)</f>
        <v>33.69606083</v>
      </c>
      <c r="V278" s="2"/>
      <c r="W278" s="2"/>
      <c r="X278" s="2"/>
      <c r="Y278" s="2"/>
      <c r="Z278" s="2"/>
    </row>
    <row r="279">
      <c r="A279" s="6">
        <f>IFERROR(__xludf.DUMMYFUNCTION("""COMPUTED_VALUE"""),45757.712129629625)</f>
        <v>45757.71213</v>
      </c>
      <c r="B279" s="2" t="str">
        <f>IFERROR(__xludf.DUMMYFUNCTION("""COMPUTED_VALUE"""),"April")</f>
        <v>April</v>
      </c>
      <c r="C279" s="3">
        <f>IFERROR(__xludf.DUMMYFUNCTION("""COMPUTED_VALUE"""),339011.0)</f>
        <v>339011</v>
      </c>
      <c r="D279" s="2" t="str">
        <f>IFERROR(__xludf.DUMMYFUNCTION("""COMPUTED_VALUE"""),"MNN16")</f>
        <v>MNN16</v>
      </c>
      <c r="E279" s="2" t="str">
        <f>IFERROR(__xludf.DUMMYFUNCTION("""COMPUTED_VALUE"""),"Imported from file DigiZag Bidding Codes.xlsx")</f>
        <v>Imported from file DigiZag Bidding Codes.xlsx</v>
      </c>
      <c r="F279" s="2" t="str">
        <f>IFERROR(__xludf.DUMMYFUNCTION("""COMPUTED_VALUE"""),"KQJ273483")</f>
        <v>KQJ273483</v>
      </c>
      <c r="G279" s="2" t="str">
        <f>IFERROR(__xludf.DUMMYFUNCTION("""COMPUTED_VALUE"""),"Kingdom of Saudi Arabia")</f>
        <v>Kingdom of Saudi Arabia</v>
      </c>
      <c r="H279" s="4">
        <f>IFERROR(__xludf.DUMMYFUNCTION("""COMPUTED_VALUE"""),129.0)</f>
        <v>129</v>
      </c>
      <c r="I279" s="3">
        <f>IFERROR(__xludf.DUMMYFUNCTION("""COMPUTED_VALUE"""),0.0)</f>
        <v>0</v>
      </c>
      <c r="J279" s="4">
        <f>IFERROR(__xludf.DUMMYFUNCTION("""COMPUTED_VALUE"""),12.9)</f>
        <v>12.9</v>
      </c>
      <c r="K279" s="2"/>
      <c r="L279" s="2" t="str">
        <f>IFERROR(__xludf.DUMMYFUNCTION("""COMPUTED_VALUE"""),"Delivered")</f>
        <v>Delivered</v>
      </c>
      <c r="M279" s="2" t="str">
        <f>IFERROR(__xludf.DUMMYFUNCTION("""COMPUTED_VALUE"""),"SR")</f>
        <v>SR</v>
      </c>
      <c r="N279" s="2" t="str">
        <f>IFERROR(__xludf.DUMMYFUNCTION("""COMPUTED_VALUE"""),"Credit, Debit, Apple Pay")</f>
        <v>Credit, Debit, Apple Pay</v>
      </c>
      <c r="O279" s="4">
        <f>IFERROR(__xludf.DUMMYFUNCTION("""COMPUTED_VALUE"""),0.0)</f>
        <v>0</v>
      </c>
      <c r="P279" s="2">
        <f>IFERROR(__xludf.DUMMYFUNCTION("""COMPUTED_VALUE"""),10.0)</f>
        <v>10</v>
      </c>
      <c r="Q279" s="2">
        <f>IFERROR(__xludf.DUMMYFUNCTION("""COMPUTED_VALUE"""),4.0)</f>
        <v>4</v>
      </c>
      <c r="R279" s="2">
        <f>IFERROR(__xludf.DUMMYFUNCTION("""COMPUTED_VALUE"""),2025.0)</f>
        <v>2025</v>
      </c>
      <c r="S279" s="2" t="str">
        <f>IFERROR(__xludf.DUMMYFUNCTION("""COMPUTED_VALUE"""),"Digizag")</f>
        <v>Digizag</v>
      </c>
      <c r="T279" s="2" t="str">
        <f>IFERROR(__xludf.DUMMYFUNCTION("""COMPUTED_VALUE"""),"Digizag")</f>
        <v>Digizag</v>
      </c>
      <c r="U279" s="5">
        <f>IFERROR(__xludf.DUMMYFUNCTION("""COMPUTED_VALUE"""),34.397339934)</f>
        <v>34.39733993</v>
      </c>
      <c r="V279" s="2"/>
      <c r="W279" s="2"/>
      <c r="X279" s="2"/>
      <c r="Y279" s="2"/>
      <c r="Z279" s="2"/>
    </row>
    <row r="280">
      <c r="A280" s="6">
        <f>IFERROR(__xludf.DUMMYFUNCTION("""COMPUTED_VALUE"""),45757.7249537037)</f>
        <v>45757.72495</v>
      </c>
      <c r="B280" s="2" t="str">
        <f>IFERROR(__xludf.DUMMYFUNCTION("""COMPUTED_VALUE"""),"April")</f>
        <v>April</v>
      </c>
      <c r="C280" s="3">
        <f>IFERROR(__xludf.DUMMYFUNCTION("""COMPUTED_VALUE"""),520575.0)</f>
        <v>520575</v>
      </c>
      <c r="D280" s="2" t="str">
        <f>IFERROR(__xludf.DUMMYFUNCTION("""COMPUTED_VALUE"""),"DB3")</f>
        <v>DB3</v>
      </c>
      <c r="E280" s="2" t="str">
        <f>IFERROR(__xludf.DUMMYFUNCTION("""COMPUTED_VALUE"""),"Imported from file Digizag.xlsx")</f>
        <v>Imported from file Digizag.xlsx</v>
      </c>
      <c r="F280" s="2" t="str">
        <f>IFERROR(__xludf.DUMMYFUNCTION("""COMPUTED_VALUE"""),"UXR801248")</f>
        <v>UXR801248</v>
      </c>
      <c r="G280" s="2" t="str">
        <f>IFERROR(__xludf.DUMMYFUNCTION("""COMPUTED_VALUE"""),"UAE")</f>
        <v>UAE</v>
      </c>
      <c r="H280" s="4">
        <f>IFERROR(__xludf.DUMMYFUNCTION("""COMPUTED_VALUE"""),182.84)</f>
        <v>182.84</v>
      </c>
      <c r="I280" s="3">
        <f>IFERROR(__xludf.DUMMYFUNCTION("""COMPUTED_VALUE"""),0.0)</f>
        <v>0</v>
      </c>
      <c r="J280" s="4">
        <f>IFERROR(__xludf.DUMMYFUNCTION("""COMPUTED_VALUE"""),18.27)</f>
        <v>18.27</v>
      </c>
      <c r="K280" s="2"/>
      <c r="L280" s="2" t="str">
        <f>IFERROR(__xludf.DUMMYFUNCTION("""COMPUTED_VALUE"""),"Delivered")</f>
        <v>Delivered</v>
      </c>
      <c r="M280" s="2" t="str">
        <f>IFERROR(__xludf.DUMMYFUNCTION("""COMPUTED_VALUE"""),"AED")</f>
        <v>AED</v>
      </c>
      <c r="N280" s="2" t="str">
        <f>IFERROR(__xludf.DUMMYFUNCTION("""COMPUTED_VALUE"""),"Credit, Debit , Apple Pay")</f>
        <v>Credit, Debit , Apple Pay</v>
      </c>
      <c r="O280" s="4">
        <f>IFERROR(__xludf.DUMMYFUNCTION("""COMPUTED_VALUE"""),0.0)</f>
        <v>0</v>
      </c>
      <c r="P280" s="2">
        <f>IFERROR(__xludf.DUMMYFUNCTION("""COMPUTED_VALUE"""),10.0)</f>
        <v>10</v>
      </c>
      <c r="Q280" s="2">
        <f>IFERROR(__xludf.DUMMYFUNCTION("""COMPUTED_VALUE"""),4.0)</f>
        <v>4</v>
      </c>
      <c r="R280" s="2">
        <f>IFERROR(__xludf.DUMMYFUNCTION("""COMPUTED_VALUE"""),2025.0)</f>
        <v>2025</v>
      </c>
      <c r="S280" s="2" t="str">
        <f>IFERROR(__xludf.DUMMYFUNCTION("""COMPUTED_VALUE"""),"Digizag")</f>
        <v>Digizag</v>
      </c>
      <c r="T280" s="2" t="str">
        <f>IFERROR(__xludf.DUMMYFUNCTION("""COMPUTED_VALUE"""),"Digizag")</f>
        <v>Digizag</v>
      </c>
      <c r="U280" s="5">
        <f>IFERROR(__xludf.DUMMYFUNCTION("""COMPUTED_VALUE"""),49.78624922152)</f>
        <v>49.78624922</v>
      </c>
      <c r="V280" s="2"/>
      <c r="W280" s="2"/>
      <c r="X280" s="2"/>
      <c r="Y280" s="2"/>
      <c r="Z280" s="2"/>
    </row>
    <row r="281">
      <c r="A281" s="6">
        <f>IFERROR(__xludf.DUMMYFUNCTION("""COMPUTED_VALUE"""),45757.82071759259)</f>
        <v>45757.82072</v>
      </c>
      <c r="B281" s="2" t="str">
        <f>IFERROR(__xludf.DUMMYFUNCTION("""COMPUTED_VALUE"""),"April")</f>
        <v>April</v>
      </c>
      <c r="C281" s="3">
        <f>IFERROR(__xludf.DUMMYFUNCTION("""COMPUTED_VALUE"""),367340.0)</f>
        <v>367340</v>
      </c>
      <c r="D281" s="2" t="str">
        <f>IFERROR(__xludf.DUMMYFUNCTION("""COMPUTED_VALUE"""),"MNN16")</f>
        <v>MNN16</v>
      </c>
      <c r="E281" s="2" t="str">
        <f>IFERROR(__xludf.DUMMYFUNCTION("""COMPUTED_VALUE"""),"Imported from file DigiZag Codes 25Feb25.xlsx")</f>
        <v>Imported from file DigiZag Codes 25Feb25.xlsx</v>
      </c>
      <c r="F281" s="2" t="str">
        <f>IFERROR(__xludf.DUMMYFUNCTION("""COMPUTED_VALUE"""),"UPW178781")</f>
        <v>UPW178781</v>
      </c>
      <c r="G281" s="2" t="str">
        <f>IFERROR(__xludf.DUMMYFUNCTION("""COMPUTED_VALUE"""),"Kuwait")</f>
        <v>Kuwait</v>
      </c>
      <c r="H281" s="4">
        <f>IFERROR(__xludf.DUMMYFUNCTION("""COMPUTED_VALUE"""),24.6)</f>
        <v>24.6</v>
      </c>
      <c r="I281" s="3">
        <f>IFERROR(__xludf.DUMMYFUNCTION("""COMPUTED_VALUE"""),0.0)</f>
        <v>0</v>
      </c>
      <c r="J281" s="4">
        <f>IFERROR(__xludf.DUMMYFUNCTION("""COMPUTED_VALUE"""),2.46)</f>
        <v>2.46</v>
      </c>
      <c r="K281" s="2"/>
      <c r="L281" s="2" t="str">
        <f>IFERROR(__xludf.DUMMYFUNCTION("""COMPUTED_VALUE"""),"Delivered")</f>
        <v>Delivered</v>
      </c>
      <c r="M281" s="2" t="str">
        <f>IFERROR(__xludf.DUMMYFUNCTION("""COMPUTED_VALUE"""),"KD")</f>
        <v>KD</v>
      </c>
      <c r="N281" s="2" t="str">
        <f>IFERROR(__xludf.DUMMYFUNCTION("""COMPUTED_VALUE"""),"Cash")</f>
        <v>Cash</v>
      </c>
      <c r="O281" s="4">
        <f>IFERROR(__xludf.DUMMYFUNCTION("""COMPUTED_VALUE"""),0.0)</f>
        <v>0</v>
      </c>
      <c r="P281" s="2">
        <f>IFERROR(__xludf.DUMMYFUNCTION("""COMPUTED_VALUE"""),10.0)</f>
        <v>10</v>
      </c>
      <c r="Q281" s="2">
        <f>IFERROR(__xludf.DUMMYFUNCTION("""COMPUTED_VALUE"""),4.0)</f>
        <v>4</v>
      </c>
      <c r="R281" s="2">
        <f>IFERROR(__xludf.DUMMYFUNCTION("""COMPUTED_VALUE"""),2025.0)</f>
        <v>2025</v>
      </c>
      <c r="S281" s="2" t="str">
        <f>IFERROR(__xludf.DUMMYFUNCTION("""COMPUTED_VALUE"""),"Digizag")</f>
        <v>Digizag</v>
      </c>
      <c r="T281" s="2" t="str">
        <f>IFERROR(__xludf.DUMMYFUNCTION("""COMPUTED_VALUE"""),"Digizag")</f>
        <v>Digizag</v>
      </c>
      <c r="U281" s="5">
        <f>IFERROR(__xludf.DUMMYFUNCTION("""COMPUTED_VALUE"""),80.211252)</f>
        <v>80.211252</v>
      </c>
      <c r="V281" s="2"/>
      <c r="W281" s="2"/>
      <c r="X281" s="2"/>
      <c r="Y281" s="2"/>
      <c r="Z281" s="2"/>
    </row>
    <row r="282">
      <c r="A282" s="6">
        <f>IFERROR(__xludf.DUMMYFUNCTION("""COMPUTED_VALUE"""),45757.83133101852)</f>
        <v>45757.83133</v>
      </c>
      <c r="B282" s="2" t="str">
        <f>IFERROR(__xludf.DUMMYFUNCTION("""COMPUTED_VALUE"""),"April")</f>
        <v>April</v>
      </c>
      <c r="C282" s="3">
        <f>IFERROR(__xludf.DUMMYFUNCTION("""COMPUTED_VALUE"""),48318.0)</f>
        <v>48318</v>
      </c>
      <c r="D282" s="2" t="str">
        <f>IFERROR(__xludf.DUMMYFUNCTION("""COMPUTED_VALUE"""),"MNN16")</f>
        <v>MNN16</v>
      </c>
      <c r="E282" s="2" t="str">
        <f>IFERROR(__xludf.DUMMYFUNCTION("""COMPUTED_VALUE"""),"Imported from file DigiZag Codes 25Feb25.xlsx")</f>
        <v>Imported from file DigiZag Codes 25Feb25.xlsx</v>
      </c>
      <c r="F282" s="2" t="str">
        <f>IFERROR(__xludf.DUMMYFUNCTION("""COMPUTED_VALUE"""),"PGT257061")</f>
        <v>PGT257061</v>
      </c>
      <c r="G282" s="2" t="str">
        <f>IFERROR(__xludf.DUMMYFUNCTION("""COMPUTED_VALUE"""),"Bahrain")</f>
        <v>Bahrain</v>
      </c>
      <c r="H282" s="4">
        <f>IFERROR(__xludf.DUMMYFUNCTION("""COMPUTED_VALUE"""),31.65)</f>
        <v>31.65</v>
      </c>
      <c r="I282" s="3">
        <f>IFERROR(__xludf.DUMMYFUNCTION("""COMPUTED_VALUE"""),0.0)</f>
        <v>0</v>
      </c>
      <c r="J282" s="4">
        <f>IFERROR(__xludf.DUMMYFUNCTION("""COMPUTED_VALUE"""),3.14)</f>
        <v>3.14</v>
      </c>
      <c r="K282" s="2"/>
      <c r="L282" s="2" t="str">
        <f>IFERROR(__xludf.DUMMYFUNCTION("""COMPUTED_VALUE"""),"Delivered")</f>
        <v>Delivered</v>
      </c>
      <c r="M282" s="2" t="str">
        <f>IFERROR(__xludf.DUMMYFUNCTION("""COMPUTED_VALUE"""),"BHD")</f>
        <v>BHD</v>
      </c>
      <c r="N282" s="2" t="str">
        <f>IFERROR(__xludf.DUMMYFUNCTION("""COMPUTED_VALUE"""),"Credit, Debit")</f>
        <v>Credit, Debit</v>
      </c>
      <c r="O282" s="4">
        <f>IFERROR(__xludf.DUMMYFUNCTION("""COMPUTED_VALUE"""),0.0)</f>
        <v>0</v>
      </c>
      <c r="P282" s="2">
        <f>IFERROR(__xludf.DUMMYFUNCTION("""COMPUTED_VALUE"""),10.0)</f>
        <v>10</v>
      </c>
      <c r="Q282" s="2">
        <f>IFERROR(__xludf.DUMMYFUNCTION("""COMPUTED_VALUE"""),4.0)</f>
        <v>4</v>
      </c>
      <c r="R282" s="2">
        <f>IFERROR(__xludf.DUMMYFUNCTION("""COMPUTED_VALUE"""),2025.0)</f>
        <v>2025</v>
      </c>
      <c r="S282" s="2" t="str">
        <f>IFERROR(__xludf.DUMMYFUNCTION("""COMPUTED_VALUE"""),"Digizag")</f>
        <v>Digizag</v>
      </c>
      <c r="T282" s="2" t="str">
        <f>IFERROR(__xludf.DUMMYFUNCTION("""COMPUTED_VALUE"""),"Digizag")</f>
        <v>Digizag</v>
      </c>
      <c r="U282" s="5">
        <f>IFERROR(__xludf.DUMMYFUNCTION("""COMPUTED_VALUE"""),83.96482304999999)</f>
        <v>83.96482305</v>
      </c>
      <c r="V282" s="2"/>
      <c r="W282" s="2"/>
      <c r="X282" s="2"/>
      <c r="Y282" s="2"/>
      <c r="Z282" s="2"/>
    </row>
    <row r="283">
      <c r="A283" s="6">
        <f>IFERROR(__xludf.DUMMYFUNCTION("""COMPUTED_VALUE"""),45757.857627314814)</f>
        <v>45757.85763</v>
      </c>
      <c r="B283" s="2" t="str">
        <f>IFERROR(__xludf.DUMMYFUNCTION("""COMPUTED_VALUE"""),"April")</f>
        <v>April</v>
      </c>
      <c r="C283" s="3">
        <f>IFERROR(__xludf.DUMMYFUNCTION("""COMPUTED_VALUE"""),718781.0)</f>
        <v>718781</v>
      </c>
      <c r="D283" s="2" t="str">
        <f>IFERROR(__xludf.DUMMYFUNCTION("""COMPUTED_VALUE"""),"MNN16")</f>
        <v>MNN16</v>
      </c>
      <c r="E283" s="2" t="str">
        <f>IFERROR(__xludf.DUMMYFUNCTION("""COMPUTED_VALUE"""),"Imported from file DigiZag Bidding Codes.xlsx")</f>
        <v>Imported from file DigiZag Bidding Codes.xlsx</v>
      </c>
      <c r="F283" s="2" t="str">
        <f>IFERROR(__xludf.DUMMYFUNCTION("""COMPUTED_VALUE"""),"TYH139445")</f>
        <v>TYH139445</v>
      </c>
      <c r="G283" s="2" t="str">
        <f>IFERROR(__xludf.DUMMYFUNCTION("""COMPUTED_VALUE"""),"Kingdom of Saudi Arabia")</f>
        <v>Kingdom of Saudi Arabia</v>
      </c>
      <c r="H283" s="4">
        <f>IFERROR(__xludf.DUMMYFUNCTION("""COMPUTED_VALUE"""),358.85)</f>
        <v>358.85</v>
      </c>
      <c r="I283" s="3">
        <f>IFERROR(__xludf.DUMMYFUNCTION("""COMPUTED_VALUE"""),0.0)</f>
        <v>0</v>
      </c>
      <c r="J283" s="4">
        <f>IFERROR(__xludf.DUMMYFUNCTION("""COMPUTED_VALUE"""),35.88)</f>
        <v>35.88</v>
      </c>
      <c r="K283" s="2"/>
      <c r="L283" s="2" t="str">
        <f>IFERROR(__xludf.DUMMYFUNCTION("""COMPUTED_VALUE"""),"Delivered")</f>
        <v>Delivered</v>
      </c>
      <c r="M283" s="2" t="str">
        <f>IFERROR(__xludf.DUMMYFUNCTION("""COMPUTED_VALUE"""),"SR")</f>
        <v>SR</v>
      </c>
      <c r="N283" s="2" t="str">
        <f>IFERROR(__xludf.DUMMYFUNCTION("""COMPUTED_VALUE"""),"Pay in 4. No interest, no fees")</f>
        <v>Pay in 4. No interest, no fees</v>
      </c>
      <c r="O283" s="4">
        <f>IFERROR(__xludf.DUMMYFUNCTION("""COMPUTED_VALUE"""),0.0)</f>
        <v>0</v>
      </c>
      <c r="P283" s="2">
        <f>IFERROR(__xludf.DUMMYFUNCTION("""COMPUTED_VALUE"""),10.0)</f>
        <v>10</v>
      </c>
      <c r="Q283" s="2">
        <f>IFERROR(__xludf.DUMMYFUNCTION("""COMPUTED_VALUE"""),4.0)</f>
        <v>4</v>
      </c>
      <c r="R283" s="2">
        <f>IFERROR(__xludf.DUMMYFUNCTION("""COMPUTED_VALUE"""),2025.0)</f>
        <v>2025</v>
      </c>
      <c r="S283" s="2" t="str">
        <f>IFERROR(__xludf.DUMMYFUNCTION("""COMPUTED_VALUE"""),"Digizag")</f>
        <v>Digizag</v>
      </c>
      <c r="T283" s="2" t="str">
        <f>IFERROR(__xludf.DUMMYFUNCTION("""COMPUTED_VALUE"""),"Digizag")</f>
        <v>Digizag</v>
      </c>
      <c r="U283" s="5">
        <f>IFERROR(__xludf.DUMMYFUNCTION("""COMPUTED_VALUE"""),95.68593360710001)</f>
        <v>95.68593361</v>
      </c>
      <c r="V283" s="2"/>
      <c r="W283" s="2"/>
      <c r="X283" s="2"/>
      <c r="Y283" s="2"/>
      <c r="Z283" s="2"/>
    </row>
    <row r="284">
      <c r="A284" s="6">
        <f>IFERROR(__xludf.DUMMYFUNCTION("""COMPUTED_VALUE"""),45757.91810185185)</f>
        <v>45757.9181</v>
      </c>
      <c r="B284" s="2" t="str">
        <f>IFERROR(__xludf.DUMMYFUNCTION("""COMPUTED_VALUE"""),"April")</f>
        <v>April</v>
      </c>
      <c r="C284" s="3">
        <f>IFERROR(__xludf.DUMMYFUNCTION("""COMPUTED_VALUE"""),449309.0)</f>
        <v>449309</v>
      </c>
      <c r="D284" s="2" t="str">
        <f>IFERROR(__xludf.DUMMYFUNCTION("""COMPUTED_VALUE"""),"DB1")</f>
        <v>DB1</v>
      </c>
      <c r="E284" s="2" t="str">
        <f>IFERROR(__xludf.DUMMYFUNCTION("""COMPUTED_VALUE"""),"Imported from file Digizag.xlsx")</f>
        <v>Imported from file Digizag.xlsx</v>
      </c>
      <c r="F284" s="2" t="str">
        <f>IFERROR(__xludf.DUMMYFUNCTION("""COMPUTED_VALUE"""),"AXW795241")</f>
        <v>AXW795241</v>
      </c>
      <c r="G284" s="2" t="str">
        <f>IFERROR(__xludf.DUMMYFUNCTION("""COMPUTED_VALUE"""),"UAE")</f>
        <v>UAE</v>
      </c>
      <c r="H284" s="4">
        <f>IFERROR(__xludf.DUMMYFUNCTION("""COMPUTED_VALUE"""),582.81)</f>
        <v>582.81</v>
      </c>
      <c r="I284" s="3">
        <f>IFERROR(__xludf.DUMMYFUNCTION("""COMPUTED_VALUE"""),0.0)</f>
        <v>0</v>
      </c>
      <c r="J284" s="4">
        <f>IFERROR(__xludf.DUMMYFUNCTION("""COMPUTED_VALUE"""),58.27)</f>
        <v>58.27</v>
      </c>
      <c r="K284" s="2"/>
      <c r="L284" s="2" t="str">
        <f>IFERROR(__xludf.DUMMYFUNCTION("""COMPUTED_VALUE"""),"Delivered")</f>
        <v>Delivered</v>
      </c>
      <c r="M284" s="2" t="str">
        <f>IFERROR(__xludf.DUMMYFUNCTION("""COMPUTED_VALUE"""),"AED")</f>
        <v>AED</v>
      </c>
      <c r="N284" s="2" t="str">
        <f>IFERROR(__xludf.DUMMYFUNCTION("""COMPUTED_VALUE"""),"Credit, Debit , Apple Pay")</f>
        <v>Credit, Debit , Apple Pay</v>
      </c>
      <c r="O284" s="4">
        <f>IFERROR(__xludf.DUMMYFUNCTION("""COMPUTED_VALUE"""),0.0)</f>
        <v>0</v>
      </c>
      <c r="P284" s="2">
        <f>IFERROR(__xludf.DUMMYFUNCTION("""COMPUTED_VALUE"""),10.0)</f>
        <v>10</v>
      </c>
      <c r="Q284" s="2">
        <f>IFERROR(__xludf.DUMMYFUNCTION("""COMPUTED_VALUE"""),4.0)</f>
        <v>4</v>
      </c>
      <c r="R284" s="2">
        <f>IFERROR(__xludf.DUMMYFUNCTION("""COMPUTED_VALUE"""),2025.0)</f>
        <v>2025</v>
      </c>
      <c r="S284" s="2" t="str">
        <f>IFERROR(__xludf.DUMMYFUNCTION("""COMPUTED_VALUE"""),"Digizag")</f>
        <v>Digizag</v>
      </c>
      <c r="T284" s="2" t="str">
        <f>IFERROR(__xludf.DUMMYFUNCTION("""COMPUTED_VALUE"""),"Digizag")</f>
        <v>Digizag</v>
      </c>
      <c r="U284" s="5">
        <f>IFERROR(__xludf.DUMMYFUNCTION("""COMPUTED_VALUE"""),158.69571159918)</f>
        <v>158.6957116</v>
      </c>
      <c r="V284" s="2"/>
      <c r="W284" s="2"/>
      <c r="X284" s="2"/>
      <c r="Y284" s="2"/>
      <c r="Z284" s="2"/>
    </row>
    <row r="285">
      <c r="A285" s="6">
        <f>IFERROR(__xludf.DUMMYFUNCTION("""COMPUTED_VALUE"""),45758.38847222222)</f>
        <v>45758.38847</v>
      </c>
      <c r="B285" s="2" t="str">
        <f>IFERROR(__xludf.DUMMYFUNCTION("""COMPUTED_VALUE"""),"April")</f>
        <v>April</v>
      </c>
      <c r="C285" s="3">
        <f>IFERROR(__xludf.DUMMYFUNCTION("""COMPUTED_VALUE"""),678922.0)</f>
        <v>678922</v>
      </c>
      <c r="D285" s="2" t="str">
        <f>IFERROR(__xludf.DUMMYFUNCTION("""COMPUTED_VALUE"""),"MNN16")</f>
        <v>MNN16</v>
      </c>
      <c r="E285" s="2" t="str">
        <f>IFERROR(__xludf.DUMMYFUNCTION("""COMPUTED_VALUE"""),"Imported from file DigiZag Bidding Codes.xlsx")</f>
        <v>Imported from file DigiZag Bidding Codes.xlsx</v>
      </c>
      <c r="F285" s="2" t="str">
        <f>IFERROR(__xludf.DUMMYFUNCTION("""COMPUTED_VALUE"""),"MVB390746")</f>
        <v>MVB390746</v>
      </c>
      <c r="G285" s="2" t="str">
        <f>IFERROR(__xludf.DUMMYFUNCTION("""COMPUTED_VALUE"""),"Kingdom of Saudi Arabia")</f>
        <v>Kingdom of Saudi Arabia</v>
      </c>
      <c r="H285" s="4">
        <f>IFERROR(__xludf.DUMMYFUNCTION("""COMPUTED_VALUE"""),138.26)</f>
        <v>138.26</v>
      </c>
      <c r="I285" s="3">
        <f>IFERROR(__xludf.DUMMYFUNCTION("""COMPUTED_VALUE"""),0.0)</f>
        <v>0</v>
      </c>
      <c r="J285" s="4">
        <f>IFERROR(__xludf.DUMMYFUNCTION("""COMPUTED_VALUE"""),13.82)</f>
        <v>13.82</v>
      </c>
      <c r="K285" s="2"/>
      <c r="L285" s="2" t="str">
        <f>IFERROR(__xludf.DUMMYFUNCTION("""COMPUTED_VALUE"""),"Delivered")</f>
        <v>Delivered</v>
      </c>
      <c r="M285" s="2" t="str">
        <f>IFERROR(__xludf.DUMMYFUNCTION("""COMPUTED_VALUE"""),"SR")</f>
        <v>SR</v>
      </c>
      <c r="N285" s="2" t="str">
        <f>IFERROR(__xludf.DUMMYFUNCTION("""COMPUTED_VALUE"""),"Credit, Debit, Apple Pay")</f>
        <v>Credit, Debit, Apple Pay</v>
      </c>
      <c r="O285" s="4">
        <f>IFERROR(__xludf.DUMMYFUNCTION("""COMPUTED_VALUE"""),0.0)</f>
        <v>0</v>
      </c>
      <c r="P285" s="2">
        <f>IFERROR(__xludf.DUMMYFUNCTION("""COMPUTED_VALUE"""),11.0)</f>
        <v>11</v>
      </c>
      <c r="Q285" s="2">
        <f>IFERROR(__xludf.DUMMYFUNCTION("""COMPUTED_VALUE"""),4.0)</f>
        <v>4</v>
      </c>
      <c r="R285" s="2">
        <f>IFERROR(__xludf.DUMMYFUNCTION("""COMPUTED_VALUE"""),2025.0)</f>
        <v>2025</v>
      </c>
      <c r="S285" s="2" t="str">
        <f>IFERROR(__xludf.DUMMYFUNCTION("""COMPUTED_VALUE"""),"Digizag")</f>
        <v>Digizag</v>
      </c>
      <c r="T285" s="2" t="str">
        <f>IFERROR(__xludf.DUMMYFUNCTION("""COMPUTED_VALUE"""),"Digizag")</f>
        <v>Digizag</v>
      </c>
      <c r="U285" s="5">
        <f>IFERROR(__xludf.DUMMYFUNCTION("""COMPUTED_VALUE"""),36.86648231996)</f>
        <v>36.86648232</v>
      </c>
      <c r="V285" s="2"/>
      <c r="W285" s="2"/>
      <c r="X285" s="2"/>
      <c r="Y285" s="2"/>
      <c r="Z285" s="2"/>
    </row>
    <row r="286">
      <c r="A286" s="6">
        <f>IFERROR(__xludf.DUMMYFUNCTION("""COMPUTED_VALUE"""),45758.7646412037)</f>
        <v>45758.76464</v>
      </c>
      <c r="B286" s="2" t="str">
        <f>IFERROR(__xludf.DUMMYFUNCTION("""COMPUTED_VALUE"""),"April")</f>
        <v>April</v>
      </c>
      <c r="C286" s="3">
        <f>IFERROR(__xludf.DUMMYFUNCTION("""COMPUTED_VALUE"""),49527.0)</f>
        <v>49527</v>
      </c>
      <c r="D286" s="2" t="str">
        <f>IFERROR(__xludf.DUMMYFUNCTION("""COMPUTED_VALUE"""),"DB1")</f>
        <v>DB1</v>
      </c>
      <c r="E286" s="2" t="str">
        <f>IFERROR(__xludf.DUMMYFUNCTION("""COMPUTED_VALUE"""),"Imported from file Digizag.xlsx")</f>
        <v>Imported from file Digizag.xlsx</v>
      </c>
      <c r="F286" s="2" t="str">
        <f>IFERROR(__xludf.DUMMYFUNCTION("""COMPUTED_VALUE"""),"PPA771845")</f>
        <v>PPA771845</v>
      </c>
      <c r="G286" s="2" t="str">
        <f>IFERROR(__xludf.DUMMYFUNCTION("""COMPUTED_VALUE"""),"Kuwait")</f>
        <v>Kuwait</v>
      </c>
      <c r="H286" s="4">
        <f>IFERROR(__xludf.DUMMYFUNCTION("""COMPUTED_VALUE"""),18.55)</f>
        <v>18.55</v>
      </c>
      <c r="I286" s="3">
        <f>IFERROR(__xludf.DUMMYFUNCTION("""COMPUTED_VALUE"""),0.0)</f>
        <v>0</v>
      </c>
      <c r="J286" s="4">
        <f>IFERROR(__xludf.DUMMYFUNCTION("""COMPUTED_VALUE"""),1.855)</f>
        <v>1.855</v>
      </c>
      <c r="K286" s="2"/>
      <c r="L286" s="2" t="str">
        <f>IFERROR(__xludf.DUMMYFUNCTION("""COMPUTED_VALUE"""),"Delivered")</f>
        <v>Delivered</v>
      </c>
      <c r="M286" s="2" t="str">
        <f>IFERROR(__xludf.DUMMYFUNCTION("""COMPUTED_VALUE"""),"KD")</f>
        <v>KD</v>
      </c>
      <c r="N286" s="2" t="str">
        <f>IFERROR(__xludf.DUMMYFUNCTION("""COMPUTED_VALUE"""),"Cash")</f>
        <v>Cash</v>
      </c>
      <c r="O286" s="4">
        <f>IFERROR(__xludf.DUMMYFUNCTION("""COMPUTED_VALUE"""),0.0)</f>
        <v>0</v>
      </c>
      <c r="P286" s="2">
        <f>IFERROR(__xludf.DUMMYFUNCTION("""COMPUTED_VALUE"""),11.0)</f>
        <v>11</v>
      </c>
      <c r="Q286" s="2">
        <f>IFERROR(__xludf.DUMMYFUNCTION("""COMPUTED_VALUE"""),4.0)</f>
        <v>4</v>
      </c>
      <c r="R286" s="2">
        <f>IFERROR(__xludf.DUMMYFUNCTION("""COMPUTED_VALUE"""),2025.0)</f>
        <v>2025</v>
      </c>
      <c r="S286" s="2" t="str">
        <f>IFERROR(__xludf.DUMMYFUNCTION("""COMPUTED_VALUE"""),"Digizag")</f>
        <v>Digizag</v>
      </c>
      <c r="T286" s="2" t="str">
        <f>IFERROR(__xludf.DUMMYFUNCTION("""COMPUTED_VALUE"""),"Digizag")</f>
        <v>Digizag</v>
      </c>
      <c r="U286" s="5">
        <f>IFERROR(__xludf.DUMMYFUNCTION("""COMPUTED_VALUE"""),60.484501)</f>
        <v>60.484501</v>
      </c>
      <c r="V286" s="2"/>
      <c r="W286" s="2"/>
      <c r="X286" s="2"/>
      <c r="Y286" s="2"/>
      <c r="Z286" s="2"/>
    </row>
    <row r="287">
      <c r="A287" s="6">
        <f>IFERROR(__xludf.DUMMYFUNCTION("""COMPUTED_VALUE"""),45758.787881944445)</f>
        <v>45758.78788</v>
      </c>
      <c r="B287" s="2" t="str">
        <f>IFERROR(__xludf.DUMMYFUNCTION("""COMPUTED_VALUE"""),"April")</f>
        <v>April</v>
      </c>
      <c r="C287" s="3">
        <f>IFERROR(__xludf.DUMMYFUNCTION("""COMPUTED_VALUE"""),294715.0)</f>
        <v>294715</v>
      </c>
      <c r="D287" s="2" t="str">
        <f>IFERROR(__xludf.DUMMYFUNCTION("""COMPUTED_VALUE"""),"DB3")</f>
        <v>DB3</v>
      </c>
      <c r="E287" s="2" t="str">
        <f>IFERROR(__xludf.DUMMYFUNCTION("""COMPUTED_VALUE"""),"Imported from file Digizag.xlsx")</f>
        <v>Imported from file Digizag.xlsx</v>
      </c>
      <c r="F287" s="2" t="str">
        <f>IFERROR(__xludf.DUMMYFUNCTION("""COMPUTED_VALUE"""),"GRD196146")</f>
        <v>GRD196146</v>
      </c>
      <c r="G287" s="2" t="str">
        <f>IFERROR(__xludf.DUMMYFUNCTION("""COMPUTED_VALUE"""),"Kingdom of Saudi Arabia")</f>
        <v>Kingdom of Saudi Arabia</v>
      </c>
      <c r="H287" s="4">
        <f>IFERROR(__xludf.DUMMYFUNCTION("""COMPUTED_VALUE"""),687.35)</f>
        <v>687.35</v>
      </c>
      <c r="I287" s="3">
        <f>IFERROR(__xludf.DUMMYFUNCTION("""COMPUTED_VALUE"""),0.0)</f>
        <v>0</v>
      </c>
      <c r="J287" s="4">
        <f>IFERROR(__xludf.DUMMYFUNCTION("""COMPUTED_VALUE"""),68.72)</f>
        <v>68.72</v>
      </c>
      <c r="K287" s="2"/>
      <c r="L287" s="2" t="str">
        <f>IFERROR(__xludf.DUMMYFUNCTION("""COMPUTED_VALUE"""),"Delivered")</f>
        <v>Delivered</v>
      </c>
      <c r="M287" s="2" t="str">
        <f>IFERROR(__xludf.DUMMYFUNCTION("""COMPUTED_VALUE"""),"SR")</f>
        <v>SR</v>
      </c>
      <c r="N287" s="2" t="str">
        <f>IFERROR(__xludf.DUMMYFUNCTION("""COMPUTED_VALUE"""),"Tamara: Split in 3, interest-free")</f>
        <v>Tamara: Split in 3, interest-free</v>
      </c>
      <c r="O287" s="4">
        <f>IFERROR(__xludf.DUMMYFUNCTION("""COMPUTED_VALUE"""),0.0)</f>
        <v>0</v>
      </c>
      <c r="P287" s="2">
        <f>IFERROR(__xludf.DUMMYFUNCTION("""COMPUTED_VALUE"""),11.0)</f>
        <v>11</v>
      </c>
      <c r="Q287" s="2">
        <f>IFERROR(__xludf.DUMMYFUNCTION("""COMPUTED_VALUE"""),4.0)</f>
        <v>4</v>
      </c>
      <c r="R287" s="2">
        <f>IFERROR(__xludf.DUMMYFUNCTION("""COMPUTED_VALUE"""),2025.0)</f>
        <v>2025</v>
      </c>
      <c r="S287" s="2" t="str">
        <f>IFERROR(__xludf.DUMMYFUNCTION("""COMPUTED_VALUE"""),"Digizag")</f>
        <v>Digizag</v>
      </c>
      <c r="T287" s="2" t="str">
        <f>IFERROR(__xludf.DUMMYFUNCTION("""COMPUTED_VALUE"""),"Digizag")</f>
        <v>Digizag</v>
      </c>
      <c r="U287" s="5">
        <f>IFERROR(__xludf.DUMMYFUNCTION("""COMPUTED_VALUE"""),183.27915971810003)</f>
        <v>183.2791597</v>
      </c>
      <c r="V287" s="2"/>
      <c r="W287" s="2"/>
      <c r="X287" s="2"/>
      <c r="Y287" s="2"/>
      <c r="Z287" s="2"/>
    </row>
    <row r="288">
      <c r="A288" s="6">
        <f>IFERROR(__xludf.DUMMYFUNCTION("""COMPUTED_VALUE"""),45759.42252314815)</f>
        <v>45759.42252</v>
      </c>
      <c r="B288" s="2" t="str">
        <f>IFERROR(__xludf.DUMMYFUNCTION("""COMPUTED_VALUE"""),"April")</f>
        <v>April</v>
      </c>
      <c r="C288" s="3">
        <f>IFERROR(__xludf.DUMMYFUNCTION("""COMPUTED_VALUE"""),377844.0)</f>
        <v>377844</v>
      </c>
      <c r="D288" s="2" t="str">
        <f>IFERROR(__xludf.DUMMYFUNCTION("""COMPUTED_VALUE"""),"DB3")</f>
        <v>DB3</v>
      </c>
      <c r="E288" s="2" t="str">
        <f>IFERROR(__xludf.DUMMYFUNCTION("""COMPUTED_VALUE"""),"Imported from file Digizag.xlsx")</f>
        <v>Imported from file Digizag.xlsx</v>
      </c>
      <c r="F288" s="2" t="str">
        <f>IFERROR(__xludf.DUMMYFUNCTION("""COMPUTED_VALUE"""),"BZR625417")</f>
        <v>BZR625417</v>
      </c>
      <c r="G288" s="2" t="str">
        <f>IFERROR(__xludf.DUMMYFUNCTION("""COMPUTED_VALUE"""),"UAE")</f>
        <v>UAE</v>
      </c>
      <c r="H288" s="4">
        <f>IFERROR(__xludf.DUMMYFUNCTION("""COMPUTED_VALUE"""),468.86)</f>
        <v>468.86</v>
      </c>
      <c r="I288" s="3">
        <f>IFERROR(__xludf.DUMMYFUNCTION("""COMPUTED_VALUE"""),0.0)</f>
        <v>0</v>
      </c>
      <c r="J288" s="4">
        <f>IFERROR(__xludf.DUMMYFUNCTION("""COMPUTED_VALUE"""),46.88)</f>
        <v>46.88</v>
      </c>
      <c r="K288" s="2"/>
      <c r="L288" s="2" t="str">
        <f>IFERROR(__xludf.DUMMYFUNCTION("""COMPUTED_VALUE"""),"Processing")</f>
        <v>Processing</v>
      </c>
      <c r="M288" s="2" t="str">
        <f>IFERROR(__xludf.DUMMYFUNCTION("""COMPUTED_VALUE"""),"AED")</f>
        <v>AED</v>
      </c>
      <c r="N288" s="2" t="str">
        <f>IFERROR(__xludf.DUMMYFUNCTION("""COMPUTED_VALUE"""),"Credit, Debit , Apple Pay")</f>
        <v>Credit, Debit , Apple Pay</v>
      </c>
      <c r="O288" s="4">
        <f>IFERROR(__xludf.DUMMYFUNCTION("""COMPUTED_VALUE"""),0.0)</f>
        <v>0</v>
      </c>
      <c r="P288" s="2">
        <f>IFERROR(__xludf.DUMMYFUNCTION("""COMPUTED_VALUE"""),12.0)</f>
        <v>12</v>
      </c>
      <c r="Q288" s="2">
        <f>IFERROR(__xludf.DUMMYFUNCTION("""COMPUTED_VALUE"""),4.0)</f>
        <v>4</v>
      </c>
      <c r="R288" s="2">
        <f>IFERROR(__xludf.DUMMYFUNCTION("""COMPUTED_VALUE"""),2025.0)</f>
        <v>2025</v>
      </c>
      <c r="S288" s="2" t="str">
        <f>IFERROR(__xludf.DUMMYFUNCTION("""COMPUTED_VALUE"""),"Digizag")</f>
        <v>Digizag</v>
      </c>
      <c r="T288" s="2" t="str">
        <f>IFERROR(__xludf.DUMMYFUNCTION("""COMPUTED_VALUE"""),"Digizag")</f>
        <v>Digizag</v>
      </c>
      <c r="U288" s="5">
        <f>IFERROR(__xludf.DUMMYFUNCTION("""COMPUTED_VALUE"""),127.66780141108)</f>
        <v>127.6678014</v>
      </c>
      <c r="V288" s="2"/>
      <c r="W288" s="2"/>
      <c r="X288" s="2"/>
      <c r="Y288" s="2"/>
      <c r="Z288" s="2"/>
    </row>
    <row r="289">
      <c r="A289" s="6">
        <f>IFERROR(__xludf.DUMMYFUNCTION("""COMPUTED_VALUE"""),45759.683703703704)</f>
        <v>45759.6837</v>
      </c>
      <c r="B289" s="2" t="str">
        <f>IFERROR(__xludf.DUMMYFUNCTION("""COMPUTED_VALUE"""),"April")</f>
        <v>April</v>
      </c>
      <c r="C289" s="3">
        <f>IFERROR(__xludf.DUMMYFUNCTION("""COMPUTED_VALUE"""),448917.0)</f>
        <v>448917</v>
      </c>
      <c r="D289" s="2" t="str">
        <f>IFERROR(__xludf.DUMMYFUNCTION("""COMPUTED_VALUE"""),"MNN16")</f>
        <v>MNN16</v>
      </c>
      <c r="E289" s="2" t="str">
        <f>IFERROR(__xludf.DUMMYFUNCTION("""COMPUTED_VALUE"""),"Imported from file DigiZag Codes 25Feb25.xlsx")</f>
        <v>Imported from file DigiZag Codes 25Feb25.xlsx</v>
      </c>
      <c r="F289" s="2" t="str">
        <f>IFERROR(__xludf.DUMMYFUNCTION("""COMPUTED_VALUE"""),"XJD855454")</f>
        <v>XJD855454</v>
      </c>
      <c r="G289" s="2" t="str">
        <f>IFERROR(__xludf.DUMMYFUNCTION("""COMPUTED_VALUE"""),"UAE")</f>
        <v>UAE</v>
      </c>
      <c r="H289" s="4">
        <f>IFERROR(__xludf.DUMMYFUNCTION("""COMPUTED_VALUE"""),113.0)</f>
        <v>113</v>
      </c>
      <c r="I289" s="3">
        <f>IFERROR(__xludf.DUMMYFUNCTION("""COMPUTED_VALUE"""),0.0)</f>
        <v>0</v>
      </c>
      <c r="J289" s="4">
        <f>IFERROR(__xludf.DUMMYFUNCTION("""COMPUTED_VALUE"""),11.3)</f>
        <v>11.3</v>
      </c>
      <c r="K289" s="2"/>
      <c r="L289" s="2" t="str">
        <f>IFERROR(__xludf.DUMMYFUNCTION("""COMPUTED_VALUE"""),"Processing")</f>
        <v>Processing</v>
      </c>
      <c r="M289" s="2" t="str">
        <f>IFERROR(__xludf.DUMMYFUNCTION("""COMPUTED_VALUE"""),"AED")</f>
        <v>AED</v>
      </c>
      <c r="N289" s="2" t="str">
        <f>IFERROR(__xludf.DUMMYFUNCTION("""COMPUTED_VALUE"""),"Credit, Debit , Apple Pay")</f>
        <v>Credit, Debit , Apple Pay</v>
      </c>
      <c r="O289" s="4">
        <f>IFERROR(__xludf.DUMMYFUNCTION("""COMPUTED_VALUE"""),0.0)</f>
        <v>0</v>
      </c>
      <c r="P289" s="2">
        <f>IFERROR(__xludf.DUMMYFUNCTION("""COMPUTED_VALUE"""),12.0)</f>
        <v>12</v>
      </c>
      <c r="Q289" s="2">
        <f>IFERROR(__xludf.DUMMYFUNCTION("""COMPUTED_VALUE"""),4.0)</f>
        <v>4</v>
      </c>
      <c r="R289" s="2">
        <f>IFERROR(__xludf.DUMMYFUNCTION("""COMPUTED_VALUE"""),2025.0)</f>
        <v>2025</v>
      </c>
      <c r="S289" s="2" t="str">
        <f>IFERROR(__xludf.DUMMYFUNCTION("""COMPUTED_VALUE"""),"Digizag")</f>
        <v>Digizag</v>
      </c>
      <c r="T289" s="2" t="str">
        <f>IFERROR(__xludf.DUMMYFUNCTION("""COMPUTED_VALUE"""),"Digizag")</f>
        <v>Digizag</v>
      </c>
      <c r="U289" s="5">
        <f>IFERROR(__xludf.DUMMYFUNCTION("""COMPUTED_VALUE"""),30.769230814)</f>
        <v>30.76923081</v>
      </c>
      <c r="V289" s="2"/>
      <c r="W289" s="2"/>
      <c r="X289" s="2"/>
      <c r="Y289" s="2"/>
      <c r="Z289" s="2"/>
    </row>
    <row r="290">
      <c r="A290" s="6">
        <f>IFERROR(__xludf.DUMMYFUNCTION("""COMPUTED_VALUE"""),45760.227754629625)</f>
        <v>45760.22775</v>
      </c>
      <c r="B290" s="2" t="str">
        <f>IFERROR(__xludf.DUMMYFUNCTION("""COMPUTED_VALUE"""),"April")</f>
        <v>April</v>
      </c>
      <c r="C290" s="3">
        <f>IFERROR(__xludf.DUMMYFUNCTION("""COMPUTED_VALUE"""),719839.0)</f>
        <v>719839</v>
      </c>
      <c r="D290" s="2" t="str">
        <f>IFERROR(__xludf.DUMMYFUNCTION("""COMPUTED_VALUE"""),"DB1")</f>
        <v>DB1</v>
      </c>
      <c r="E290" s="2" t="str">
        <f>IFERROR(__xludf.DUMMYFUNCTION("""COMPUTED_VALUE"""),"Imported from file Digizag.xlsx")</f>
        <v>Imported from file Digizag.xlsx</v>
      </c>
      <c r="F290" s="2" t="str">
        <f>IFERROR(__xludf.DUMMYFUNCTION("""COMPUTED_VALUE"""),"TPG524240")</f>
        <v>TPG524240</v>
      </c>
      <c r="G290" s="2" t="str">
        <f>IFERROR(__xludf.DUMMYFUNCTION("""COMPUTED_VALUE"""),"UAE")</f>
        <v>UAE</v>
      </c>
      <c r="H290" s="4">
        <f>IFERROR(__xludf.DUMMYFUNCTION("""COMPUTED_VALUE"""),159.0)</f>
        <v>159</v>
      </c>
      <c r="I290" s="3">
        <f>IFERROR(__xludf.DUMMYFUNCTION("""COMPUTED_VALUE"""),0.0)</f>
        <v>0</v>
      </c>
      <c r="J290" s="4">
        <f>IFERROR(__xludf.DUMMYFUNCTION("""COMPUTED_VALUE"""),15.9)</f>
        <v>15.9</v>
      </c>
      <c r="K290" s="2"/>
      <c r="L290" s="2" t="str">
        <f>IFERROR(__xludf.DUMMYFUNCTION("""COMPUTED_VALUE"""),"Delivered")</f>
        <v>Delivered</v>
      </c>
      <c r="M290" s="2" t="str">
        <f>IFERROR(__xludf.DUMMYFUNCTION("""COMPUTED_VALUE"""),"AED")</f>
        <v>AED</v>
      </c>
      <c r="N290" s="2" t="str">
        <f>IFERROR(__xludf.DUMMYFUNCTION("""COMPUTED_VALUE"""),"Credit, Debit , Apple Pay")</f>
        <v>Credit, Debit , Apple Pay</v>
      </c>
      <c r="O290" s="4">
        <f>IFERROR(__xludf.DUMMYFUNCTION("""COMPUTED_VALUE"""),0.0)</f>
        <v>0</v>
      </c>
      <c r="P290" s="2">
        <f>IFERROR(__xludf.DUMMYFUNCTION("""COMPUTED_VALUE"""),13.0)</f>
        <v>13</v>
      </c>
      <c r="Q290" s="2">
        <f>IFERROR(__xludf.DUMMYFUNCTION("""COMPUTED_VALUE"""),4.0)</f>
        <v>4</v>
      </c>
      <c r="R290" s="2">
        <f>IFERROR(__xludf.DUMMYFUNCTION("""COMPUTED_VALUE"""),2025.0)</f>
        <v>2025</v>
      </c>
      <c r="S290" s="2" t="str">
        <f>IFERROR(__xludf.DUMMYFUNCTION("""COMPUTED_VALUE"""),"Digizag")</f>
        <v>Digizag</v>
      </c>
      <c r="T290" s="2" t="str">
        <f>IFERROR(__xludf.DUMMYFUNCTION("""COMPUTED_VALUE"""),"Digizag")</f>
        <v>Digizag</v>
      </c>
      <c r="U290" s="5">
        <f>IFERROR(__xludf.DUMMYFUNCTION("""COMPUTED_VALUE"""),43.294758402)</f>
        <v>43.2947584</v>
      </c>
      <c r="V290" s="2"/>
      <c r="W290" s="2"/>
      <c r="X290" s="2"/>
      <c r="Y290" s="2"/>
      <c r="Z290" s="2"/>
    </row>
    <row r="291">
      <c r="A291" s="6">
        <f>IFERROR(__xludf.DUMMYFUNCTION("""COMPUTED_VALUE"""),45760.25371527777)</f>
        <v>45760.25372</v>
      </c>
      <c r="B291" s="2" t="str">
        <f>IFERROR(__xludf.DUMMYFUNCTION("""COMPUTED_VALUE"""),"April")</f>
        <v>April</v>
      </c>
      <c r="C291" s="3">
        <f>IFERROR(__xludf.DUMMYFUNCTION("""COMPUTED_VALUE"""),719845.0)</f>
        <v>719845</v>
      </c>
      <c r="D291" s="2" t="str">
        <f>IFERROR(__xludf.DUMMYFUNCTION("""COMPUTED_VALUE"""),"MNN16")</f>
        <v>MNN16</v>
      </c>
      <c r="E291" s="2" t="str">
        <f>IFERROR(__xludf.DUMMYFUNCTION("""COMPUTED_VALUE"""),"Imported from file DigiZag Bidding Codes.xlsx")</f>
        <v>Imported from file DigiZag Bidding Codes.xlsx</v>
      </c>
      <c r="F291" s="2" t="str">
        <f>IFERROR(__xludf.DUMMYFUNCTION("""COMPUTED_VALUE"""),"DNB954519")</f>
        <v>DNB954519</v>
      </c>
      <c r="G291" s="2" t="str">
        <f>IFERROR(__xludf.DUMMYFUNCTION("""COMPUTED_VALUE"""),"Kingdom of Saudi Arabia")</f>
        <v>Kingdom of Saudi Arabia</v>
      </c>
      <c r="H291" s="4">
        <f>IFERROR(__xludf.DUMMYFUNCTION("""COMPUTED_VALUE"""),79.0)</f>
        <v>79</v>
      </c>
      <c r="I291" s="3">
        <f>IFERROR(__xludf.DUMMYFUNCTION("""COMPUTED_VALUE"""),0.0)</f>
        <v>0</v>
      </c>
      <c r="J291" s="4">
        <f>IFERROR(__xludf.DUMMYFUNCTION("""COMPUTED_VALUE"""),7.9)</f>
        <v>7.9</v>
      </c>
      <c r="K291" s="2"/>
      <c r="L291" s="2" t="str">
        <f>IFERROR(__xludf.DUMMYFUNCTION("""COMPUTED_VALUE"""),"Delivered")</f>
        <v>Delivered</v>
      </c>
      <c r="M291" s="2" t="str">
        <f>IFERROR(__xludf.DUMMYFUNCTION("""COMPUTED_VALUE"""),"SR")</f>
        <v>SR</v>
      </c>
      <c r="N291" s="2" t="str">
        <f>IFERROR(__xludf.DUMMYFUNCTION("""COMPUTED_VALUE"""),"Cash")</f>
        <v>Cash</v>
      </c>
      <c r="O291" s="4">
        <f>IFERROR(__xludf.DUMMYFUNCTION("""COMPUTED_VALUE"""),0.0)</f>
        <v>0</v>
      </c>
      <c r="P291" s="2">
        <f>IFERROR(__xludf.DUMMYFUNCTION("""COMPUTED_VALUE"""),13.0)</f>
        <v>13</v>
      </c>
      <c r="Q291" s="2">
        <f>IFERROR(__xludf.DUMMYFUNCTION("""COMPUTED_VALUE"""),4.0)</f>
        <v>4</v>
      </c>
      <c r="R291" s="2">
        <f>IFERROR(__xludf.DUMMYFUNCTION("""COMPUTED_VALUE"""),2025.0)</f>
        <v>2025</v>
      </c>
      <c r="S291" s="2" t="str">
        <f>IFERROR(__xludf.DUMMYFUNCTION("""COMPUTED_VALUE"""),"Digizag")</f>
        <v>Digizag</v>
      </c>
      <c r="T291" s="2" t="str">
        <f>IFERROR(__xludf.DUMMYFUNCTION("""COMPUTED_VALUE"""),"Digizag")</f>
        <v>Digizag</v>
      </c>
      <c r="U291" s="5">
        <f>IFERROR(__xludf.DUMMYFUNCTION("""COMPUTED_VALUE"""),21.065037634000003)</f>
        <v>21.06503763</v>
      </c>
      <c r="V291" s="2"/>
      <c r="W291" s="2"/>
      <c r="X291" s="2"/>
      <c r="Y291" s="2"/>
      <c r="Z291" s="2"/>
    </row>
    <row r="292">
      <c r="A292" s="6">
        <f>IFERROR(__xludf.DUMMYFUNCTION("""COMPUTED_VALUE"""),45760.404502314814)</f>
        <v>45760.4045</v>
      </c>
      <c r="B292" s="2" t="str">
        <f>IFERROR(__xludf.DUMMYFUNCTION("""COMPUTED_VALUE"""),"April")</f>
        <v>April</v>
      </c>
      <c r="C292" s="3">
        <f>IFERROR(__xludf.DUMMYFUNCTION("""COMPUTED_VALUE"""),527904.0)</f>
        <v>527904</v>
      </c>
      <c r="D292" s="2" t="str">
        <f>IFERROR(__xludf.DUMMYFUNCTION("""COMPUTED_VALUE"""),"MNN16")</f>
        <v>MNN16</v>
      </c>
      <c r="E292" s="2" t="str">
        <f>IFERROR(__xludf.DUMMYFUNCTION("""COMPUTED_VALUE"""),"Imported from file DigiZag Codes 25Feb25.xlsx")</f>
        <v>Imported from file DigiZag Codes 25Feb25.xlsx</v>
      </c>
      <c r="F292" s="2" t="str">
        <f>IFERROR(__xludf.DUMMYFUNCTION("""COMPUTED_VALUE"""),"QQJ441536")</f>
        <v>QQJ441536</v>
      </c>
      <c r="G292" s="2" t="str">
        <f>IFERROR(__xludf.DUMMYFUNCTION("""COMPUTED_VALUE"""),"UAE")</f>
        <v>UAE</v>
      </c>
      <c r="H292" s="4">
        <f>IFERROR(__xludf.DUMMYFUNCTION("""COMPUTED_VALUE"""),115.0)</f>
        <v>115</v>
      </c>
      <c r="I292" s="3">
        <f>IFERROR(__xludf.DUMMYFUNCTION("""COMPUTED_VALUE"""),0.0)</f>
        <v>0</v>
      </c>
      <c r="J292" s="4">
        <f>IFERROR(__xludf.DUMMYFUNCTION("""COMPUTED_VALUE"""),11.5)</f>
        <v>11.5</v>
      </c>
      <c r="K292" s="2"/>
      <c r="L292" s="2" t="str">
        <f>IFERROR(__xludf.DUMMYFUNCTION("""COMPUTED_VALUE"""),"Delivered")</f>
        <v>Delivered</v>
      </c>
      <c r="M292" s="2" t="str">
        <f>IFERROR(__xludf.DUMMYFUNCTION("""COMPUTED_VALUE"""),"AED")</f>
        <v>AED</v>
      </c>
      <c r="N292" s="2" t="str">
        <f>IFERROR(__xludf.DUMMYFUNCTION("""COMPUTED_VALUE"""),"Credit, Debit , Apple Pay")</f>
        <v>Credit, Debit , Apple Pay</v>
      </c>
      <c r="O292" s="4">
        <f>IFERROR(__xludf.DUMMYFUNCTION("""COMPUTED_VALUE"""),0.0)</f>
        <v>0</v>
      </c>
      <c r="P292" s="2">
        <f>IFERROR(__xludf.DUMMYFUNCTION("""COMPUTED_VALUE"""),13.0)</f>
        <v>13</v>
      </c>
      <c r="Q292" s="2">
        <f>IFERROR(__xludf.DUMMYFUNCTION("""COMPUTED_VALUE"""),4.0)</f>
        <v>4</v>
      </c>
      <c r="R292" s="2">
        <f>IFERROR(__xludf.DUMMYFUNCTION("""COMPUTED_VALUE"""),2025.0)</f>
        <v>2025</v>
      </c>
      <c r="S292" s="2" t="str">
        <f>IFERROR(__xludf.DUMMYFUNCTION("""COMPUTED_VALUE"""),"Digizag")</f>
        <v>Digizag</v>
      </c>
      <c r="T292" s="2" t="str">
        <f>IFERROR(__xludf.DUMMYFUNCTION("""COMPUTED_VALUE"""),"Digizag")</f>
        <v>Digizag</v>
      </c>
      <c r="U292" s="5">
        <f>IFERROR(__xludf.DUMMYFUNCTION("""COMPUTED_VALUE"""),31.31381897)</f>
        <v>31.31381897</v>
      </c>
      <c r="V292" s="2"/>
      <c r="W292" s="2"/>
      <c r="X292" s="2"/>
      <c r="Y292" s="2"/>
      <c r="Z292" s="2"/>
    </row>
    <row r="293">
      <c r="A293" s="6">
        <f>IFERROR(__xludf.DUMMYFUNCTION("""COMPUTED_VALUE"""),45760.527546296296)</f>
        <v>45760.52755</v>
      </c>
      <c r="B293" s="2" t="str">
        <f>IFERROR(__xludf.DUMMYFUNCTION("""COMPUTED_VALUE"""),"April")</f>
        <v>April</v>
      </c>
      <c r="C293" s="3">
        <f>IFERROR(__xludf.DUMMYFUNCTION("""COMPUTED_VALUE"""),31275.0)</f>
        <v>31275</v>
      </c>
      <c r="D293" s="2" t="str">
        <f>IFERROR(__xludf.DUMMYFUNCTION("""COMPUTED_VALUE"""),"MNN16")</f>
        <v>MNN16</v>
      </c>
      <c r="E293" s="2" t="str">
        <f>IFERROR(__xludf.DUMMYFUNCTION("""COMPUTED_VALUE"""),"Imported from file DigiZag Bidding Codes.xlsx")</f>
        <v>Imported from file DigiZag Bidding Codes.xlsx</v>
      </c>
      <c r="F293" s="2" t="str">
        <f>IFERROR(__xludf.DUMMYFUNCTION("""COMPUTED_VALUE"""),"LER336477")</f>
        <v>LER336477</v>
      </c>
      <c r="G293" s="2" t="str">
        <f>IFERROR(__xludf.DUMMYFUNCTION("""COMPUTED_VALUE"""),"Kingdom of Saudi Arabia")</f>
        <v>Kingdom of Saudi Arabia</v>
      </c>
      <c r="H293" s="4">
        <f>IFERROR(__xludf.DUMMYFUNCTION("""COMPUTED_VALUE"""),520.0)</f>
        <v>520</v>
      </c>
      <c r="I293" s="3">
        <f>IFERROR(__xludf.DUMMYFUNCTION("""COMPUTED_VALUE"""),0.0)</f>
        <v>0</v>
      </c>
      <c r="J293" s="4">
        <f>IFERROR(__xludf.DUMMYFUNCTION("""COMPUTED_VALUE"""),52.0)</f>
        <v>52</v>
      </c>
      <c r="K293" s="2"/>
      <c r="L293" s="2" t="str">
        <f>IFERROR(__xludf.DUMMYFUNCTION("""COMPUTED_VALUE"""),"Delivered")</f>
        <v>Delivered</v>
      </c>
      <c r="M293" s="2" t="str">
        <f>IFERROR(__xludf.DUMMYFUNCTION("""COMPUTED_VALUE"""),"SR")</f>
        <v>SR</v>
      </c>
      <c r="N293" s="2" t="str">
        <f>IFERROR(__xludf.DUMMYFUNCTION("""COMPUTED_VALUE"""),"Credit, Debit, Apple Pay")</f>
        <v>Credit, Debit, Apple Pay</v>
      </c>
      <c r="O293" s="4">
        <f>IFERROR(__xludf.DUMMYFUNCTION("""COMPUTED_VALUE"""),0.0)</f>
        <v>0</v>
      </c>
      <c r="P293" s="2">
        <f>IFERROR(__xludf.DUMMYFUNCTION("""COMPUTED_VALUE"""),13.0)</f>
        <v>13</v>
      </c>
      <c r="Q293" s="2">
        <f>IFERROR(__xludf.DUMMYFUNCTION("""COMPUTED_VALUE"""),4.0)</f>
        <v>4</v>
      </c>
      <c r="R293" s="2">
        <f>IFERROR(__xludf.DUMMYFUNCTION("""COMPUTED_VALUE"""),2025.0)</f>
        <v>2025</v>
      </c>
      <c r="S293" s="2" t="str">
        <f>IFERROR(__xludf.DUMMYFUNCTION("""COMPUTED_VALUE"""),"Digizag")</f>
        <v>Digizag</v>
      </c>
      <c r="T293" s="2" t="str">
        <f>IFERROR(__xludf.DUMMYFUNCTION("""COMPUTED_VALUE"""),"Digizag")</f>
        <v>Digizag</v>
      </c>
      <c r="U293" s="5">
        <f>IFERROR(__xludf.DUMMYFUNCTION("""COMPUTED_VALUE"""),138.65594392000003)</f>
        <v>138.6559439</v>
      </c>
      <c r="V293" s="2"/>
      <c r="W293" s="2"/>
      <c r="X293" s="2"/>
      <c r="Y293" s="2"/>
      <c r="Z293" s="2"/>
    </row>
    <row r="294">
      <c r="A294" s="6">
        <f>IFERROR(__xludf.DUMMYFUNCTION("""COMPUTED_VALUE"""),45761.448796296296)</f>
        <v>45761.4488</v>
      </c>
      <c r="B294" s="2" t="str">
        <f>IFERROR(__xludf.DUMMYFUNCTION("""COMPUTED_VALUE"""),"April")</f>
        <v>April</v>
      </c>
      <c r="C294" s="3">
        <f>IFERROR(__xludf.DUMMYFUNCTION("""COMPUTED_VALUE"""),182009.0)</f>
        <v>182009</v>
      </c>
      <c r="D294" s="2" t="str">
        <f>IFERROR(__xludf.DUMMYFUNCTION("""COMPUTED_VALUE"""),"DB1")</f>
        <v>DB1</v>
      </c>
      <c r="E294" s="2" t="str">
        <f>IFERROR(__xludf.DUMMYFUNCTION("""COMPUTED_VALUE"""),"Imported from file Digizag.xlsx")</f>
        <v>Imported from file Digizag.xlsx</v>
      </c>
      <c r="F294" s="2" t="str">
        <f>IFERROR(__xludf.DUMMYFUNCTION("""COMPUTED_VALUE"""),"NMX999536")</f>
        <v>NMX999536</v>
      </c>
      <c r="G294" s="2" t="str">
        <f>IFERROR(__xludf.DUMMYFUNCTION("""COMPUTED_VALUE"""),"Kuwait")</f>
        <v>Kuwait</v>
      </c>
      <c r="H294" s="4">
        <f>IFERROR(__xludf.DUMMYFUNCTION("""COMPUTED_VALUE"""),6.9)</f>
        <v>6.9</v>
      </c>
      <c r="I294" s="3">
        <f>IFERROR(__xludf.DUMMYFUNCTION("""COMPUTED_VALUE"""),0.0)</f>
        <v>0</v>
      </c>
      <c r="J294" s="4">
        <f>IFERROR(__xludf.DUMMYFUNCTION("""COMPUTED_VALUE"""),0.69)</f>
        <v>0.69</v>
      </c>
      <c r="K294" s="2"/>
      <c r="L294" s="2" t="str">
        <f>IFERROR(__xludf.DUMMYFUNCTION("""COMPUTED_VALUE"""),"Delivered")</f>
        <v>Delivered</v>
      </c>
      <c r="M294" s="2" t="str">
        <f>IFERROR(__xludf.DUMMYFUNCTION("""COMPUTED_VALUE"""),"KD")</f>
        <v>KD</v>
      </c>
      <c r="N294" s="2" t="str">
        <f>IFERROR(__xludf.DUMMYFUNCTION("""COMPUTED_VALUE"""),"Credit, Debit, Knet")</f>
        <v>Credit, Debit, Knet</v>
      </c>
      <c r="O294" s="4">
        <f>IFERROR(__xludf.DUMMYFUNCTION("""COMPUTED_VALUE"""),0.0)</f>
        <v>0</v>
      </c>
      <c r="P294" s="2">
        <f>IFERROR(__xludf.DUMMYFUNCTION("""COMPUTED_VALUE"""),14.0)</f>
        <v>14</v>
      </c>
      <c r="Q294" s="2">
        <f>IFERROR(__xludf.DUMMYFUNCTION("""COMPUTED_VALUE"""),4.0)</f>
        <v>4</v>
      </c>
      <c r="R294" s="2">
        <f>IFERROR(__xludf.DUMMYFUNCTION("""COMPUTED_VALUE"""),2025.0)</f>
        <v>2025</v>
      </c>
      <c r="S294" s="2" t="str">
        <f>IFERROR(__xludf.DUMMYFUNCTION("""COMPUTED_VALUE"""),"Digizag")</f>
        <v>Digizag</v>
      </c>
      <c r="T294" s="2" t="str">
        <f>IFERROR(__xludf.DUMMYFUNCTION("""COMPUTED_VALUE"""),"Digizag")</f>
        <v>Digizag</v>
      </c>
      <c r="U294" s="5">
        <f>IFERROR(__xludf.DUMMYFUNCTION("""COMPUTED_VALUE"""),22.498278)</f>
        <v>22.498278</v>
      </c>
      <c r="V294" s="2"/>
      <c r="W294" s="2"/>
      <c r="X294" s="2"/>
      <c r="Y294" s="2"/>
      <c r="Z294" s="2"/>
    </row>
    <row r="295">
      <c r="A295" s="6">
        <f>IFERROR(__xludf.DUMMYFUNCTION("""COMPUTED_VALUE"""),45761.57325231481)</f>
        <v>45761.57325</v>
      </c>
      <c r="B295" s="2" t="str">
        <f>IFERROR(__xludf.DUMMYFUNCTION("""COMPUTED_VALUE"""),"April")</f>
        <v>April</v>
      </c>
      <c r="C295" s="3">
        <f>IFERROR(__xludf.DUMMYFUNCTION("""COMPUTED_VALUE"""),715647.0)</f>
        <v>715647</v>
      </c>
      <c r="D295" s="2" t="str">
        <f>IFERROR(__xludf.DUMMYFUNCTION("""COMPUTED_VALUE"""),"MNN16")</f>
        <v>MNN16</v>
      </c>
      <c r="E295" s="2" t="str">
        <f>IFERROR(__xludf.DUMMYFUNCTION("""COMPUTED_VALUE"""),"Imported from file DigiZag Codes 25Feb25.xlsx")</f>
        <v>Imported from file DigiZag Codes 25Feb25.xlsx</v>
      </c>
      <c r="F295" s="2" t="str">
        <f>IFERROR(__xludf.DUMMYFUNCTION("""COMPUTED_VALUE"""),"JUX776662")</f>
        <v>JUX776662</v>
      </c>
      <c r="G295" s="2" t="str">
        <f>IFERROR(__xludf.DUMMYFUNCTION("""COMPUTED_VALUE"""),"UAE")</f>
        <v>UAE</v>
      </c>
      <c r="H295" s="4">
        <f>IFERROR(__xludf.DUMMYFUNCTION("""COMPUTED_VALUE"""),159.9)</f>
        <v>159.9</v>
      </c>
      <c r="I295" s="3">
        <f>IFERROR(__xludf.DUMMYFUNCTION("""COMPUTED_VALUE"""),0.0)</f>
        <v>0</v>
      </c>
      <c r="J295" s="4">
        <f>IFERROR(__xludf.DUMMYFUNCTION("""COMPUTED_VALUE"""),15.99)</f>
        <v>15.99</v>
      </c>
      <c r="K295" s="2"/>
      <c r="L295" s="2" t="str">
        <f>IFERROR(__xludf.DUMMYFUNCTION("""COMPUTED_VALUE"""),"Processing")</f>
        <v>Processing</v>
      </c>
      <c r="M295" s="2" t="str">
        <f>IFERROR(__xludf.DUMMYFUNCTION("""COMPUTED_VALUE"""),"AED")</f>
        <v>AED</v>
      </c>
      <c r="N295" s="2" t="str">
        <f>IFERROR(__xludf.DUMMYFUNCTION("""COMPUTED_VALUE"""),"Credit, Debit , Apple Pay")</f>
        <v>Credit, Debit , Apple Pay</v>
      </c>
      <c r="O295" s="4">
        <f>IFERROR(__xludf.DUMMYFUNCTION("""COMPUTED_VALUE"""),0.0)</f>
        <v>0</v>
      </c>
      <c r="P295" s="2">
        <f>IFERROR(__xludf.DUMMYFUNCTION("""COMPUTED_VALUE"""),14.0)</f>
        <v>14</v>
      </c>
      <c r="Q295" s="2">
        <f>IFERROR(__xludf.DUMMYFUNCTION("""COMPUTED_VALUE"""),4.0)</f>
        <v>4</v>
      </c>
      <c r="R295" s="2">
        <f>IFERROR(__xludf.DUMMYFUNCTION("""COMPUTED_VALUE"""),2025.0)</f>
        <v>2025</v>
      </c>
      <c r="S295" s="2" t="str">
        <f>IFERROR(__xludf.DUMMYFUNCTION("""COMPUTED_VALUE"""),"Digizag")</f>
        <v>Digizag</v>
      </c>
      <c r="T295" s="2" t="str">
        <f>IFERROR(__xludf.DUMMYFUNCTION("""COMPUTED_VALUE"""),"Digizag")</f>
        <v>Digizag</v>
      </c>
      <c r="U295" s="5">
        <f>IFERROR(__xludf.DUMMYFUNCTION("""COMPUTED_VALUE"""),43.5398230722)</f>
        <v>43.53982307</v>
      </c>
      <c r="V295" s="2"/>
      <c r="W295" s="2"/>
      <c r="X295" s="2"/>
      <c r="Y295" s="2"/>
      <c r="Z295" s="2"/>
    </row>
    <row r="296">
      <c r="A296" s="6">
        <f>IFERROR(__xludf.DUMMYFUNCTION("""COMPUTED_VALUE"""),45761.67291666666)</f>
        <v>45761.67292</v>
      </c>
      <c r="B296" s="2" t="str">
        <f>IFERROR(__xludf.DUMMYFUNCTION("""COMPUTED_VALUE"""),"April")</f>
        <v>April</v>
      </c>
      <c r="C296" s="3">
        <f>IFERROR(__xludf.DUMMYFUNCTION("""COMPUTED_VALUE"""),400799.0)</f>
        <v>400799</v>
      </c>
      <c r="D296" s="2" t="str">
        <f>IFERROR(__xludf.DUMMYFUNCTION("""COMPUTED_VALUE"""),"DB1")</f>
        <v>DB1</v>
      </c>
      <c r="E296" s="2" t="str">
        <f>IFERROR(__xludf.DUMMYFUNCTION("""COMPUTED_VALUE"""),"Imported from file Digizag.xlsx")</f>
        <v>Imported from file Digizag.xlsx</v>
      </c>
      <c r="F296" s="2" t="str">
        <f>IFERROR(__xludf.DUMMYFUNCTION("""COMPUTED_VALUE"""),"BED398129")</f>
        <v>BED398129</v>
      </c>
      <c r="G296" s="2" t="str">
        <f>IFERROR(__xludf.DUMMYFUNCTION("""COMPUTED_VALUE"""),"UAE")</f>
        <v>UAE</v>
      </c>
      <c r="H296" s="4">
        <f>IFERROR(__xludf.DUMMYFUNCTION("""COMPUTED_VALUE"""),240.0)</f>
        <v>240</v>
      </c>
      <c r="I296" s="3">
        <f>IFERROR(__xludf.DUMMYFUNCTION("""COMPUTED_VALUE"""),0.0)</f>
        <v>0</v>
      </c>
      <c r="J296" s="4">
        <f>IFERROR(__xludf.DUMMYFUNCTION("""COMPUTED_VALUE"""),24.0)</f>
        <v>24</v>
      </c>
      <c r="K296" s="2"/>
      <c r="L296" s="2" t="str">
        <f>IFERROR(__xludf.DUMMYFUNCTION("""COMPUTED_VALUE"""),"Processing")</f>
        <v>Processing</v>
      </c>
      <c r="M296" s="2" t="str">
        <f>IFERROR(__xludf.DUMMYFUNCTION("""COMPUTED_VALUE"""),"AED")</f>
        <v>AED</v>
      </c>
      <c r="N296" s="2" t="str">
        <f>IFERROR(__xludf.DUMMYFUNCTION("""COMPUTED_VALUE"""),"Credit, Debit , Apple Pay")</f>
        <v>Credit, Debit , Apple Pay</v>
      </c>
      <c r="O296" s="4">
        <f>IFERROR(__xludf.DUMMYFUNCTION("""COMPUTED_VALUE"""),0.0)</f>
        <v>0</v>
      </c>
      <c r="P296" s="2">
        <f>IFERROR(__xludf.DUMMYFUNCTION("""COMPUTED_VALUE"""),14.0)</f>
        <v>14</v>
      </c>
      <c r="Q296" s="2">
        <f>IFERROR(__xludf.DUMMYFUNCTION("""COMPUTED_VALUE"""),4.0)</f>
        <v>4</v>
      </c>
      <c r="R296" s="2">
        <f>IFERROR(__xludf.DUMMYFUNCTION("""COMPUTED_VALUE"""),2025.0)</f>
        <v>2025</v>
      </c>
      <c r="S296" s="2" t="str">
        <f>IFERROR(__xludf.DUMMYFUNCTION("""COMPUTED_VALUE"""),"Digizag")</f>
        <v>Digizag</v>
      </c>
      <c r="T296" s="2" t="str">
        <f>IFERROR(__xludf.DUMMYFUNCTION("""COMPUTED_VALUE"""),"Digizag")</f>
        <v>Digizag</v>
      </c>
      <c r="U296" s="5">
        <f>IFERROR(__xludf.DUMMYFUNCTION("""COMPUTED_VALUE"""),65.35057872)</f>
        <v>65.35057872</v>
      </c>
      <c r="V296" s="2"/>
      <c r="W296" s="2"/>
      <c r="X296" s="2"/>
      <c r="Y296" s="2"/>
      <c r="Z296" s="2"/>
    </row>
    <row r="297">
      <c r="A297" s="6">
        <f>IFERROR(__xludf.DUMMYFUNCTION("""COMPUTED_VALUE"""),45761.79482638889)</f>
        <v>45761.79483</v>
      </c>
      <c r="B297" s="2" t="str">
        <f>IFERROR(__xludf.DUMMYFUNCTION("""COMPUTED_VALUE"""),"April")</f>
        <v>April</v>
      </c>
      <c r="C297" s="3">
        <f>IFERROR(__xludf.DUMMYFUNCTION("""COMPUTED_VALUE"""),605292.0)</f>
        <v>605292</v>
      </c>
      <c r="D297" s="2" t="str">
        <f>IFERROR(__xludf.DUMMYFUNCTION("""COMPUTED_VALUE"""),"MNN16")</f>
        <v>MNN16</v>
      </c>
      <c r="E297" s="2" t="str">
        <f>IFERROR(__xludf.DUMMYFUNCTION("""COMPUTED_VALUE"""),"Imported from file DigiZag Bidding Codes.xlsx")</f>
        <v>Imported from file DigiZag Bidding Codes.xlsx</v>
      </c>
      <c r="F297" s="2" t="str">
        <f>IFERROR(__xludf.DUMMYFUNCTION("""COMPUTED_VALUE"""),"YDD268182")</f>
        <v>YDD268182</v>
      </c>
      <c r="G297" s="2" t="str">
        <f>IFERROR(__xludf.DUMMYFUNCTION("""COMPUTED_VALUE"""),"Kingdom of Saudi Arabia")</f>
        <v>Kingdom of Saudi Arabia</v>
      </c>
      <c r="H297" s="4">
        <f>IFERROR(__xludf.DUMMYFUNCTION("""COMPUTED_VALUE"""),411.0)</f>
        <v>411</v>
      </c>
      <c r="I297" s="3">
        <f>IFERROR(__xludf.DUMMYFUNCTION("""COMPUTED_VALUE"""),0.0)</f>
        <v>0</v>
      </c>
      <c r="J297" s="4">
        <f>IFERROR(__xludf.DUMMYFUNCTION("""COMPUTED_VALUE"""),41.1)</f>
        <v>41.1</v>
      </c>
      <c r="K297" s="2"/>
      <c r="L297" s="2" t="str">
        <f>IFERROR(__xludf.DUMMYFUNCTION("""COMPUTED_VALUE"""),"Processing")</f>
        <v>Processing</v>
      </c>
      <c r="M297" s="2" t="str">
        <f>IFERROR(__xludf.DUMMYFUNCTION("""COMPUTED_VALUE"""),"SR")</f>
        <v>SR</v>
      </c>
      <c r="N297" s="2" t="str">
        <f>IFERROR(__xludf.DUMMYFUNCTION("""COMPUTED_VALUE"""),"Credit, Debit, Apple Pay")</f>
        <v>Credit, Debit, Apple Pay</v>
      </c>
      <c r="O297" s="4">
        <f>IFERROR(__xludf.DUMMYFUNCTION("""COMPUTED_VALUE"""),0.0)</f>
        <v>0</v>
      </c>
      <c r="P297" s="2">
        <f>IFERROR(__xludf.DUMMYFUNCTION("""COMPUTED_VALUE"""),14.0)</f>
        <v>14</v>
      </c>
      <c r="Q297" s="2">
        <f>IFERROR(__xludf.DUMMYFUNCTION("""COMPUTED_VALUE"""),4.0)</f>
        <v>4</v>
      </c>
      <c r="R297" s="2">
        <f>IFERROR(__xludf.DUMMYFUNCTION("""COMPUTED_VALUE"""),2025.0)</f>
        <v>2025</v>
      </c>
      <c r="S297" s="2" t="str">
        <f>IFERROR(__xludf.DUMMYFUNCTION("""COMPUTED_VALUE"""),"Digizag")</f>
        <v>Digizag</v>
      </c>
      <c r="T297" s="2" t="str">
        <f>IFERROR(__xludf.DUMMYFUNCTION("""COMPUTED_VALUE"""),"Digizag")</f>
        <v>Digizag</v>
      </c>
      <c r="U297" s="5">
        <f>IFERROR(__xludf.DUMMYFUNCTION("""COMPUTED_VALUE"""),109.591524906)</f>
        <v>109.5915249</v>
      </c>
      <c r="V297" s="2"/>
      <c r="W297" s="2"/>
      <c r="X297" s="2"/>
      <c r="Y297" s="2"/>
      <c r="Z297" s="2"/>
    </row>
    <row r="298">
      <c r="A298" s="6">
        <f>IFERROR(__xludf.DUMMYFUNCTION("""COMPUTED_VALUE"""),45761.962175925924)</f>
        <v>45761.96218</v>
      </c>
      <c r="B298" s="2" t="str">
        <f>IFERROR(__xludf.DUMMYFUNCTION("""COMPUTED_VALUE"""),"April")</f>
        <v>April</v>
      </c>
      <c r="C298" s="3">
        <f>IFERROR(__xludf.DUMMYFUNCTION("""COMPUTED_VALUE"""),600561.0)</f>
        <v>600561</v>
      </c>
      <c r="D298" s="2" t="str">
        <f>IFERROR(__xludf.DUMMYFUNCTION("""COMPUTED_VALUE"""),"MNN16")</f>
        <v>MNN16</v>
      </c>
      <c r="E298" s="2" t="str">
        <f>IFERROR(__xludf.DUMMYFUNCTION("""COMPUTED_VALUE"""),"Imported from file DigiZag Bidding Codes.xlsx")</f>
        <v>Imported from file DigiZag Bidding Codes.xlsx</v>
      </c>
      <c r="F298" s="2" t="str">
        <f>IFERROR(__xludf.DUMMYFUNCTION("""COMPUTED_VALUE"""),"AAJ341681")</f>
        <v>AAJ341681</v>
      </c>
      <c r="G298" s="2" t="str">
        <f>IFERROR(__xludf.DUMMYFUNCTION("""COMPUTED_VALUE"""),"Kingdom of Saudi Arabia")</f>
        <v>Kingdom of Saudi Arabia</v>
      </c>
      <c r="H298" s="4">
        <f>IFERROR(__xludf.DUMMYFUNCTION("""COMPUTED_VALUE"""),77.0)</f>
        <v>77</v>
      </c>
      <c r="I298" s="3">
        <f>IFERROR(__xludf.DUMMYFUNCTION("""COMPUTED_VALUE"""),0.0)</f>
        <v>0</v>
      </c>
      <c r="J298" s="4">
        <f>IFERROR(__xludf.DUMMYFUNCTION("""COMPUTED_VALUE"""),7.7)</f>
        <v>7.7</v>
      </c>
      <c r="K298" s="2"/>
      <c r="L298" s="2" t="str">
        <f>IFERROR(__xludf.DUMMYFUNCTION("""COMPUTED_VALUE"""),"Processing")</f>
        <v>Processing</v>
      </c>
      <c r="M298" s="2" t="str">
        <f>IFERROR(__xludf.DUMMYFUNCTION("""COMPUTED_VALUE"""),"SR")</f>
        <v>SR</v>
      </c>
      <c r="N298" s="2" t="str">
        <f>IFERROR(__xludf.DUMMYFUNCTION("""COMPUTED_VALUE"""),"Credit, Debit, Apple Pay")</f>
        <v>Credit, Debit, Apple Pay</v>
      </c>
      <c r="O298" s="4">
        <f>IFERROR(__xludf.DUMMYFUNCTION("""COMPUTED_VALUE"""),0.0)</f>
        <v>0</v>
      </c>
      <c r="P298" s="2">
        <f>IFERROR(__xludf.DUMMYFUNCTION("""COMPUTED_VALUE"""),14.0)</f>
        <v>14</v>
      </c>
      <c r="Q298" s="2">
        <f>IFERROR(__xludf.DUMMYFUNCTION("""COMPUTED_VALUE"""),4.0)</f>
        <v>4</v>
      </c>
      <c r="R298" s="2">
        <f>IFERROR(__xludf.DUMMYFUNCTION("""COMPUTED_VALUE"""),2025.0)</f>
        <v>2025</v>
      </c>
      <c r="S298" s="2" t="str">
        <f>IFERROR(__xludf.DUMMYFUNCTION("""COMPUTED_VALUE"""),"Digizag")</f>
        <v>Digizag</v>
      </c>
      <c r="T298" s="2" t="str">
        <f>IFERROR(__xludf.DUMMYFUNCTION("""COMPUTED_VALUE"""),"Digizag")</f>
        <v>Digizag</v>
      </c>
      <c r="U298" s="5">
        <f>IFERROR(__xludf.DUMMYFUNCTION("""COMPUTED_VALUE"""),20.531745542000003)</f>
        <v>20.53174554</v>
      </c>
      <c r="V298" s="2"/>
      <c r="W298" s="2"/>
      <c r="X298" s="2"/>
      <c r="Y298" s="2"/>
      <c r="Z298" s="2"/>
    </row>
    <row r="299">
      <c r="A299" s="6">
        <f>IFERROR(__xludf.DUMMYFUNCTION("""COMPUTED_VALUE"""),45762.649097222224)</f>
        <v>45762.6491</v>
      </c>
      <c r="B299" s="2" t="str">
        <f>IFERROR(__xludf.DUMMYFUNCTION("""COMPUTED_VALUE"""),"April")</f>
        <v>April</v>
      </c>
      <c r="C299" s="3">
        <f>IFERROR(__xludf.DUMMYFUNCTION("""COMPUTED_VALUE"""),643409.0)</f>
        <v>643409</v>
      </c>
      <c r="D299" s="2" t="str">
        <f>IFERROR(__xludf.DUMMYFUNCTION("""COMPUTED_VALUE"""),"DB3")</f>
        <v>DB3</v>
      </c>
      <c r="E299" s="2" t="str">
        <f>IFERROR(__xludf.DUMMYFUNCTION("""COMPUTED_VALUE"""),"Imported from file Digizag.xlsx")</f>
        <v>Imported from file Digizag.xlsx</v>
      </c>
      <c r="F299" s="2" t="str">
        <f>IFERROR(__xludf.DUMMYFUNCTION("""COMPUTED_VALUE"""),"SWM829040")</f>
        <v>SWM829040</v>
      </c>
      <c r="G299" s="2" t="str">
        <f>IFERROR(__xludf.DUMMYFUNCTION("""COMPUTED_VALUE"""),"Kingdom of Saudi Arabia")</f>
        <v>Kingdom of Saudi Arabia</v>
      </c>
      <c r="H299" s="4">
        <f>IFERROR(__xludf.DUMMYFUNCTION("""COMPUTED_VALUE"""),331.38)</f>
        <v>331.38</v>
      </c>
      <c r="I299" s="3">
        <f>IFERROR(__xludf.DUMMYFUNCTION("""COMPUTED_VALUE"""),0.0)</f>
        <v>0</v>
      </c>
      <c r="J299" s="4">
        <f>IFERROR(__xludf.DUMMYFUNCTION("""COMPUTED_VALUE"""),33.13)</f>
        <v>33.13</v>
      </c>
      <c r="K299" s="2"/>
      <c r="L299" s="2" t="str">
        <f>IFERROR(__xludf.DUMMYFUNCTION("""COMPUTED_VALUE"""),"Processing")</f>
        <v>Processing</v>
      </c>
      <c r="M299" s="2" t="str">
        <f>IFERROR(__xludf.DUMMYFUNCTION("""COMPUTED_VALUE"""),"SAR")</f>
        <v>SAR</v>
      </c>
      <c r="N299" s="2" t="str">
        <f>IFERROR(__xludf.DUMMYFUNCTION("""COMPUTED_VALUE"""),"Credit, Debit, Apple Pay")</f>
        <v>Credit, Debit, Apple Pay</v>
      </c>
      <c r="O299" s="4">
        <f>IFERROR(__xludf.DUMMYFUNCTION("""COMPUTED_VALUE"""),0.0)</f>
        <v>0</v>
      </c>
      <c r="P299" s="2">
        <f>IFERROR(__xludf.DUMMYFUNCTION("""COMPUTED_VALUE"""),15.0)</f>
        <v>15</v>
      </c>
      <c r="Q299" s="2">
        <f>IFERROR(__xludf.DUMMYFUNCTION("""COMPUTED_VALUE"""),4.0)</f>
        <v>4</v>
      </c>
      <c r="R299" s="2">
        <f>IFERROR(__xludf.DUMMYFUNCTION("""COMPUTED_VALUE"""),2025.0)</f>
        <v>2025</v>
      </c>
      <c r="S299" s="2" t="str">
        <f>IFERROR(__xludf.DUMMYFUNCTION("""COMPUTED_VALUE"""),"Digizag")</f>
        <v>Digizag</v>
      </c>
      <c r="T299" s="2" t="str">
        <f>IFERROR(__xludf.DUMMYFUNCTION("""COMPUTED_VALUE"""),"Digizag")</f>
        <v>Digizag</v>
      </c>
      <c r="U299" s="5">
        <f>IFERROR(__xludf.DUMMYFUNCTION("""COMPUTED_VALUE"""),88.36116672348001)</f>
        <v>88.36116672</v>
      </c>
      <c r="V299" s="2"/>
      <c r="W299" s="2"/>
      <c r="X299" s="2"/>
      <c r="Y299" s="2"/>
      <c r="Z299" s="2"/>
    </row>
    <row r="300">
      <c r="A300" s="6">
        <f>IFERROR(__xludf.DUMMYFUNCTION("""COMPUTED_VALUE"""),45762.77422453703)</f>
        <v>45762.77422</v>
      </c>
      <c r="B300" s="2" t="str">
        <f>IFERROR(__xludf.DUMMYFUNCTION("""COMPUTED_VALUE"""),"April")</f>
        <v>April</v>
      </c>
      <c r="C300" s="3">
        <f>IFERROR(__xludf.DUMMYFUNCTION("""COMPUTED_VALUE"""),720874.0)</f>
        <v>720874</v>
      </c>
      <c r="D300" s="2" t="str">
        <f>IFERROR(__xludf.DUMMYFUNCTION("""COMPUTED_VALUE"""),"MNN16")</f>
        <v>MNN16</v>
      </c>
      <c r="E300" s="2" t="str">
        <f>IFERROR(__xludf.DUMMYFUNCTION("""COMPUTED_VALUE"""),"Imported from file DigiZag Bidding Codes.xlsx")</f>
        <v>Imported from file DigiZag Bidding Codes.xlsx</v>
      </c>
      <c r="F300" s="2" t="str">
        <f>IFERROR(__xludf.DUMMYFUNCTION("""COMPUTED_VALUE"""),"DPV229711")</f>
        <v>DPV229711</v>
      </c>
      <c r="G300" s="2" t="str">
        <f>IFERROR(__xludf.DUMMYFUNCTION("""COMPUTED_VALUE"""),"Kingdom of Saudi Arabia")</f>
        <v>Kingdom of Saudi Arabia</v>
      </c>
      <c r="H300" s="4">
        <f>IFERROR(__xludf.DUMMYFUNCTION("""COMPUTED_VALUE"""),206.2)</f>
        <v>206.2</v>
      </c>
      <c r="I300" s="3">
        <f>IFERROR(__xludf.DUMMYFUNCTION("""COMPUTED_VALUE"""),0.0)</f>
        <v>0</v>
      </c>
      <c r="J300" s="4">
        <f>IFERROR(__xludf.DUMMYFUNCTION("""COMPUTED_VALUE"""),20.62)</f>
        <v>20.62</v>
      </c>
      <c r="K300" s="2"/>
      <c r="L300" s="2" t="str">
        <f>IFERROR(__xludf.DUMMYFUNCTION("""COMPUTED_VALUE"""),"Processing")</f>
        <v>Processing</v>
      </c>
      <c r="M300" s="2" t="str">
        <f>IFERROR(__xludf.DUMMYFUNCTION("""COMPUTED_VALUE"""),"SAR")</f>
        <v>SAR</v>
      </c>
      <c r="N300" s="2" t="str">
        <f>IFERROR(__xludf.DUMMYFUNCTION("""COMPUTED_VALUE"""),"Credit, Debit, Apple Pay")</f>
        <v>Credit, Debit, Apple Pay</v>
      </c>
      <c r="O300" s="4">
        <f>IFERROR(__xludf.DUMMYFUNCTION("""COMPUTED_VALUE"""),0.0)</f>
        <v>0</v>
      </c>
      <c r="P300" s="2">
        <f>IFERROR(__xludf.DUMMYFUNCTION("""COMPUTED_VALUE"""),15.0)</f>
        <v>15</v>
      </c>
      <c r="Q300" s="2">
        <f>IFERROR(__xludf.DUMMYFUNCTION("""COMPUTED_VALUE"""),4.0)</f>
        <v>4</v>
      </c>
      <c r="R300" s="2">
        <f>IFERROR(__xludf.DUMMYFUNCTION("""COMPUTED_VALUE"""),2025.0)</f>
        <v>2025</v>
      </c>
      <c r="S300" s="2" t="str">
        <f>IFERROR(__xludf.DUMMYFUNCTION("""COMPUTED_VALUE"""),"Digizag")</f>
        <v>Digizag</v>
      </c>
      <c r="T300" s="2" t="str">
        <f>IFERROR(__xludf.DUMMYFUNCTION("""COMPUTED_VALUE"""),"Digizag")</f>
        <v>Digizag</v>
      </c>
      <c r="U300" s="5">
        <f>IFERROR(__xludf.DUMMYFUNCTION("""COMPUTED_VALUE"""),54.982414685200006)</f>
        <v>54.98241469</v>
      </c>
      <c r="V300" s="2"/>
      <c r="W300" s="2"/>
      <c r="X300" s="2"/>
      <c r="Y300" s="2"/>
      <c r="Z300" s="2"/>
    </row>
    <row r="301">
      <c r="A301" s="6">
        <f>IFERROR(__xludf.DUMMYFUNCTION("""COMPUTED_VALUE"""),45762.77912037037)</f>
        <v>45762.77912</v>
      </c>
      <c r="B301" s="2" t="str">
        <f>IFERROR(__xludf.DUMMYFUNCTION("""COMPUTED_VALUE"""),"April")</f>
        <v>April</v>
      </c>
      <c r="C301" s="3">
        <f>IFERROR(__xludf.DUMMYFUNCTION("""COMPUTED_VALUE"""),603081.0)</f>
        <v>603081</v>
      </c>
      <c r="D301" s="2" t="str">
        <f>IFERROR(__xludf.DUMMYFUNCTION("""COMPUTED_VALUE"""),"MNN16")</f>
        <v>MNN16</v>
      </c>
      <c r="E301" s="2" t="str">
        <f>IFERROR(__xludf.DUMMYFUNCTION("""COMPUTED_VALUE"""),"Imported from file DigiZag Codes 25Feb25.xlsx")</f>
        <v>Imported from file DigiZag Codes 25Feb25.xlsx</v>
      </c>
      <c r="F301" s="2" t="str">
        <f>IFERROR(__xludf.DUMMYFUNCTION("""COMPUTED_VALUE"""),"GZN298123")</f>
        <v>GZN298123</v>
      </c>
      <c r="G301" s="2" t="str">
        <f>IFERROR(__xludf.DUMMYFUNCTION("""COMPUTED_VALUE"""),"Kuwait")</f>
        <v>Kuwait</v>
      </c>
      <c r="H301" s="4">
        <f>IFERROR(__xludf.DUMMYFUNCTION("""COMPUTED_VALUE"""),24.9)</f>
        <v>24.9</v>
      </c>
      <c r="I301" s="3">
        <f>IFERROR(__xludf.DUMMYFUNCTION("""COMPUTED_VALUE"""),0.0)</f>
        <v>0</v>
      </c>
      <c r="J301" s="4">
        <f>IFERROR(__xludf.DUMMYFUNCTION("""COMPUTED_VALUE"""),2.49)</f>
        <v>2.49</v>
      </c>
      <c r="K301" s="2"/>
      <c r="L301" s="2" t="str">
        <f>IFERROR(__xludf.DUMMYFUNCTION("""COMPUTED_VALUE"""),"Processing")</f>
        <v>Processing</v>
      </c>
      <c r="M301" s="2" t="str">
        <f>IFERROR(__xludf.DUMMYFUNCTION("""COMPUTED_VALUE"""),"KD")</f>
        <v>KD</v>
      </c>
      <c r="N301" s="2" t="str">
        <f>IFERROR(__xludf.DUMMYFUNCTION("""COMPUTED_VALUE"""),"Credit, Debit, Knet")</f>
        <v>Credit, Debit, Knet</v>
      </c>
      <c r="O301" s="4">
        <f>IFERROR(__xludf.DUMMYFUNCTION("""COMPUTED_VALUE"""),0.0)</f>
        <v>0</v>
      </c>
      <c r="P301" s="2">
        <f>IFERROR(__xludf.DUMMYFUNCTION("""COMPUTED_VALUE"""),15.0)</f>
        <v>15</v>
      </c>
      <c r="Q301" s="2">
        <f>IFERROR(__xludf.DUMMYFUNCTION("""COMPUTED_VALUE"""),4.0)</f>
        <v>4</v>
      </c>
      <c r="R301" s="2">
        <f>IFERROR(__xludf.DUMMYFUNCTION("""COMPUTED_VALUE"""),2025.0)</f>
        <v>2025</v>
      </c>
      <c r="S301" s="2" t="str">
        <f>IFERROR(__xludf.DUMMYFUNCTION("""COMPUTED_VALUE"""),"Digizag")</f>
        <v>Digizag</v>
      </c>
      <c r="T301" s="2" t="str">
        <f>IFERROR(__xludf.DUMMYFUNCTION("""COMPUTED_VALUE"""),"Digizag")</f>
        <v>Digizag</v>
      </c>
      <c r="U301" s="5">
        <f>IFERROR(__xludf.DUMMYFUNCTION("""COMPUTED_VALUE"""),81.189438)</f>
        <v>81.189438</v>
      </c>
      <c r="V301" s="2"/>
      <c r="W301" s="2"/>
      <c r="X301" s="2"/>
      <c r="Y301" s="2"/>
      <c r="Z301" s="2"/>
    </row>
    <row r="302">
      <c r="A302" s="6">
        <f>IFERROR(__xludf.DUMMYFUNCTION("""COMPUTED_VALUE"""),45763.44447916667)</f>
        <v>45763.44448</v>
      </c>
      <c r="B302" s="2" t="str">
        <f>IFERROR(__xludf.DUMMYFUNCTION("""COMPUTED_VALUE"""),"April")</f>
        <v>April</v>
      </c>
      <c r="C302" s="3">
        <f>IFERROR(__xludf.DUMMYFUNCTION("""COMPUTED_VALUE"""),69672.0)</f>
        <v>69672</v>
      </c>
      <c r="D302" s="2" t="str">
        <f>IFERROR(__xludf.DUMMYFUNCTION("""COMPUTED_VALUE"""),"DB3")</f>
        <v>DB3</v>
      </c>
      <c r="E302" s="2" t="str">
        <f>IFERROR(__xludf.DUMMYFUNCTION("""COMPUTED_VALUE"""),"Imported from file Digizag.xlsx")</f>
        <v>Imported from file Digizag.xlsx</v>
      </c>
      <c r="F302" s="2" t="str">
        <f>IFERROR(__xludf.DUMMYFUNCTION("""COMPUTED_VALUE"""),"HAX122179")</f>
        <v>HAX122179</v>
      </c>
      <c r="G302" s="2" t="str">
        <f>IFERROR(__xludf.DUMMYFUNCTION("""COMPUTED_VALUE"""),"Kuwait")</f>
        <v>Kuwait</v>
      </c>
      <c r="H302" s="4">
        <f>IFERROR(__xludf.DUMMYFUNCTION("""COMPUTED_VALUE"""),20.104)</f>
        <v>20.104</v>
      </c>
      <c r="I302" s="3">
        <f>IFERROR(__xludf.DUMMYFUNCTION("""COMPUTED_VALUE"""),0.0)</f>
        <v>0</v>
      </c>
      <c r="J302" s="4">
        <f>IFERROR(__xludf.DUMMYFUNCTION("""COMPUTED_VALUE"""),2.01)</f>
        <v>2.01</v>
      </c>
      <c r="K302" s="2"/>
      <c r="L302" s="2" t="str">
        <f>IFERROR(__xludf.DUMMYFUNCTION("""COMPUTED_VALUE"""),"Delivered")</f>
        <v>Delivered</v>
      </c>
      <c r="M302" s="2" t="str">
        <f>IFERROR(__xludf.DUMMYFUNCTION("""COMPUTED_VALUE"""),"KD")</f>
        <v>KD</v>
      </c>
      <c r="N302" s="2" t="str">
        <f>IFERROR(__xludf.DUMMYFUNCTION("""COMPUTED_VALUE"""),"Credit, Debit, Knet")</f>
        <v>Credit, Debit, Knet</v>
      </c>
      <c r="O302" s="4">
        <f>IFERROR(__xludf.DUMMYFUNCTION("""COMPUTED_VALUE"""),0.0)</f>
        <v>0</v>
      </c>
      <c r="P302" s="2">
        <f>IFERROR(__xludf.DUMMYFUNCTION("""COMPUTED_VALUE"""),16.0)</f>
        <v>16</v>
      </c>
      <c r="Q302" s="2">
        <f>IFERROR(__xludf.DUMMYFUNCTION("""COMPUTED_VALUE"""),4.0)</f>
        <v>4</v>
      </c>
      <c r="R302" s="2">
        <f>IFERROR(__xludf.DUMMYFUNCTION("""COMPUTED_VALUE"""),2025.0)</f>
        <v>2025</v>
      </c>
      <c r="S302" s="2" t="str">
        <f>IFERROR(__xludf.DUMMYFUNCTION("""COMPUTED_VALUE"""),"Digizag")</f>
        <v>Digizag</v>
      </c>
      <c r="T302" s="2" t="str">
        <f>IFERROR(__xludf.DUMMYFUNCTION("""COMPUTED_VALUE"""),"Digizag")</f>
        <v>Digizag</v>
      </c>
      <c r="U302" s="5">
        <f>IFERROR(__xludf.DUMMYFUNCTION("""COMPUTED_VALUE"""),65.55150447999999)</f>
        <v>65.55150448</v>
      </c>
      <c r="V302" s="2"/>
      <c r="W302" s="2"/>
      <c r="X302" s="2"/>
      <c r="Y302" s="2"/>
      <c r="Z302" s="2"/>
    </row>
    <row r="303">
      <c r="A303" s="6">
        <f>IFERROR(__xludf.DUMMYFUNCTION("""COMPUTED_VALUE"""),45763.4789699074)</f>
        <v>45763.47897</v>
      </c>
      <c r="B303" s="2" t="str">
        <f>IFERROR(__xludf.DUMMYFUNCTION("""COMPUTED_VALUE"""),"April")</f>
        <v>April</v>
      </c>
      <c r="C303" s="3">
        <f>IFERROR(__xludf.DUMMYFUNCTION("""COMPUTED_VALUE"""),721068.0)</f>
        <v>721068</v>
      </c>
      <c r="D303" s="2" t="str">
        <f>IFERROR(__xludf.DUMMYFUNCTION("""COMPUTED_VALUE"""),"MNN16")</f>
        <v>MNN16</v>
      </c>
      <c r="E303" s="2" t="str">
        <f>IFERROR(__xludf.DUMMYFUNCTION("""COMPUTED_VALUE"""),"Imported from file DigiZag Codes 25Feb25.xlsx")</f>
        <v>Imported from file DigiZag Codes 25Feb25.xlsx</v>
      </c>
      <c r="F303" s="2" t="str">
        <f>IFERROR(__xludf.DUMMYFUNCTION("""COMPUTED_VALUE"""),"VWA926417")</f>
        <v>VWA926417</v>
      </c>
      <c r="G303" s="2" t="str">
        <f>IFERROR(__xludf.DUMMYFUNCTION("""COMPUTED_VALUE"""),"UAE")</f>
        <v>UAE</v>
      </c>
      <c r="H303" s="4">
        <f>IFERROR(__xludf.DUMMYFUNCTION("""COMPUTED_VALUE"""),540.0)</f>
        <v>540</v>
      </c>
      <c r="I303" s="3">
        <f>IFERROR(__xludf.DUMMYFUNCTION("""COMPUTED_VALUE"""),0.0)</f>
        <v>0</v>
      </c>
      <c r="J303" s="4">
        <f>IFERROR(__xludf.DUMMYFUNCTION("""COMPUTED_VALUE"""),54.0)</f>
        <v>54</v>
      </c>
      <c r="K303" s="2"/>
      <c r="L303" s="2" t="str">
        <f>IFERROR(__xludf.DUMMYFUNCTION("""COMPUTED_VALUE"""),"Delivered")</f>
        <v>Delivered</v>
      </c>
      <c r="M303" s="2" t="str">
        <f>IFERROR(__xludf.DUMMYFUNCTION("""COMPUTED_VALUE"""),"AED")</f>
        <v>AED</v>
      </c>
      <c r="N303" s="2" t="str">
        <f>IFERROR(__xludf.DUMMYFUNCTION("""COMPUTED_VALUE"""),"Cash")</f>
        <v>Cash</v>
      </c>
      <c r="O303" s="4">
        <f>IFERROR(__xludf.DUMMYFUNCTION("""COMPUTED_VALUE"""),0.0)</f>
        <v>0</v>
      </c>
      <c r="P303" s="2">
        <f>IFERROR(__xludf.DUMMYFUNCTION("""COMPUTED_VALUE"""),16.0)</f>
        <v>16</v>
      </c>
      <c r="Q303" s="2">
        <f>IFERROR(__xludf.DUMMYFUNCTION("""COMPUTED_VALUE"""),4.0)</f>
        <v>4</v>
      </c>
      <c r="R303" s="2">
        <f>IFERROR(__xludf.DUMMYFUNCTION("""COMPUTED_VALUE"""),2025.0)</f>
        <v>2025</v>
      </c>
      <c r="S303" s="2" t="str">
        <f>IFERROR(__xludf.DUMMYFUNCTION("""COMPUTED_VALUE"""),"Digizag")</f>
        <v>Digizag</v>
      </c>
      <c r="T303" s="2" t="str">
        <f>IFERROR(__xludf.DUMMYFUNCTION("""COMPUTED_VALUE"""),"Digizag")</f>
        <v>Digizag</v>
      </c>
      <c r="U303" s="5">
        <f>IFERROR(__xludf.DUMMYFUNCTION("""COMPUTED_VALUE"""),147.03880211999999)</f>
        <v>147.0388021</v>
      </c>
      <c r="V303" s="2"/>
      <c r="W303" s="2"/>
      <c r="X303" s="2"/>
      <c r="Y303" s="2"/>
      <c r="Z303" s="2"/>
    </row>
    <row r="304">
      <c r="A304" s="6">
        <f>IFERROR(__xludf.DUMMYFUNCTION("""COMPUTED_VALUE"""),45763.51194444444)</f>
        <v>45763.51194</v>
      </c>
      <c r="B304" s="2" t="str">
        <f>IFERROR(__xludf.DUMMYFUNCTION("""COMPUTED_VALUE"""),"April")</f>
        <v>April</v>
      </c>
      <c r="C304" s="3">
        <f>IFERROR(__xludf.DUMMYFUNCTION("""COMPUTED_VALUE"""),273660.0)</f>
        <v>273660</v>
      </c>
      <c r="D304" s="2" t="str">
        <f>IFERROR(__xludf.DUMMYFUNCTION("""COMPUTED_VALUE"""),"MNN16")</f>
        <v>MNN16</v>
      </c>
      <c r="E304" s="2" t="str">
        <f>IFERROR(__xludf.DUMMYFUNCTION("""COMPUTED_VALUE"""),"Imported from file DigiZag Bidding Codes.xlsx")</f>
        <v>Imported from file DigiZag Bidding Codes.xlsx</v>
      </c>
      <c r="F304" s="2" t="str">
        <f>IFERROR(__xludf.DUMMYFUNCTION("""COMPUTED_VALUE"""),"WEU786360")</f>
        <v>WEU786360</v>
      </c>
      <c r="G304" s="2" t="str">
        <f>IFERROR(__xludf.DUMMYFUNCTION("""COMPUTED_VALUE"""),"Kingdom of Saudi Arabia")</f>
        <v>Kingdom of Saudi Arabia</v>
      </c>
      <c r="H304" s="4">
        <f>IFERROR(__xludf.DUMMYFUNCTION("""COMPUTED_VALUE"""),102.0)</f>
        <v>102</v>
      </c>
      <c r="I304" s="3">
        <f>IFERROR(__xludf.DUMMYFUNCTION("""COMPUTED_VALUE"""),0.0)</f>
        <v>0</v>
      </c>
      <c r="J304" s="4">
        <f>IFERROR(__xludf.DUMMYFUNCTION("""COMPUTED_VALUE"""),10.2)</f>
        <v>10.2</v>
      </c>
      <c r="K304" s="2"/>
      <c r="L304" s="2" t="str">
        <f>IFERROR(__xludf.DUMMYFUNCTION("""COMPUTED_VALUE"""),"Delivered")</f>
        <v>Delivered</v>
      </c>
      <c r="M304" s="2" t="str">
        <f>IFERROR(__xludf.DUMMYFUNCTION("""COMPUTED_VALUE"""),"SAR")</f>
        <v>SAR</v>
      </c>
      <c r="N304" s="2" t="str">
        <f>IFERROR(__xludf.DUMMYFUNCTION("""COMPUTED_VALUE"""),"Credit, Debit, Apple Pay")</f>
        <v>Credit, Debit, Apple Pay</v>
      </c>
      <c r="O304" s="4">
        <f>IFERROR(__xludf.DUMMYFUNCTION("""COMPUTED_VALUE"""),0.0)</f>
        <v>0</v>
      </c>
      <c r="P304" s="2">
        <f>IFERROR(__xludf.DUMMYFUNCTION("""COMPUTED_VALUE"""),16.0)</f>
        <v>16</v>
      </c>
      <c r="Q304" s="2">
        <f>IFERROR(__xludf.DUMMYFUNCTION("""COMPUTED_VALUE"""),4.0)</f>
        <v>4</v>
      </c>
      <c r="R304" s="2">
        <f>IFERROR(__xludf.DUMMYFUNCTION("""COMPUTED_VALUE"""),2025.0)</f>
        <v>2025</v>
      </c>
      <c r="S304" s="2" t="str">
        <f>IFERROR(__xludf.DUMMYFUNCTION("""COMPUTED_VALUE"""),"Digizag")</f>
        <v>Digizag</v>
      </c>
      <c r="T304" s="2" t="str">
        <f>IFERROR(__xludf.DUMMYFUNCTION("""COMPUTED_VALUE"""),"Digizag")</f>
        <v>Digizag</v>
      </c>
      <c r="U304" s="5">
        <f>IFERROR(__xludf.DUMMYFUNCTION("""COMPUTED_VALUE"""),27.197896692000004)</f>
        <v>27.19789669</v>
      </c>
      <c r="V304" s="2"/>
      <c r="W304" s="2"/>
      <c r="X304" s="2"/>
      <c r="Y304" s="2"/>
      <c r="Z304" s="2"/>
    </row>
    <row r="305">
      <c r="A305" s="6">
        <f>IFERROR(__xludf.DUMMYFUNCTION("""COMPUTED_VALUE"""),45763.623564814814)</f>
        <v>45763.62356</v>
      </c>
      <c r="B305" s="2" t="str">
        <f>IFERROR(__xludf.DUMMYFUNCTION("""COMPUTED_VALUE"""),"April")</f>
        <v>April</v>
      </c>
      <c r="C305" s="3">
        <f>IFERROR(__xludf.DUMMYFUNCTION("""COMPUTED_VALUE"""),721200.0)</f>
        <v>721200</v>
      </c>
      <c r="D305" s="2" t="str">
        <f>IFERROR(__xludf.DUMMYFUNCTION("""COMPUTED_VALUE"""),"DB3")</f>
        <v>DB3</v>
      </c>
      <c r="E305" s="2" t="str">
        <f>IFERROR(__xludf.DUMMYFUNCTION("""COMPUTED_VALUE"""),"Imported from file Digizag.xlsx")</f>
        <v>Imported from file Digizag.xlsx</v>
      </c>
      <c r="F305" s="2" t="str">
        <f>IFERROR(__xludf.DUMMYFUNCTION("""COMPUTED_VALUE"""),"WSN593450")</f>
        <v>WSN593450</v>
      </c>
      <c r="G305" s="2" t="str">
        <f>IFERROR(__xludf.DUMMYFUNCTION("""COMPUTED_VALUE"""),"Kingdom of Saudi Arabia")</f>
        <v>Kingdom of Saudi Arabia</v>
      </c>
      <c r="H305" s="4">
        <f>IFERROR(__xludf.DUMMYFUNCTION("""COMPUTED_VALUE"""),173.0)</f>
        <v>173</v>
      </c>
      <c r="I305" s="3">
        <f>IFERROR(__xludf.DUMMYFUNCTION("""COMPUTED_VALUE"""),0.0)</f>
        <v>0</v>
      </c>
      <c r="J305" s="4">
        <f>IFERROR(__xludf.DUMMYFUNCTION("""COMPUTED_VALUE"""),17.3)</f>
        <v>17.3</v>
      </c>
      <c r="K305" s="2"/>
      <c r="L305" s="2" t="str">
        <f>IFERROR(__xludf.DUMMYFUNCTION("""COMPUTED_VALUE"""),"Delivered")</f>
        <v>Delivered</v>
      </c>
      <c r="M305" s="2" t="str">
        <f>IFERROR(__xludf.DUMMYFUNCTION("""COMPUTED_VALUE"""),"SAR")</f>
        <v>SAR</v>
      </c>
      <c r="N305" s="2" t="str">
        <f>IFERROR(__xludf.DUMMYFUNCTION("""COMPUTED_VALUE"""),"Credit, Debit, Apple Pay")</f>
        <v>Credit, Debit, Apple Pay</v>
      </c>
      <c r="O305" s="4">
        <f>IFERROR(__xludf.DUMMYFUNCTION("""COMPUTED_VALUE"""),0.0)</f>
        <v>0</v>
      </c>
      <c r="P305" s="2">
        <f>IFERROR(__xludf.DUMMYFUNCTION("""COMPUTED_VALUE"""),16.0)</f>
        <v>16</v>
      </c>
      <c r="Q305" s="2">
        <f>IFERROR(__xludf.DUMMYFUNCTION("""COMPUTED_VALUE"""),4.0)</f>
        <v>4</v>
      </c>
      <c r="R305" s="2">
        <f>IFERROR(__xludf.DUMMYFUNCTION("""COMPUTED_VALUE"""),2025.0)</f>
        <v>2025</v>
      </c>
      <c r="S305" s="2" t="str">
        <f>IFERROR(__xludf.DUMMYFUNCTION("""COMPUTED_VALUE"""),"Digizag")</f>
        <v>Digizag</v>
      </c>
      <c r="T305" s="2" t="str">
        <f>IFERROR(__xludf.DUMMYFUNCTION("""COMPUTED_VALUE"""),"Digizag")</f>
        <v>Digizag</v>
      </c>
      <c r="U305" s="5">
        <f>IFERROR(__xludf.DUMMYFUNCTION("""COMPUTED_VALUE"""),46.12976595800001)</f>
        <v>46.12976596</v>
      </c>
      <c r="V305" s="2"/>
      <c r="W305" s="2"/>
      <c r="X305" s="2"/>
      <c r="Y305" s="2"/>
      <c r="Z305" s="2"/>
    </row>
    <row r="306">
      <c r="A306" s="6">
        <f>IFERROR(__xludf.DUMMYFUNCTION("""COMPUTED_VALUE"""),45764.61971064815)</f>
        <v>45764.61971</v>
      </c>
      <c r="B306" s="2" t="str">
        <f>IFERROR(__xludf.DUMMYFUNCTION("""COMPUTED_VALUE"""),"April")</f>
        <v>April</v>
      </c>
      <c r="C306" s="3">
        <f>IFERROR(__xludf.DUMMYFUNCTION("""COMPUTED_VALUE"""),22942.0)</f>
        <v>22942</v>
      </c>
      <c r="D306" s="2" t="str">
        <f>IFERROR(__xludf.DUMMYFUNCTION("""COMPUTED_VALUE"""),"MNN16")</f>
        <v>MNN16</v>
      </c>
      <c r="E306" s="2" t="str">
        <f>IFERROR(__xludf.DUMMYFUNCTION("""COMPUTED_VALUE"""),"Imported from file DigiZag Codes 25Feb25.xlsx")</f>
        <v>Imported from file DigiZag Codes 25Feb25.xlsx</v>
      </c>
      <c r="F306" s="2" t="str">
        <f>IFERROR(__xludf.DUMMYFUNCTION("""COMPUTED_VALUE"""),"MWZ844999")</f>
        <v>MWZ844999</v>
      </c>
      <c r="G306" s="2" t="str">
        <f>IFERROR(__xludf.DUMMYFUNCTION("""COMPUTED_VALUE"""),"Kuwait")</f>
        <v>Kuwait</v>
      </c>
      <c r="H306" s="4">
        <f>IFERROR(__xludf.DUMMYFUNCTION("""COMPUTED_VALUE"""),28.49)</f>
        <v>28.49</v>
      </c>
      <c r="I306" s="3">
        <f>IFERROR(__xludf.DUMMYFUNCTION("""COMPUTED_VALUE"""),0.0)</f>
        <v>0</v>
      </c>
      <c r="J306" s="4">
        <f>IFERROR(__xludf.DUMMYFUNCTION("""COMPUTED_VALUE"""),2.848)</f>
        <v>2.848</v>
      </c>
      <c r="K306" s="2"/>
      <c r="L306" s="2" t="str">
        <f>IFERROR(__xludf.DUMMYFUNCTION("""COMPUTED_VALUE"""),"Delivered")</f>
        <v>Delivered</v>
      </c>
      <c r="M306" s="2" t="str">
        <f>IFERROR(__xludf.DUMMYFUNCTION("""COMPUTED_VALUE"""),"KD")</f>
        <v>KD</v>
      </c>
      <c r="N306" s="2" t="str">
        <f>IFERROR(__xludf.DUMMYFUNCTION("""COMPUTED_VALUE"""),"Cash")</f>
        <v>Cash</v>
      </c>
      <c r="O306" s="4">
        <f>IFERROR(__xludf.DUMMYFUNCTION("""COMPUTED_VALUE"""),0.0)</f>
        <v>0</v>
      </c>
      <c r="P306" s="2">
        <f>IFERROR(__xludf.DUMMYFUNCTION("""COMPUTED_VALUE"""),17.0)</f>
        <v>17</v>
      </c>
      <c r="Q306" s="2">
        <f>IFERROR(__xludf.DUMMYFUNCTION("""COMPUTED_VALUE"""),4.0)</f>
        <v>4</v>
      </c>
      <c r="R306" s="2">
        <f>IFERROR(__xludf.DUMMYFUNCTION("""COMPUTED_VALUE"""),2025.0)</f>
        <v>2025</v>
      </c>
      <c r="S306" s="2" t="str">
        <f>IFERROR(__xludf.DUMMYFUNCTION("""COMPUTED_VALUE"""),"Digizag")</f>
        <v>Digizag</v>
      </c>
      <c r="T306" s="2" t="str">
        <f>IFERROR(__xludf.DUMMYFUNCTION("""COMPUTED_VALUE"""),"Digizag")</f>
        <v>Digizag</v>
      </c>
      <c r="U306" s="5">
        <f>IFERROR(__xludf.DUMMYFUNCTION("""COMPUTED_VALUE"""),92.89506379999999)</f>
        <v>92.8950638</v>
      </c>
      <c r="V306" s="2"/>
      <c r="W306" s="2"/>
      <c r="X306" s="2"/>
      <c r="Y306" s="2"/>
      <c r="Z306" s="2"/>
    </row>
    <row r="307">
      <c r="A307" s="6">
        <f>IFERROR(__xludf.DUMMYFUNCTION("""COMPUTED_VALUE"""),45765.53005787037)</f>
        <v>45765.53006</v>
      </c>
      <c r="B307" s="2" t="str">
        <f>IFERROR(__xludf.DUMMYFUNCTION("""COMPUTED_VALUE"""),"April")</f>
        <v>April</v>
      </c>
      <c r="C307" s="3">
        <f>IFERROR(__xludf.DUMMYFUNCTION("""COMPUTED_VALUE"""),722235.0)</f>
        <v>722235</v>
      </c>
      <c r="D307" s="2" t="str">
        <f>IFERROR(__xludf.DUMMYFUNCTION("""COMPUTED_VALUE"""),"DB1")</f>
        <v>DB1</v>
      </c>
      <c r="E307" s="2" t="str">
        <f>IFERROR(__xludf.DUMMYFUNCTION("""COMPUTED_VALUE"""),"Imported from file Digizag.xlsx")</f>
        <v>Imported from file Digizag.xlsx</v>
      </c>
      <c r="F307" s="2" t="str">
        <f>IFERROR(__xludf.DUMMYFUNCTION("""COMPUTED_VALUE"""),"LEA759697")</f>
        <v>LEA759697</v>
      </c>
      <c r="G307" s="2" t="str">
        <f>IFERROR(__xludf.DUMMYFUNCTION("""COMPUTED_VALUE"""),"UAE")</f>
        <v>UAE</v>
      </c>
      <c r="H307" s="4">
        <f>IFERROR(__xludf.DUMMYFUNCTION("""COMPUTED_VALUE"""),178.0)</f>
        <v>178</v>
      </c>
      <c r="I307" s="3">
        <f>IFERROR(__xludf.DUMMYFUNCTION("""COMPUTED_VALUE"""),0.0)</f>
        <v>0</v>
      </c>
      <c r="J307" s="4">
        <f>IFERROR(__xludf.DUMMYFUNCTION("""COMPUTED_VALUE"""),17.8)</f>
        <v>17.8</v>
      </c>
      <c r="K307" s="2"/>
      <c r="L307" s="2" t="str">
        <f>IFERROR(__xludf.DUMMYFUNCTION("""COMPUTED_VALUE"""),"Processing")</f>
        <v>Processing</v>
      </c>
      <c r="M307" s="2" t="str">
        <f>IFERROR(__xludf.DUMMYFUNCTION("""COMPUTED_VALUE"""),"AED")</f>
        <v>AED</v>
      </c>
      <c r="N307" s="2" t="str">
        <f>IFERROR(__xludf.DUMMYFUNCTION("""COMPUTED_VALUE"""),"Credit, Debit , Apple Pay")</f>
        <v>Credit, Debit , Apple Pay</v>
      </c>
      <c r="O307" s="4">
        <f>IFERROR(__xludf.DUMMYFUNCTION("""COMPUTED_VALUE"""),0.0)</f>
        <v>0</v>
      </c>
      <c r="P307" s="2">
        <f>IFERROR(__xludf.DUMMYFUNCTION("""COMPUTED_VALUE"""),18.0)</f>
        <v>18</v>
      </c>
      <c r="Q307" s="2">
        <f>IFERROR(__xludf.DUMMYFUNCTION("""COMPUTED_VALUE"""),4.0)</f>
        <v>4</v>
      </c>
      <c r="R307" s="2">
        <f>IFERROR(__xludf.DUMMYFUNCTION("""COMPUTED_VALUE"""),2025.0)</f>
        <v>2025</v>
      </c>
      <c r="S307" s="2" t="str">
        <f>IFERROR(__xludf.DUMMYFUNCTION("""COMPUTED_VALUE"""),"Digizag")</f>
        <v>Digizag</v>
      </c>
      <c r="T307" s="2" t="str">
        <f>IFERROR(__xludf.DUMMYFUNCTION("""COMPUTED_VALUE"""),"Digizag")</f>
        <v>Digizag</v>
      </c>
      <c r="U307" s="5">
        <f>IFERROR(__xludf.DUMMYFUNCTION("""COMPUTED_VALUE"""),48.468345884)</f>
        <v>48.46834588</v>
      </c>
      <c r="V307" s="2"/>
      <c r="W307" s="2"/>
      <c r="X307" s="2"/>
      <c r="Y307" s="2"/>
      <c r="Z307" s="2"/>
    </row>
    <row r="308">
      <c r="A308" s="6">
        <f>IFERROR(__xludf.DUMMYFUNCTION("""COMPUTED_VALUE"""),45765.81254629629)</f>
        <v>45765.81255</v>
      </c>
      <c r="B308" s="2" t="str">
        <f>IFERROR(__xludf.DUMMYFUNCTION("""COMPUTED_VALUE"""),"April")</f>
        <v>April</v>
      </c>
      <c r="C308" s="3">
        <f>IFERROR(__xludf.DUMMYFUNCTION("""COMPUTED_VALUE"""),722461.0)</f>
        <v>722461</v>
      </c>
      <c r="D308" s="2" t="str">
        <f>IFERROR(__xludf.DUMMYFUNCTION("""COMPUTED_VALUE"""),"DB1")</f>
        <v>DB1</v>
      </c>
      <c r="E308" s="2" t="str">
        <f>IFERROR(__xludf.DUMMYFUNCTION("""COMPUTED_VALUE"""),"Imported from file Digizag.xlsx")</f>
        <v>Imported from file Digizag.xlsx</v>
      </c>
      <c r="F308" s="2" t="str">
        <f>IFERROR(__xludf.DUMMYFUNCTION("""COMPUTED_VALUE"""),"BYE111476")</f>
        <v>BYE111476</v>
      </c>
      <c r="G308" s="2" t="str">
        <f>IFERROR(__xludf.DUMMYFUNCTION("""COMPUTED_VALUE"""),"Kingdom of Saudi Arabia")</f>
        <v>Kingdom of Saudi Arabia</v>
      </c>
      <c r="H308" s="4">
        <f>IFERROR(__xludf.DUMMYFUNCTION("""COMPUTED_VALUE"""),60.0)</f>
        <v>60</v>
      </c>
      <c r="I308" s="3">
        <f>IFERROR(__xludf.DUMMYFUNCTION("""COMPUTED_VALUE"""),0.0)</f>
        <v>0</v>
      </c>
      <c r="J308" s="4">
        <f>IFERROR(__xludf.DUMMYFUNCTION("""COMPUTED_VALUE"""),6.0)</f>
        <v>6</v>
      </c>
      <c r="K308" s="2"/>
      <c r="L308" s="2" t="str">
        <f>IFERROR(__xludf.DUMMYFUNCTION("""COMPUTED_VALUE"""),"Processing")</f>
        <v>Processing</v>
      </c>
      <c r="M308" s="2" t="str">
        <f>IFERROR(__xludf.DUMMYFUNCTION("""COMPUTED_VALUE"""),"SAR")</f>
        <v>SAR</v>
      </c>
      <c r="N308" s="2" t="str">
        <f>IFERROR(__xludf.DUMMYFUNCTION("""COMPUTED_VALUE"""),"Credit, Debit, Apple Pay")</f>
        <v>Credit, Debit, Apple Pay</v>
      </c>
      <c r="O308" s="4">
        <f>IFERROR(__xludf.DUMMYFUNCTION("""COMPUTED_VALUE"""),0.0)</f>
        <v>0</v>
      </c>
      <c r="P308" s="2">
        <f>IFERROR(__xludf.DUMMYFUNCTION("""COMPUTED_VALUE"""),18.0)</f>
        <v>18</v>
      </c>
      <c r="Q308" s="2">
        <f>IFERROR(__xludf.DUMMYFUNCTION("""COMPUTED_VALUE"""),4.0)</f>
        <v>4</v>
      </c>
      <c r="R308" s="2">
        <f>IFERROR(__xludf.DUMMYFUNCTION("""COMPUTED_VALUE"""),2025.0)</f>
        <v>2025</v>
      </c>
      <c r="S308" s="2" t="str">
        <f>IFERROR(__xludf.DUMMYFUNCTION("""COMPUTED_VALUE"""),"Digizag")</f>
        <v>Digizag</v>
      </c>
      <c r="T308" s="2" t="str">
        <f>IFERROR(__xludf.DUMMYFUNCTION("""COMPUTED_VALUE"""),"Digizag")</f>
        <v>Digizag</v>
      </c>
      <c r="U308" s="5">
        <f>IFERROR(__xludf.DUMMYFUNCTION("""COMPUTED_VALUE"""),15.998762760000002)</f>
        <v>15.99876276</v>
      </c>
      <c r="V308" s="2"/>
      <c r="W308" s="2"/>
      <c r="X308" s="2"/>
      <c r="Y308" s="2"/>
      <c r="Z308" s="2"/>
    </row>
    <row r="309">
      <c r="A309" s="6">
        <f>IFERROR(__xludf.DUMMYFUNCTION("""COMPUTED_VALUE"""),45766.647638888884)</f>
        <v>45766.64764</v>
      </c>
      <c r="B309" s="2" t="str">
        <f>IFERROR(__xludf.DUMMYFUNCTION("""COMPUTED_VALUE"""),"April")</f>
        <v>April</v>
      </c>
      <c r="C309" s="3">
        <f>IFERROR(__xludf.DUMMYFUNCTION("""COMPUTED_VALUE"""),650220.0)</f>
        <v>650220</v>
      </c>
      <c r="D309" s="2" t="str">
        <f>IFERROR(__xludf.DUMMYFUNCTION("""COMPUTED_VALUE"""),"MNN16")</f>
        <v>MNN16</v>
      </c>
      <c r="E309" s="2" t="str">
        <f>IFERROR(__xludf.DUMMYFUNCTION("""COMPUTED_VALUE"""),"Imported from file DigiZag Codes 25Feb25.xlsx")</f>
        <v>Imported from file DigiZag Codes 25Feb25.xlsx</v>
      </c>
      <c r="F309" s="2" t="str">
        <f>IFERROR(__xludf.DUMMYFUNCTION("""COMPUTED_VALUE"""),"RKD529918")</f>
        <v>RKD529918</v>
      </c>
      <c r="G309" s="2" t="str">
        <f>IFERROR(__xludf.DUMMYFUNCTION("""COMPUTED_VALUE"""),"Kuwait")</f>
        <v>Kuwait</v>
      </c>
      <c r="H309" s="4">
        <f>IFERROR(__xludf.DUMMYFUNCTION("""COMPUTED_VALUE"""),11.7)</f>
        <v>11.7</v>
      </c>
      <c r="I309" s="3">
        <f>IFERROR(__xludf.DUMMYFUNCTION("""COMPUTED_VALUE"""),0.0)</f>
        <v>0</v>
      </c>
      <c r="J309" s="4">
        <f>IFERROR(__xludf.DUMMYFUNCTION("""COMPUTED_VALUE"""),1.17)</f>
        <v>1.17</v>
      </c>
      <c r="K309" s="2"/>
      <c r="L309" s="2" t="str">
        <f>IFERROR(__xludf.DUMMYFUNCTION("""COMPUTED_VALUE"""),"Delivered")</f>
        <v>Delivered</v>
      </c>
      <c r="M309" s="2" t="str">
        <f>IFERROR(__xludf.DUMMYFUNCTION("""COMPUTED_VALUE"""),"KD")</f>
        <v>KD</v>
      </c>
      <c r="N309" s="2" t="str">
        <f>IFERROR(__xludf.DUMMYFUNCTION("""COMPUTED_VALUE"""),"Credit, Debit, Knet")</f>
        <v>Credit, Debit, Knet</v>
      </c>
      <c r="O309" s="4">
        <f>IFERROR(__xludf.DUMMYFUNCTION("""COMPUTED_VALUE"""),0.0)</f>
        <v>0</v>
      </c>
      <c r="P309" s="2">
        <f>IFERROR(__xludf.DUMMYFUNCTION("""COMPUTED_VALUE"""),19.0)</f>
        <v>19</v>
      </c>
      <c r="Q309" s="2">
        <f>IFERROR(__xludf.DUMMYFUNCTION("""COMPUTED_VALUE"""),4.0)</f>
        <v>4</v>
      </c>
      <c r="R309" s="2">
        <f>IFERROR(__xludf.DUMMYFUNCTION("""COMPUTED_VALUE"""),2025.0)</f>
        <v>2025</v>
      </c>
      <c r="S309" s="2" t="str">
        <f>IFERROR(__xludf.DUMMYFUNCTION("""COMPUTED_VALUE"""),"Digizag")</f>
        <v>Digizag</v>
      </c>
      <c r="T309" s="2" t="str">
        <f>IFERROR(__xludf.DUMMYFUNCTION("""COMPUTED_VALUE"""),"Digizag")</f>
        <v>Digizag</v>
      </c>
      <c r="U309" s="5">
        <f>IFERROR(__xludf.DUMMYFUNCTION("""COMPUTED_VALUE"""),38.149254)</f>
        <v>38.149254</v>
      </c>
      <c r="V309" s="2"/>
      <c r="W309" s="2"/>
      <c r="X309" s="2"/>
      <c r="Y309" s="2"/>
      <c r="Z309" s="2"/>
    </row>
    <row r="310">
      <c r="A310" s="6">
        <f>IFERROR(__xludf.DUMMYFUNCTION("""COMPUTED_VALUE"""),45766.72513888888)</f>
        <v>45766.72514</v>
      </c>
      <c r="B310" s="2" t="str">
        <f>IFERROR(__xludf.DUMMYFUNCTION("""COMPUTED_VALUE"""),"April")</f>
        <v>April</v>
      </c>
      <c r="C310" s="3">
        <f>IFERROR(__xludf.DUMMYFUNCTION("""COMPUTED_VALUE"""),104845.0)</f>
        <v>104845</v>
      </c>
      <c r="D310" s="2" t="str">
        <f>IFERROR(__xludf.DUMMYFUNCTION("""COMPUTED_VALUE"""),"MNN16")</f>
        <v>MNN16</v>
      </c>
      <c r="E310" s="2" t="str">
        <f>IFERROR(__xludf.DUMMYFUNCTION("""COMPUTED_VALUE"""),"Imported from file DigiZag Codes 25Feb25.xlsx")</f>
        <v>Imported from file DigiZag Codes 25Feb25.xlsx</v>
      </c>
      <c r="F310" s="2" t="str">
        <f>IFERROR(__xludf.DUMMYFUNCTION("""COMPUTED_VALUE"""),"SJP317701")</f>
        <v>SJP317701</v>
      </c>
      <c r="G310" s="2" t="str">
        <f>IFERROR(__xludf.DUMMYFUNCTION("""COMPUTED_VALUE"""),"Kuwait")</f>
        <v>Kuwait</v>
      </c>
      <c r="H310" s="4">
        <f>IFERROR(__xludf.DUMMYFUNCTION("""COMPUTED_VALUE"""),5.694)</f>
        <v>5.694</v>
      </c>
      <c r="I310" s="3">
        <f>IFERROR(__xludf.DUMMYFUNCTION("""COMPUTED_VALUE"""),0.0)</f>
        <v>0</v>
      </c>
      <c r="J310" s="4">
        <f>IFERROR(__xludf.DUMMYFUNCTION("""COMPUTED_VALUE"""),0.569)</f>
        <v>0.569</v>
      </c>
      <c r="K310" s="2"/>
      <c r="L310" s="2" t="str">
        <f>IFERROR(__xludf.DUMMYFUNCTION("""COMPUTED_VALUE"""),"Processing")</f>
        <v>Processing</v>
      </c>
      <c r="M310" s="2" t="str">
        <f>IFERROR(__xludf.DUMMYFUNCTION("""COMPUTED_VALUE"""),"KD")</f>
        <v>KD</v>
      </c>
      <c r="N310" s="2" t="str">
        <f>IFERROR(__xludf.DUMMYFUNCTION("""COMPUTED_VALUE"""),"Credit, Debit, Knet")</f>
        <v>Credit, Debit, Knet</v>
      </c>
      <c r="O310" s="4">
        <f>IFERROR(__xludf.DUMMYFUNCTION("""COMPUTED_VALUE"""),0.0)</f>
        <v>0</v>
      </c>
      <c r="P310" s="2">
        <f>IFERROR(__xludf.DUMMYFUNCTION("""COMPUTED_VALUE"""),19.0)</f>
        <v>19</v>
      </c>
      <c r="Q310" s="2">
        <f>IFERROR(__xludf.DUMMYFUNCTION("""COMPUTED_VALUE"""),4.0)</f>
        <v>4</v>
      </c>
      <c r="R310" s="2">
        <f>IFERROR(__xludf.DUMMYFUNCTION("""COMPUTED_VALUE"""),2025.0)</f>
        <v>2025</v>
      </c>
      <c r="S310" s="2" t="str">
        <f>IFERROR(__xludf.DUMMYFUNCTION("""COMPUTED_VALUE"""),"Digizag")</f>
        <v>Digizag</v>
      </c>
      <c r="T310" s="2" t="str">
        <f>IFERROR(__xludf.DUMMYFUNCTION("""COMPUTED_VALUE"""),"Digizag")</f>
        <v>Digizag</v>
      </c>
      <c r="U310" s="5">
        <f>IFERROR(__xludf.DUMMYFUNCTION("""COMPUTED_VALUE"""),18.56597028)</f>
        <v>18.56597028</v>
      </c>
      <c r="V310" s="2"/>
      <c r="W310" s="2"/>
      <c r="X310" s="2"/>
      <c r="Y310" s="2"/>
      <c r="Z310" s="2"/>
    </row>
    <row r="311">
      <c r="A311" s="6">
        <f>IFERROR(__xludf.DUMMYFUNCTION("""COMPUTED_VALUE"""),45766.82052083333)</f>
        <v>45766.82052</v>
      </c>
      <c r="B311" s="2" t="str">
        <f>IFERROR(__xludf.DUMMYFUNCTION("""COMPUTED_VALUE"""),"April")</f>
        <v>April</v>
      </c>
      <c r="C311" s="3">
        <f>IFERROR(__xludf.DUMMYFUNCTION("""COMPUTED_VALUE"""),540396.0)</f>
        <v>540396</v>
      </c>
      <c r="D311" s="2" t="str">
        <f>IFERROR(__xludf.DUMMYFUNCTION("""COMPUTED_VALUE"""),"MNN16")</f>
        <v>MNN16</v>
      </c>
      <c r="E311" s="2" t="str">
        <f>IFERROR(__xludf.DUMMYFUNCTION("""COMPUTED_VALUE"""),"Imported from file DigiZag Codes 25Feb25.xlsx")</f>
        <v>Imported from file DigiZag Codes 25Feb25.xlsx</v>
      </c>
      <c r="F311" s="2" t="str">
        <f>IFERROR(__xludf.DUMMYFUNCTION("""COMPUTED_VALUE"""),"LPU612993")</f>
        <v>LPU612993</v>
      </c>
      <c r="G311" s="2" t="str">
        <f>IFERROR(__xludf.DUMMYFUNCTION("""COMPUTED_VALUE"""),"Kuwait")</f>
        <v>Kuwait</v>
      </c>
      <c r="H311" s="4">
        <f>IFERROR(__xludf.DUMMYFUNCTION("""COMPUTED_VALUE"""),5.9)</f>
        <v>5.9</v>
      </c>
      <c r="I311" s="3">
        <f>IFERROR(__xludf.DUMMYFUNCTION("""COMPUTED_VALUE"""),0.0)</f>
        <v>0</v>
      </c>
      <c r="J311" s="4">
        <f>IFERROR(__xludf.DUMMYFUNCTION("""COMPUTED_VALUE"""),0.59)</f>
        <v>0.59</v>
      </c>
      <c r="K311" s="2"/>
      <c r="L311" s="2" t="str">
        <f>IFERROR(__xludf.DUMMYFUNCTION("""COMPUTED_VALUE"""),"Processing")</f>
        <v>Processing</v>
      </c>
      <c r="M311" s="2" t="str">
        <f>IFERROR(__xludf.DUMMYFUNCTION("""COMPUTED_VALUE"""),"KD")</f>
        <v>KD</v>
      </c>
      <c r="N311" s="2" t="str">
        <f>IFERROR(__xludf.DUMMYFUNCTION("""COMPUTED_VALUE"""),"Credit, Debit, Knet")</f>
        <v>Credit, Debit, Knet</v>
      </c>
      <c r="O311" s="4">
        <f>IFERROR(__xludf.DUMMYFUNCTION("""COMPUTED_VALUE"""),0.0)</f>
        <v>0</v>
      </c>
      <c r="P311" s="2">
        <f>IFERROR(__xludf.DUMMYFUNCTION("""COMPUTED_VALUE"""),19.0)</f>
        <v>19</v>
      </c>
      <c r="Q311" s="2">
        <f>IFERROR(__xludf.DUMMYFUNCTION("""COMPUTED_VALUE"""),4.0)</f>
        <v>4</v>
      </c>
      <c r="R311" s="2">
        <f>IFERROR(__xludf.DUMMYFUNCTION("""COMPUTED_VALUE"""),2025.0)</f>
        <v>2025</v>
      </c>
      <c r="S311" s="2" t="str">
        <f>IFERROR(__xludf.DUMMYFUNCTION("""COMPUTED_VALUE"""),"Digizag")</f>
        <v>Digizag</v>
      </c>
      <c r="T311" s="2" t="str">
        <f>IFERROR(__xludf.DUMMYFUNCTION("""COMPUTED_VALUE"""),"Digizag")</f>
        <v>Digizag</v>
      </c>
      <c r="U311" s="5">
        <f>IFERROR(__xludf.DUMMYFUNCTION("""COMPUTED_VALUE"""),19.237658)</f>
        <v>19.237658</v>
      </c>
      <c r="V311" s="2"/>
      <c r="W311" s="2"/>
      <c r="X311" s="2"/>
      <c r="Y311" s="2"/>
      <c r="Z311" s="2"/>
    </row>
    <row r="312">
      <c r="A312" s="6">
        <f>IFERROR(__xludf.DUMMYFUNCTION("""COMPUTED_VALUE"""),45766.92822916667)</f>
        <v>45766.92823</v>
      </c>
      <c r="B312" s="2" t="str">
        <f>IFERROR(__xludf.DUMMYFUNCTION("""COMPUTED_VALUE"""),"April")</f>
        <v>April</v>
      </c>
      <c r="C312" s="3">
        <f>IFERROR(__xludf.DUMMYFUNCTION("""COMPUTED_VALUE"""),429707.0)</f>
        <v>429707</v>
      </c>
      <c r="D312" s="2" t="str">
        <f>IFERROR(__xludf.DUMMYFUNCTION("""COMPUTED_VALUE"""),"MNN16")</f>
        <v>MNN16</v>
      </c>
      <c r="E312" s="2" t="str">
        <f>IFERROR(__xludf.DUMMYFUNCTION("""COMPUTED_VALUE"""),"Imported from file DigiZag Codes 25Feb25.xlsx")</f>
        <v>Imported from file DigiZag Codes 25Feb25.xlsx</v>
      </c>
      <c r="F312" s="2" t="str">
        <f>IFERROR(__xludf.DUMMYFUNCTION("""COMPUTED_VALUE"""),"LHK992074")</f>
        <v>LHK992074</v>
      </c>
      <c r="G312" s="2" t="str">
        <f>IFERROR(__xludf.DUMMYFUNCTION("""COMPUTED_VALUE"""),"UAE")</f>
        <v>UAE</v>
      </c>
      <c r="H312" s="4">
        <f>IFERROR(__xludf.DUMMYFUNCTION("""COMPUTED_VALUE"""),108.0)</f>
        <v>108</v>
      </c>
      <c r="I312" s="3">
        <f>IFERROR(__xludf.DUMMYFUNCTION("""COMPUTED_VALUE"""),0.0)</f>
        <v>0</v>
      </c>
      <c r="J312" s="4">
        <f>IFERROR(__xludf.DUMMYFUNCTION("""COMPUTED_VALUE"""),10.8)</f>
        <v>10.8</v>
      </c>
      <c r="K312" s="2"/>
      <c r="L312" s="2" t="str">
        <f>IFERROR(__xludf.DUMMYFUNCTION("""COMPUTED_VALUE"""),"Processing")</f>
        <v>Processing</v>
      </c>
      <c r="M312" s="2" t="str">
        <f>IFERROR(__xludf.DUMMYFUNCTION("""COMPUTED_VALUE"""),"AED")</f>
        <v>AED</v>
      </c>
      <c r="N312" s="2" t="str">
        <f>IFERROR(__xludf.DUMMYFUNCTION("""COMPUTED_VALUE"""),"Credit, Debit , Apple Pay")</f>
        <v>Credit, Debit , Apple Pay</v>
      </c>
      <c r="O312" s="4">
        <f>IFERROR(__xludf.DUMMYFUNCTION("""COMPUTED_VALUE"""),0.0)</f>
        <v>0</v>
      </c>
      <c r="P312" s="2">
        <f>IFERROR(__xludf.DUMMYFUNCTION("""COMPUTED_VALUE"""),19.0)</f>
        <v>19</v>
      </c>
      <c r="Q312" s="2">
        <f>IFERROR(__xludf.DUMMYFUNCTION("""COMPUTED_VALUE"""),4.0)</f>
        <v>4</v>
      </c>
      <c r="R312" s="2">
        <f>IFERROR(__xludf.DUMMYFUNCTION("""COMPUTED_VALUE"""),2025.0)</f>
        <v>2025</v>
      </c>
      <c r="S312" s="2" t="str">
        <f>IFERROR(__xludf.DUMMYFUNCTION("""COMPUTED_VALUE"""),"Digizag")</f>
        <v>Digizag</v>
      </c>
      <c r="T312" s="2" t="str">
        <f>IFERROR(__xludf.DUMMYFUNCTION("""COMPUTED_VALUE"""),"Digizag")</f>
        <v>Digizag</v>
      </c>
      <c r="U312" s="5">
        <f>IFERROR(__xludf.DUMMYFUNCTION("""COMPUTED_VALUE"""),29.407760424)</f>
        <v>29.40776042</v>
      </c>
      <c r="V312" s="2"/>
      <c r="W312" s="2"/>
      <c r="X312" s="2"/>
      <c r="Y312" s="2"/>
      <c r="Z312" s="2"/>
    </row>
    <row r="313">
      <c r="A313" s="6">
        <f>IFERROR(__xludf.DUMMYFUNCTION("""COMPUTED_VALUE"""),45767.18215277778)</f>
        <v>45767.18215</v>
      </c>
      <c r="B313" s="2" t="str">
        <f>IFERROR(__xludf.DUMMYFUNCTION("""COMPUTED_VALUE"""),"April")</f>
        <v>April</v>
      </c>
      <c r="C313" s="3">
        <f>IFERROR(__xludf.DUMMYFUNCTION("""COMPUTED_VALUE"""),722478.0)</f>
        <v>722478</v>
      </c>
      <c r="D313" s="2" t="str">
        <f>IFERROR(__xludf.DUMMYFUNCTION("""COMPUTED_VALUE"""),"DB1")</f>
        <v>DB1</v>
      </c>
      <c r="E313" s="2" t="str">
        <f>IFERROR(__xludf.DUMMYFUNCTION("""COMPUTED_VALUE"""),"Imported from file Digizag.xlsx")</f>
        <v>Imported from file Digizag.xlsx</v>
      </c>
      <c r="F313" s="2" t="str">
        <f>IFERROR(__xludf.DUMMYFUNCTION("""COMPUTED_VALUE"""),"DVP891810")</f>
        <v>DVP891810</v>
      </c>
      <c r="G313" s="2" t="str">
        <f>IFERROR(__xludf.DUMMYFUNCTION("""COMPUTED_VALUE"""),"UAE")</f>
        <v>UAE</v>
      </c>
      <c r="H313" s="4">
        <f>IFERROR(__xludf.DUMMYFUNCTION("""COMPUTED_VALUE"""),3922.69)</f>
        <v>3922.69</v>
      </c>
      <c r="I313" s="3">
        <f>IFERROR(__xludf.DUMMYFUNCTION("""COMPUTED_VALUE"""),0.0)</f>
        <v>0</v>
      </c>
      <c r="J313" s="4">
        <f>IFERROR(__xludf.DUMMYFUNCTION("""COMPUTED_VALUE"""),392.26)</f>
        <v>392.26</v>
      </c>
      <c r="K313" s="2"/>
      <c r="L313" s="2" t="str">
        <f>IFERROR(__xludf.DUMMYFUNCTION("""COMPUTED_VALUE"""),"Processing")</f>
        <v>Processing</v>
      </c>
      <c r="M313" s="2" t="str">
        <f>IFERROR(__xludf.DUMMYFUNCTION("""COMPUTED_VALUE"""),"AED")</f>
        <v>AED</v>
      </c>
      <c r="N313" s="2" t="str">
        <f>IFERROR(__xludf.DUMMYFUNCTION("""COMPUTED_VALUE"""),"Credit, Debit , Apple Pay")</f>
        <v>Credit, Debit , Apple Pay</v>
      </c>
      <c r="O313" s="4">
        <f>IFERROR(__xludf.DUMMYFUNCTION("""COMPUTED_VALUE"""),0.0)</f>
        <v>0</v>
      </c>
      <c r="P313" s="2">
        <f>IFERROR(__xludf.DUMMYFUNCTION("""COMPUTED_VALUE"""),20.0)</f>
        <v>20</v>
      </c>
      <c r="Q313" s="2">
        <f>IFERROR(__xludf.DUMMYFUNCTION("""COMPUTED_VALUE"""),4.0)</f>
        <v>4</v>
      </c>
      <c r="R313" s="2">
        <f>IFERROR(__xludf.DUMMYFUNCTION("""COMPUTED_VALUE"""),2025.0)</f>
        <v>2025</v>
      </c>
      <c r="S313" s="2" t="str">
        <f>IFERROR(__xludf.DUMMYFUNCTION("""COMPUTED_VALUE"""),"Digizag")</f>
        <v>Digizag</v>
      </c>
      <c r="T313" s="2" t="str">
        <f>IFERROR(__xludf.DUMMYFUNCTION("""COMPUTED_VALUE"""),"Digizag")</f>
        <v>Digizag</v>
      </c>
      <c r="U313" s="5">
        <f>IFERROR(__xludf.DUMMYFUNCTION("""COMPUTED_VALUE"""),1068.12525682982)</f>
        <v>1068.125257</v>
      </c>
      <c r="V313" s="2"/>
      <c r="W313" s="2"/>
      <c r="X313" s="2"/>
      <c r="Y313" s="2"/>
      <c r="Z313" s="2"/>
    </row>
    <row r="314">
      <c r="A314" s="6">
        <f>IFERROR(__xludf.DUMMYFUNCTION("""COMPUTED_VALUE"""),45767.20101851851)</f>
        <v>45767.20102</v>
      </c>
      <c r="B314" s="2" t="str">
        <f>IFERROR(__xludf.DUMMYFUNCTION("""COMPUTED_VALUE"""),"April")</f>
        <v>April</v>
      </c>
      <c r="C314" s="3">
        <f>IFERROR(__xludf.DUMMYFUNCTION("""COMPUTED_VALUE"""),718371.0)</f>
        <v>718371</v>
      </c>
      <c r="D314" s="2" t="str">
        <f>IFERROR(__xludf.DUMMYFUNCTION("""COMPUTED_VALUE"""),"DB1")</f>
        <v>DB1</v>
      </c>
      <c r="E314" s="2" t="str">
        <f>IFERROR(__xludf.DUMMYFUNCTION("""COMPUTED_VALUE"""),"Imported from file Digizag.xlsx")</f>
        <v>Imported from file Digizag.xlsx</v>
      </c>
      <c r="F314" s="2" t="str">
        <f>IFERROR(__xludf.DUMMYFUNCTION("""COMPUTED_VALUE"""),"GUL363090")</f>
        <v>GUL363090</v>
      </c>
      <c r="G314" s="2" t="str">
        <f>IFERROR(__xludf.DUMMYFUNCTION("""COMPUTED_VALUE"""),"UAE")</f>
        <v>UAE</v>
      </c>
      <c r="H314" s="4">
        <f>IFERROR(__xludf.DUMMYFUNCTION("""COMPUTED_VALUE"""),219.8)</f>
        <v>219.8</v>
      </c>
      <c r="I314" s="3">
        <f>IFERROR(__xludf.DUMMYFUNCTION("""COMPUTED_VALUE"""),0.0)</f>
        <v>0</v>
      </c>
      <c r="J314" s="4">
        <f>IFERROR(__xludf.DUMMYFUNCTION("""COMPUTED_VALUE"""),21.98)</f>
        <v>21.98</v>
      </c>
      <c r="K314" s="2"/>
      <c r="L314" s="2" t="str">
        <f>IFERROR(__xludf.DUMMYFUNCTION("""COMPUTED_VALUE"""),"Delivered")</f>
        <v>Delivered</v>
      </c>
      <c r="M314" s="2" t="str">
        <f>IFERROR(__xludf.DUMMYFUNCTION("""COMPUTED_VALUE"""),"AED")</f>
        <v>AED</v>
      </c>
      <c r="N314" s="2" t="str">
        <f>IFERROR(__xludf.DUMMYFUNCTION("""COMPUTED_VALUE"""),"Cash")</f>
        <v>Cash</v>
      </c>
      <c r="O314" s="4">
        <f>IFERROR(__xludf.DUMMYFUNCTION("""COMPUTED_VALUE"""),0.0)</f>
        <v>0</v>
      </c>
      <c r="P314" s="2">
        <f>IFERROR(__xludf.DUMMYFUNCTION("""COMPUTED_VALUE"""),20.0)</f>
        <v>20</v>
      </c>
      <c r="Q314" s="2">
        <f>IFERROR(__xludf.DUMMYFUNCTION("""COMPUTED_VALUE"""),4.0)</f>
        <v>4</v>
      </c>
      <c r="R314" s="2">
        <f>IFERROR(__xludf.DUMMYFUNCTION("""COMPUTED_VALUE"""),2025.0)</f>
        <v>2025</v>
      </c>
      <c r="S314" s="2" t="str">
        <f>IFERROR(__xludf.DUMMYFUNCTION("""COMPUTED_VALUE"""),"Digizag")</f>
        <v>Digizag</v>
      </c>
      <c r="T314" s="2" t="str">
        <f>IFERROR(__xludf.DUMMYFUNCTION("""COMPUTED_VALUE"""),"Digizag")</f>
        <v>Digizag</v>
      </c>
      <c r="U314" s="5">
        <f>IFERROR(__xludf.DUMMYFUNCTION("""COMPUTED_VALUE"""),59.850238344400005)</f>
        <v>59.85023834</v>
      </c>
      <c r="V314" s="2"/>
      <c r="W314" s="2"/>
      <c r="X314" s="2"/>
      <c r="Y314" s="2"/>
      <c r="Z314" s="2"/>
    </row>
    <row r="315">
      <c r="A315" s="6">
        <f>IFERROR(__xludf.DUMMYFUNCTION("""COMPUTED_VALUE"""),45767.358206018514)</f>
        <v>45767.35821</v>
      </c>
      <c r="B315" s="2" t="str">
        <f>IFERROR(__xludf.DUMMYFUNCTION("""COMPUTED_VALUE"""),"April")</f>
        <v>April</v>
      </c>
      <c r="C315" s="3">
        <f>IFERROR(__xludf.DUMMYFUNCTION("""COMPUTED_VALUE"""),720606.0)</f>
        <v>720606</v>
      </c>
      <c r="D315" s="2" t="str">
        <f>IFERROR(__xludf.DUMMYFUNCTION("""COMPUTED_VALUE"""),"MNN16")</f>
        <v>MNN16</v>
      </c>
      <c r="E315" s="2" t="str">
        <f>IFERROR(__xludf.DUMMYFUNCTION("""COMPUTED_VALUE"""),"Imported from file DigiZag Bidding Codes.xlsx")</f>
        <v>Imported from file DigiZag Bidding Codes.xlsx</v>
      </c>
      <c r="F315" s="2" t="str">
        <f>IFERROR(__xludf.DUMMYFUNCTION("""COMPUTED_VALUE"""),"CMC480122")</f>
        <v>CMC480122</v>
      </c>
      <c r="G315" s="2" t="str">
        <f>IFERROR(__xludf.DUMMYFUNCTION("""COMPUTED_VALUE"""),"Kingdom of Saudi Arabia")</f>
        <v>Kingdom of Saudi Arabia</v>
      </c>
      <c r="H315" s="4">
        <f>IFERROR(__xludf.DUMMYFUNCTION("""COMPUTED_VALUE"""),216.52)</f>
        <v>216.52</v>
      </c>
      <c r="I315" s="3">
        <f>IFERROR(__xludf.DUMMYFUNCTION("""COMPUTED_VALUE"""),0.0)</f>
        <v>0</v>
      </c>
      <c r="J315" s="4">
        <f>IFERROR(__xludf.DUMMYFUNCTION("""COMPUTED_VALUE"""),21.65)</f>
        <v>21.65</v>
      </c>
      <c r="K315" s="2"/>
      <c r="L315" s="2" t="str">
        <f>IFERROR(__xludf.DUMMYFUNCTION("""COMPUTED_VALUE"""),"Processing")</f>
        <v>Processing</v>
      </c>
      <c r="M315" s="2" t="str">
        <f>IFERROR(__xludf.DUMMYFUNCTION("""COMPUTED_VALUE"""),"SAR")</f>
        <v>SAR</v>
      </c>
      <c r="N315" s="2" t="str">
        <f>IFERROR(__xludf.DUMMYFUNCTION("""COMPUTED_VALUE"""),"Pay in 4. No interest, no fees")</f>
        <v>Pay in 4. No interest, no fees</v>
      </c>
      <c r="O315" s="4">
        <f>IFERROR(__xludf.DUMMYFUNCTION("""COMPUTED_VALUE"""),0.0)</f>
        <v>0</v>
      </c>
      <c r="P315" s="2">
        <f>IFERROR(__xludf.DUMMYFUNCTION("""COMPUTED_VALUE"""),20.0)</f>
        <v>20</v>
      </c>
      <c r="Q315" s="2">
        <f>IFERROR(__xludf.DUMMYFUNCTION("""COMPUTED_VALUE"""),4.0)</f>
        <v>4</v>
      </c>
      <c r="R315" s="2">
        <f>IFERROR(__xludf.DUMMYFUNCTION("""COMPUTED_VALUE"""),2025.0)</f>
        <v>2025</v>
      </c>
      <c r="S315" s="2" t="str">
        <f>IFERROR(__xludf.DUMMYFUNCTION("""COMPUTED_VALUE"""),"Digizag")</f>
        <v>Digizag</v>
      </c>
      <c r="T315" s="2" t="str">
        <f>IFERROR(__xludf.DUMMYFUNCTION("""COMPUTED_VALUE"""),"Digizag")</f>
        <v>Digizag</v>
      </c>
      <c r="U315" s="5">
        <f>IFERROR(__xludf.DUMMYFUNCTION("""COMPUTED_VALUE"""),57.73420187992001)</f>
        <v>57.73420188</v>
      </c>
      <c r="V315" s="2"/>
      <c r="W315" s="2"/>
      <c r="X315" s="2"/>
      <c r="Y315" s="2"/>
      <c r="Z315" s="2"/>
    </row>
    <row r="316">
      <c r="A316" s="6">
        <f>IFERROR(__xludf.DUMMYFUNCTION("""COMPUTED_VALUE"""),45767.59085648148)</f>
        <v>45767.59086</v>
      </c>
      <c r="B316" s="2" t="str">
        <f>IFERROR(__xludf.DUMMYFUNCTION("""COMPUTED_VALUE"""),"April")</f>
        <v>April</v>
      </c>
      <c r="C316" s="3">
        <f>IFERROR(__xludf.DUMMYFUNCTION("""COMPUTED_VALUE"""),650612.0)</f>
        <v>650612</v>
      </c>
      <c r="D316" s="2" t="str">
        <f>IFERROR(__xludf.DUMMYFUNCTION("""COMPUTED_VALUE"""),"DB1")</f>
        <v>DB1</v>
      </c>
      <c r="E316" s="2" t="str">
        <f>IFERROR(__xludf.DUMMYFUNCTION("""COMPUTED_VALUE"""),"Imported from file Digizag.xlsx")</f>
        <v>Imported from file Digizag.xlsx</v>
      </c>
      <c r="F316" s="2" t="str">
        <f>IFERROR(__xludf.DUMMYFUNCTION("""COMPUTED_VALUE"""),"DBC597264")</f>
        <v>DBC597264</v>
      </c>
      <c r="G316" s="2" t="str">
        <f>IFERROR(__xludf.DUMMYFUNCTION("""COMPUTED_VALUE"""),"Kuwait")</f>
        <v>Kuwait</v>
      </c>
      <c r="H316" s="4">
        <f>IFERROR(__xludf.DUMMYFUNCTION("""COMPUTED_VALUE"""),12.5)</f>
        <v>12.5</v>
      </c>
      <c r="I316" s="3">
        <f>IFERROR(__xludf.DUMMYFUNCTION("""COMPUTED_VALUE"""),0.0)</f>
        <v>0</v>
      </c>
      <c r="J316" s="4">
        <f>IFERROR(__xludf.DUMMYFUNCTION("""COMPUTED_VALUE"""),1.25)</f>
        <v>1.25</v>
      </c>
      <c r="K316" s="2"/>
      <c r="L316" s="2" t="str">
        <f>IFERROR(__xludf.DUMMYFUNCTION("""COMPUTED_VALUE"""),"Delivered")</f>
        <v>Delivered</v>
      </c>
      <c r="M316" s="2" t="str">
        <f>IFERROR(__xludf.DUMMYFUNCTION("""COMPUTED_VALUE"""),"KD")</f>
        <v>KD</v>
      </c>
      <c r="N316" s="2" t="str">
        <f>IFERROR(__xludf.DUMMYFUNCTION("""COMPUTED_VALUE"""),"Cash")</f>
        <v>Cash</v>
      </c>
      <c r="O316" s="4">
        <f>IFERROR(__xludf.DUMMYFUNCTION("""COMPUTED_VALUE"""),0.0)</f>
        <v>0</v>
      </c>
      <c r="P316" s="2">
        <f>IFERROR(__xludf.DUMMYFUNCTION("""COMPUTED_VALUE"""),20.0)</f>
        <v>20</v>
      </c>
      <c r="Q316" s="2">
        <f>IFERROR(__xludf.DUMMYFUNCTION("""COMPUTED_VALUE"""),4.0)</f>
        <v>4</v>
      </c>
      <c r="R316" s="2">
        <f>IFERROR(__xludf.DUMMYFUNCTION("""COMPUTED_VALUE"""),2025.0)</f>
        <v>2025</v>
      </c>
      <c r="S316" s="2" t="str">
        <f>IFERROR(__xludf.DUMMYFUNCTION("""COMPUTED_VALUE"""),"Digizag")</f>
        <v>Digizag</v>
      </c>
      <c r="T316" s="2" t="str">
        <f>IFERROR(__xludf.DUMMYFUNCTION("""COMPUTED_VALUE"""),"Digizag")</f>
        <v>Digizag</v>
      </c>
      <c r="U316" s="5">
        <f>IFERROR(__xludf.DUMMYFUNCTION("""COMPUTED_VALUE"""),40.75775)</f>
        <v>40.75775</v>
      </c>
      <c r="V316" s="2"/>
      <c r="W316" s="2"/>
      <c r="X316" s="2"/>
      <c r="Y316" s="2"/>
      <c r="Z316" s="2"/>
    </row>
    <row r="317">
      <c r="A317" s="6">
        <f>IFERROR(__xludf.DUMMYFUNCTION("""COMPUTED_VALUE"""),45768.009629629625)</f>
        <v>45768.00963</v>
      </c>
      <c r="B317" s="2" t="str">
        <f>IFERROR(__xludf.DUMMYFUNCTION("""COMPUTED_VALUE"""),"April")</f>
        <v>April</v>
      </c>
      <c r="C317" s="3">
        <f>IFERROR(__xludf.DUMMYFUNCTION("""COMPUTED_VALUE"""),17821.0)</f>
        <v>17821</v>
      </c>
      <c r="D317" s="2" t="str">
        <f>IFERROR(__xludf.DUMMYFUNCTION("""COMPUTED_VALUE"""),"MNN16")</f>
        <v>MNN16</v>
      </c>
      <c r="E317" s="2" t="str">
        <f>IFERROR(__xludf.DUMMYFUNCTION("""COMPUTED_VALUE"""),"Imported from file DigiZag Bidding Codes.xlsx")</f>
        <v>Imported from file DigiZag Bidding Codes.xlsx</v>
      </c>
      <c r="F317" s="2" t="str">
        <f>IFERROR(__xludf.DUMMYFUNCTION("""COMPUTED_VALUE"""),"GQG339717")</f>
        <v>GQG339717</v>
      </c>
      <c r="G317" s="2" t="str">
        <f>IFERROR(__xludf.DUMMYFUNCTION("""COMPUTED_VALUE"""),"Kingdom of Saudi Arabia")</f>
        <v>Kingdom of Saudi Arabia</v>
      </c>
      <c r="H317" s="4">
        <f>IFERROR(__xludf.DUMMYFUNCTION("""COMPUTED_VALUE"""),218.67)</f>
        <v>218.67</v>
      </c>
      <c r="I317" s="3">
        <f>IFERROR(__xludf.DUMMYFUNCTION("""COMPUTED_VALUE"""),0.0)</f>
        <v>0</v>
      </c>
      <c r="J317" s="4">
        <f>IFERROR(__xludf.DUMMYFUNCTION("""COMPUTED_VALUE"""),21.86)</f>
        <v>21.86</v>
      </c>
      <c r="K317" s="2"/>
      <c r="L317" s="2" t="str">
        <f>IFERROR(__xludf.DUMMYFUNCTION("""COMPUTED_VALUE"""),"Delivered")</f>
        <v>Delivered</v>
      </c>
      <c r="M317" s="2" t="str">
        <f>IFERROR(__xludf.DUMMYFUNCTION("""COMPUTED_VALUE"""),"SAR")</f>
        <v>SAR</v>
      </c>
      <c r="N317" s="2" t="str">
        <f>IFERROR(__xludf.DUMMYFUNCTION("""COMPUTED_VALUE"""),"Credit, Debit, Apple Pay")</f>
        <v>Credit, Debit, Apple Pay</v>
      </c>
      <c r="O317" s="4">
        <f>IFERROR(__xludf.DUMMYFUNCTION("""COMPUTED_VALUE"""),0.0)</f>
        <v>0</v>
      </c>
      <c r="P317" s="2">
        <f>IFERROR(__xludf.DUMMYFUNCTION("""COMPUTED_VALUE"""),21.0)</f>
        <v>21</v>
      </c>
      <c r="Q317" s="2">
        <f>IFERROR(__xludf.DUMMYFUNCTION("""COMPUTED_VALUE"""),4.0)</f>
        <v>4</v>
      </c>
      <c r="R317" s="2">
        <f>IFERROR(__xludf.DUMMYFUNCTION("""COMPUTED_VALUE"""),2025.0)</f>
        <v>2025</v>
      </c>
      <c r="S317" s="2" t="str">
        <f>IFERROR(__xludf.DUMMYFUNCTION("""COMPUTED_VALUE"""),"Digizag")</f>
        <v>Digizag</v>
      </c>
      <c r="T317" s="2" t="str">
        <f>IFERROR(__xludf.DUMMYFUNCTION("""COMPUTED_VALUE"""),"Digizag")</f>
        <v>Digizag</v>
      </c>
      <c r="U317" s="5">
        <f>IFERROR(__xludf.DUMMYFUNCTION("""COMPUTED_VALUE"""),58.307490878820005)</f>
        <v>58.30749088</v>
      </c>
      <c r="V317" s="2"/>
      <c r="W317" s="2"/>
      <c r="X317" s="2"/>
      <c r="Y317" s="2"/>
      <c r="Z317" s="2"/>
    </row>
    <row r="318">
      <c r="A318" s="6">
        <f>IFERROR(__xludf.DUMMYFUNCTION("""COMPUTED_VALUE"""),45768.5336574074)</f>
        <v>45768.53366</v>
      </c>
      <c r="B318" s="2" t="str">
        <f>IFERROR(__xludf.DUMMYFUNCTION("""COMPUTED_VALUE"""),"April")</f>
        <v>April</v>
      </c>
      <c r="C318" s="3">
        <f>IFERROR(__xludf.DUMMYFUNCTION("""COMPUTED_VALUE"""),723413.0)</f>
        <v>723413</v>
      </c>
      <c r="D318" s="2" t="str">
        <f>IFERROR(__xludf.DUMMYFUNCTION("""COMPUTED_VALUE"""),"MNN16")</f>
        <v>MNN16</v>
      </c>
      <c r="E318" s="2" t="str">
        <f>IFERROR(__xludf.DUMMYFUNCTION("""COMPUTED_VALUE"""),"Imported from file DigiZag Bidding Codes.xlsx")</f>
        <v>Imported from file DigiZag Bidding Codes.xlsx</v>
      </c>
      <c r="F318" s="2" t="str">
        <f>IFERROR(__xludf.DUMMYFUNCTION("""COMPUTED_VALUE"""),"APK762618")</f>
        <v>APK762618</v>
      </c>
      <c r="G318" s="2" t="str">
        <f>IFERROR(__xludf.DUMMYFUNCTION("""COMPUTED_VALUE"""),"Kingdom of Saudi Arabia")</f>
        <v>Kingdom of Saudi Arabia</v>
      </c>
      <c r="H318" s="4">
        <f>IFERROR(__xludf.DUMMYFUNCTION("""COMPUTED_VALUE"""),412.79)</f>
        <v>412.79</v>
      </c>
      <c r="I318" s="3">
        <f>IFERROR(__xludf.DUMMYFUNCTION("""COMPUTED_VALUE"""),0.0)</f>
        <v>0</v>
      </c>
      <c r="J318" s="4">
        <f>IFERROR(__xludf.DUMMYFUNCTION("""COMPUTED_VALUE"""),41.27)</f>
        <v>41.27</v>
      </c>
      <c r="K318" s="2"/>
      <c r="L318" s="2" t="str">
        <f>IFERROR(__xludf.DUMMYFUNCTION("""COMPUTED_VALUE"""),"Delivered")</f>
        <v>Delivered</v>
      </c>
      <c r="M318" s="2" t="str">
        <f>IFERROR(__xludf.DUMMYFUNCTION("""COMPUTED_VALUE"""),"SAR")</f>
        <v>SAR</v>
      </c>
      <c r="N318" s="2" t="str">
        <f>IFERROR(__xludf.DUMMYFUNCTION("""COMPUTED_VALUE"""),"Pay in 4. No interest, no fees")</f>
        <v>Pay in 4. No interest, no fees</v>
      </c>
      <c r="O318" s="4">
        <f>IFERROR(__xludf.DUMMYFUNCTION("""COMPUTED_VALUE"""),0.0)</f>
        <v>0</v>
      </c>
      <c r="P318" s="2">
        <f>IFERROR(__xludf.DUMMYFUNCTION("""COMPUTED_VALUE"""),21.0)</f>
        <v>21</v>
      </c>
      <c r="Q318" s="2">
        <f>IFERROR(__xludf.DUMMYFUNCTION("""COMPUTED_VALUE"""),4.0)</f>
        <v>4</v>
      </c>
      <c r="R318" s="2">
        <f>IFERROR(__xludf.DUMMYFUNCTION("""COMPUTED_VALUE"""),2025.0)</f>
        <v>2025</v>
      </c>
      <c r="S318" s="2" t="str">
        <f>IFERROR(__xludf.DUMMYFUNCTION("""COMPUTED_VALUE"""),"Digizag")</f>
        <v>Digizag</v>
      </c>
      <c r="T318" s="2" t="str">
        <f>IFERROR(__xludf.DUMMYFUNCTION("""COMPUTED_VALUE"""),"Digizag")</f>
        <v>Digizag</v>
      </c>
      <c r="U318" s="5">
        <f>IFERROR(__xludf.DUMMYFUNCTION("""COMPUTED_VALUE"""),110.06882132834002)</f>
        <v>110.0688213</v>
      </c>
      <c r="V318" s="2"/>
      <c r="W318" s="2"/>
      <c r="X318" s="2"/>
      <c r="Y318" s="2"/>
      <c r="Z318" s="2"/>
    </row>
    <row r="319">
      <c r="A319" s="6">
        <f>IFERROR(__xludf.DUMMYFUNCTION("""COMPUTED_VALUE"""),45768.69700231481)</f>
        <v>45768.697</v>
      </c>
      <c r="B319" s="2" t="str">
        <f>IFERROR(__xludf.DUMMYFUNCTION("""COMPUTED_VALUE"""),"April")</f>
        <v>April</v>
      </c>
      <c r="C319" s="3">
        <f>IFERROR(__xludf.DUMMYFUNCTION("""COMPUTED_VALUE"""),428680.0)</f>
        <v>428680</v>
      </c>
      <c r="D319" s="2" t="str">
        <f>IFERROR(__xludf.DUMMYFUNCTION("""COMPUTED_VALUE"""),"MNN16")</f>
        <v>MNN16</v>
      </c>
      <c r="E319" s="2" t="str">
        <f>IFERROR(__xludf.DUMMYFUNCTION("""COMPUTED_VALUE"""),"Imported from file DigiZag Codes 25Feb25.xlsx")</f>
        <v>Imported from file DigiZag Codes 25Feb25.xlsx</v>
      </c>
      <c r="F319" s="2" t="str">
        <f>IFERROR(__xludf.DUMMYFUNCTION("""COMPUTED_VALUE"""),"AXS457470")</f>
        <v>AXS457470</v>
      </c>
      <c r="G319" s="2" t="str">
        <f>IFERROR(__xludf.DUMMYFUNCTION("""COMPUTED_VALUE"""),"Kuwait")</f>
        <v>Kuwait</v>
      </c>
      <c r="H319" s="4">
        <f>IFERROR(__xludf.DUMMYFUNCTION("""COMPUTED_VALUE"""),16.2)</f>
        <v>16.2</v>
      </c>
      <c r="I319" s="3">
        <f>IFERROR(__xludf.DUMMYFUNCTION("""COMPUTED_VALUE"""),0.0)</f>
        <v>0</v>
      </c>
      <c r="J319" s="4">
        <f>IFERROR(__xludf.DUMMYFUNCTION("""COMPUTED_VALUE"""),1.62)</f>
        <v>1.62</v>
      </c>
      <c r="K319" s="2"/>
      <c r="L319" s="2" t="str">
        <f>IFERROR(__xludf.DUMMYFUNCTION("""COMPUTED_VALUE"""),"Processing")</f>
        <v>Processing</v>
      </c>
      <c r="M319" s="2" t="str">
        <f>IFERROR(__xludf.DUMMYFUNCTION("""COMPUTED_VALUE"""),"KD")</f>
        <v>KD</v>
      </c>
      <c r="N319" s="2" t="str">
        <f>IFERROR(__xludf.DUMMYFUNCTION("""COMPUTED_VALUE"""),"Credit, Debit, Knet")</f>
        <v>Credit, Debit, Knet</v>
      </c>
      <c r="O319" s="4">
        <f>IFERROR(__xludf.DUMMYFUNCTION("""COMPUTED_VALUE"""),0.0)</f>
        <v>0</v>
      </c>
      <c r="P319" s="2">
        <f>IFERROR(__xludf.DUMMYFUNCTION("""COMPUTED_VALUE"""),21.0)</f>
        <v>21</v>
      </c>
      <c r="Q319" s="2">
        <f>IFERROR(__xludf.DUMMYFUNCTION("""COMPUTED_VALUE"""),4.0)</f>
        <v>4</v>
      </c>
      <c r="R319" s="2">
        <f>IFERROR(__xludf.DUMMYFUNCTION("""COMPUTED_VALUE"""),2025.0)</f>
        <v>2025</v>
      </c>
      <c r="S319" s="2" t="str">
        <f>IFERROR(__xludf.DUMMYFUNCTION("""COMPUTED_VALUE"""),"Digizag")</f>
        <v>Digizag</v>
      </c>
      <c r="T319" s="2" t="str">
        <f>IFERROR(__xludf.DUMMYFUNCTION("""COMPUTED_VALUE"""),"Digizag")</f>
        <v>Digizag</v>
      </c>
      <c r="U319" s="5">
        <f>IFERROR(__xludf.DUMMYFUNCTION("""COMPUTED_VALUE"""),52.822044)</f>
        <v>52.822044</v>
      </c>
      <c r="V319" s="2"/>
      <c r="W319" s="2"/>
      <c r="X319" s="2"/>
      <c r="Y319" s="2"/>
      <c r="Z319" s="2"/>
    </row>
    <row r="320">
      <c r="A320" s="6">
        <f>IFERROR(__xludf.DUMMYFUNCTION("""COMPUTED_VALUE"""),45768.766689814816)</f>
        <v>45768.76669</v>
      </c>
      <c r="B320" s="2" t="str">
        <f>IFERROR(__xludf.DUMMYFUNCTION("""COMPUTED_VALUE"""),"April")</f>
        <v>April</v>
      </c>
      <c r="C320" s="3">
        <f>IFERROR(__xludf.DUMMYFUNCTION("""COMPUTED_VALUE"""),553359.0)</f>
        <v>553359</v>
      </c>
      <c r="D320" s="2" t="str">
        <f>IFERROR(__xludf.DUMMYFUNCTION("""COMPUTED_VALUE"""),"DB3")</f>
        <v>DB3</v>
      </c>
      <c r="E320" s="2" t="str">
        <f>IFERROR(__xludf.DUMMYFUNCTION("""COMPUTED_VALUE"""),"Imported from file Digizag.xlsx")</f>
        <v>Imported from file Digizag.xlsx</v>
      </c>
      <c r="F320" s="2" t="str">
        <f>IFERROR(__xludf.DUMMYFUNCTION("""COMPUTED_VALUE"""),"GMX342519")</f>
        <v>GMX342519</v>
      </c>
      <c r="G320" s="2" t="str">
        <f>IFERROR(__xludf.DUMMYFUNCTION("""COMPUTED_VALUE"""),"Kingdom of Saudi Arabia")</f>
        <v>Kingdom of Saudi Arabia</v>
      </c>
      <c r="H320" s="4">
        <f>IFERROR(__xludf.DUMMYFUNCTION("""COMPUTED_VALUE"""),218.04)</f>
        <v>218.04</v>
      </c>
      <c r="I320" s="3">
        <f>IFERROR(__xludf.DUMMYFUNCTION("""COMPUTED_VALUE"""),0.0)</f>
        <v>0</v>
      </c>
      <c r="J320" s="4">
        <f>IFERROR(__xludf.DUMMYFUNCTION("""COMPUTED_VALUE"""),21.8)</f>
        <v>21.8</v>
      </c>
      <c r="K320" s="2"/>
      <c r="L320" s="2" t="str">
        <f>IFERROR(__xludf.DUMMYFUNCTION("""COMPUTED_VALUE"""),"Processing")</f>
        <v>Processing</v>
      </c>
      <c r="M320" s="2" t="str">
        <f>IFERROR(__xludf.DUMMYFUNCTION("""COMPUTED_VALUE"""),"SAR")</f>
        <v>SAR</v>
      </c>
      <c r="N320" s="2" t="str">
        <f>IFERROR(__xludf.DUMMYFUNCTION("""COMPUTED_VALUE"""),"Credit, Debit, Apple Pay")</f>
        <v>Credit, Debit, Apple Pay</v>
      </c>
      <c r="O320" s="4">
        <f>IFERROR(__xludf.DUMMYFUNCTION("""COMPUTED_VALUE"""),0.0)</f>
        <v>0</v>
      </c>
      <c r="P320" s="2">
        <f>IFERROR(__xludf.DUMMYFUNCTION("""COMPUTED_VALUE"""),21.0)</f>
        <v>21</v>
      </c>
      <c r="Q320" s="2">
        <f>IFERROR(__xludf.DUMMYFUNCTION("""COMPUTED_VALUE"""),4.0)</f>
        <v>4</v>
      </c>
      <c r="R320" s="2">
        <f>IFERROR(__xludf.DUMMYFUNCTION("""COMPUTED_VALUE"""),2025.0)</f>
        <v>2025</v>
      </c>
      <c r="S320" s="2" t="str">
        <f>IFERROR(__xludf.DUMMYFUNCTION("""COMPUTED_VALUE"""),"Digizag")</f>
        <v>Digizag</v>
      </c>
      <c r="T320" s="2" t="str">
        <f>IFERROR(__xludf.DUMMYFUNCTION("""COMPUTED_VALUE"""),"Digizag")</f>
        <v>Digizag</v>
      </c>
      <c r="U320" s="5">
        <f>IFERROR(__xludf.DUMMYFUNCTION("""COMPUTED_VALUE"""),58.139503869840006)</f>
        <v>58.13950387</v>
      </c>
      <c r="V320" s="2"/>
      <c r="W320" s="2"/>
      <c r="X320" s="2"/>
      <c r="Y320" s="2"/>
      <c r="Z320" s="2"/>
    </row>
    <row r="321">
      <c r="A321" s="6">
        <f>IFERROR(__xludf.DUMMYFUNCTION("""COMPUTED_VALUE"""),45768.878657407404)</f>
        <v>45768.87866</v>
      </c>
      <c r="B321" s="2" t="str">
        <f>IFERROR(__xludf.DUMMYFUNCTION("""COMPUTED_VALUE"""),"April")</f>
        <v>April</v>
      </c>
      <c r="C321" s="3">
        <f>IFERROR(__xludf.DUMMYFUNCTION("""COMPUTED_VALUE"""),355455.0)</f>
        <v>355455</v>
      </c>
      <c r="D321" s="2" t="str">
        <f>IFERROR(__xludf.DUMMYFUNCTION("""COMPUTED_VALUE"""),"DB1")</f>
        <v>DB1</v>
      </c>
      <c r="E321" s="2" t="str">
        <f>IFERROR(__xludf.DUMMYFUNCTION("""COMPUTED_VALUE"""),"Imported from file Digizag.xlsx")</f>
        <v>Imported from file Digizag.xlsx</v>
      </c>
      <c r="F321" s="2" t="str">
        <f>IFERROR(__xludf.DUMMYFUNCTION("""COMPUTED_VALUE"""),"AUW778927")</f>
        <v>AUW778927</v>
      </c>
      <c r="G321" s="2" t="str">
        <f>IFERROR(__xludf.DUMMYFUNCTION("""COMPUTED_VALUE"""),"Kuwait")</f>
        <v>Kuwait</v>
      </c>
      <c r="H321" s="4">
        <f>IFERROR(__xludf.DUMMYFUNCTION("""COMPUTED_VALUE"""),15.95)</f>
        <v>15.95</v>
      </c>
      <c r="I321" s="3">
        <f>IFERROR(__xludf.DUMMYFUNCTION("""COMPUTED_VALUE"""),0.0)</f>
        <v>0</v>
      </c>
      <c r="J321" s="4">
        <f>IFERROR(__xludf.DUMMYFUNCTION("""COMPUTED_VALUE"""),1.595)</f>
        <v>1.595</v>
      </c>
      <c r="K321" s="2"/>
      <c r="L321" s="2" t="str">
        <f>IFERROR(__xludf.DUMMYFUNCTION("""COMPUTED_VALUE"""),"Processing")</f>
        <v>Processing</v>
      </c>
      <c r="M321" s="2" t="str">
        <f>IFERROR(__xludf.DUMMYFUNCTION("""COMPUTED_VALUE"""),"KD")</f>
        <v>KD</v>
      </c>
      <c r="N321" s="2" t="str">
        <f>IFERROR(__xludf.DUMMYFUNCTION("""COMPUTED_VALUE"""),"Cash")</f>
        <v>Cash</v>
      </c>
      <c r="O321" s="4">
        <f>IFERROR(__xludf.DUMMYFUNCTION("""COMPUTED_VALUE"""),0.0)</f>
        <v>0</v>
      </c>
      <c r="P321" s="2">
        <f>IFERROR(__xludf.DUMMYFUNCTION("""COMPUTED_VALUE"""),21.0)</f>
        <v>21</v>
      </c>
      <c r="Q321" s="2">
        <f>IFERROR(__xludf.DUMMYFUNCTION("""COMPUTED_VALUE"""),4.0)</f>
        <v>4</v>
      </c>
      <c r="R321" s="2">
        <f>IFERROR(__xludf.DUMMYFUNCTION("""COMPUTED_VALUE"""),2025.0)</f>
        <v>2025</v>
      </c>
      <c r="S321" s="2" t="str">
        <f>IFERROR(__xludf.DUMMYFUNCTION("""COMPUTED_VALUE"""),"Digizag")</f>
        <v>Digizag</v>
      </c>
      <c r="T321" s="2" t="str">
        <f>IFERROR(__xludf.DUMMYFUNCTION("""COMPUTED_VALUE"""),"Digizag")</f>
        <v>Digizag</v>
      </c>
      <c r="U321" s="5">
        <f>IFERROR(__xludf.DUMMYFUNCTION("""COMPUTED_VALUE"""),52.006888999999994)</f>
        <v>52.006889</v>
      </c>
      <c r="V321" s="2"/>
      <c r="W321" s="2"/>
      <c r="X321" s="2"/>
      <c r="Y321" s="2"/>
      <c r="Z321" s="2"/>
    </row>
    <row r="322">
      <c r="A322" s="6">
        <f>IFERROR(__xludf.DUMMYFUNCTION("""COMPUTED_VALUE"""),45769.206932870366)</f>
        <v>45769.20693</v>
      </c>
      <c r="B322" s="2" t="str">
        <f>IFERROR(__xludf.DUMMYFUNCTION("""COMPUTED_VALUE"""),"April")</f>
        <v>April</v>
      </c>
      <c r="C322" s="3">
        <f>IFERROR(__xludf.DUMMYFUNCTION("""COMPUTED_VALUE"""),326196.0)</f>
        <v>326196</v>
      </c>
      <c r="D322" s="2" t="str">
        <f>IFERROR(__xludf.DUMMYFUNCTION("""COMPUTED_VALUE"""),"DB3")</f>
        <v>DB3</v>
      </c>
      <c r="E322" s="2" t="str">
        <f>IFERROR(__xludf.DUMMYFUNCTION("""COMPUTED_VALUE"""),"Imported from file Digizag.xlsx")</f>
        <v>Imported from file Digizag.xlsx</v>
      </c>
      <c r="F322" s="2" t="str">
        <f>IFERROR(__xludf.DUMMYFUNCTION("""COMPUTED_VALUE"""),"NVP653761")</f>
        <v>NVP653761</v>
      </c>
      <c r="G322" s="2" t="str">
        <f>IFERROR(__xludf.DUMMYFUNCTION("""COMPUTED_VALUE"""),"Kingdom of Saudi Arabia")</f>
        <v>Kingdom of Saudi Arabia</v>
      </c>
      <c r="H322" s="4">
        <f>IFERROR(__xludf.DUMMYFUNCTION("""COMPUTED_VALUE"""),159.09)</f>
        <v>159.09</v>
      </c>
      <c r="I322" s="3">
        <f>IFERROR(__xludf.DUMMYFUNCTION("""COMPUTED_VALUE"""),1.0)</f>
        <v>1</v>
      </c>
      <c r="J322" s="4">
        <f>IFERROR(__xludf.DUMMYFUNCTION("""COMPUTED_VALUE"""),15.9)</f>
        <v>15.9</v>
      </c>
      <c r="K322" s="2"/>
      <c r="L322" s="2" t="str">
        <f>IFERROR(__xludf.DUMMYFUNCTION("""COMPUTED_VALUE"""),"Cancelled")</f>
        <v>Cancelled</v>
      </c>
      <c r="M322" s="2" t="str">
        <f>IFERROR(__xludf.DUMMYFUNCTION("""COMPUTED_VALUE"""),"SAR")</f>
        <v>SAR</v>
      </c>
      <c r="N322" s="2" t="str">
        <f>IFERROR(__xludf.DUMMYFUNCTION("""COMPUTED_VALUE"""),"Credit, Debit, Apple Pay")</f>
        <v>Credit, Debit, Apple Pay</v>
      </c>
      <c r="O322" s="4">
        <f>IFERROR(__xludf.DUMMYFUNCTION("""COMPUTED_VALUE"""),143.19)</f>
        <v>143.19</v>
      </c>
      <c r="P322" s="2">
        <f>IFERROR(__xludf.DUMMYFUNCTION("""COMPUTED_VALUE"""),22.0)</f>
        <v>22</v>
      </c>
      <c r="Q322" s="2">
        <f>IFERROR(__xludf.DUMMYFUNCTION("""COMPUTED_VALUE"""),4.0)</f>
        <v>4</v>
      </c>
      <c r="R322" s="2">
        <f>IFERROR(__xludf.DUMMYFUNCTION("""COMPUTED_VALUE"""),2025.0)</f>
        <v>2025</v>
      </c>
      <c r="S322" s="2" t="str">
        <f>IFERROR(__xludf.DUMMYFUNCTION("""COMPUTED_VALUE"""),"Digizag")</f>
        <v>Digizag</v>
      </c>
      <c r="T322" s="2" t="str">
        <f>IFERROR(__xludf.DUMMYFUNCTION("""COMPUTED_VALUE"""),"Digizag")</f>
        <v>Digizag</v>
      </c>
      <c r="U322" s="5">
        <f>IFERROR(__xludf.DUMMYFUNCTION("""COMPUTED_VALUE"""),42.420719458140006)</f>
        <v>42.42071946</v>
      </c>
      <c r="V322" s="2"/>
      <c r="W322" s="2"/>
      <c r="X322" s="2"/>
      <c r="Y322" s="2"/>
      <c r="Z322" s="2"/>
    </row>
    <row r="323">
      <c r="A323" s="6">
        <f>IFERROR(__xludf.DUMMYFUNCTION("""COMPUTED_VALUE"""),45769.45105324074)</f>
        <v>45769.45105</v>
      </c>
      <c r="B323" s="2" t="str">
        <f>IFERROR(__xludf.DUMMYFUNCTION("""COMPUTED_VALUE"""),"April")</f>
        <v>April</v>
      </c>
      <c r="C323" s="3">
        <f>IFERROR(__xludf.DUMMYFUNCTION("""COMPUTED_VALUE"""),723769.0)</f>
        <v>723769</v>
      </c>
      <c r="D323" s="2" t="str">
        <f>IFERROR(__xludf.DUMMYFUNCTION("""COMPUTED_VALUE"""),"DB1")</f>
        <v>DB1</v>
      </c>
      <c r="E323" s="2" t="str">
        <f>IFERROR(__xludf.DUMMYFUNCTION("""COMPUTED_VALUE"""),"Imported from file Digizag.xlsx")</f>
        <v>Imported from file Digizag.xlsx</v>
      </c>
      <c r="F323" s="2" t="str">
        <f>IFERROR(__xludf.DUMMYFUNCTION("""COMPUTED_VALUE"""),"LBE244276")</f>
        <v>LBE244276</v>
      </c>
      <c r="G323" s="2" t="str">
        <f>IFERROR(__xludf.DUMMYFUNCTION("""COMPUTED_VALUE"""),"Kuwait")</f>
        <v>Kuwait</v>
      </c>
      <c r="H323" s="4">
        <f>IFERROR(__xludf.DUMMYFUNCTION("""COMPUTED_VALUE"""),8.06)</f>
        <v>8.06</v>
      </c>
      <c r="I323" s="3">
        <f>IFERROR(__xludf.DUMMYFUNCTION("""COMPUTED_VALUE"""),0.0)</f>
        <v>0</v>
      </c>
      <c r="J323" s="4">
        <f>IFERROR(__xludf.DUMMYFUNCTION("""COMPUTED_VALUE"""),0.806)</f>
        <v>0.806</v>
      </c>
      <c r="K323" s="2"/>
      <c r="L323" s="2" t="str">
        <f>IFERROR(__xludf.DUMMYFUNCTION("""COMPUTED_VALUE"""),"Delivered")</f>
        <v>Delivered</v>
      </c>
      <c r="M323" s="2" t="str">
        <f>IFERROR(__xludf.DUMMYFUNCTION("""COMPUTED_VALUE"""),"KD")</f>
        <v>KD</v>
      </c>
      <c r="N323" s="2" t="str">
        <f>IFERROR(__xludf.DUMMYFUNCTION("""COMPUTED_VALUE"""),"Credit, Debit, Knet")</f>
        <v>Credit, Debit, Knet</v>
      </c>
      <c r="O323" s="4">
        <f>IFERROR(__xludf.DUMMYFUNCTION("""COMPUTED_VALUE"""),0.0)</f>
        <v>0</v>
      </c>
      <c r="P323" s="2">
        <f>IFERROR(__xludf.DUMMYFUNCTION("""COMPUTED_VALUE"""),22.0)</f>
        <v>22</v>
      </c>
      <c r="Q323" s="2">
        <f>IFERROR(__xludf.DUMMYFUNCTION("""COMPUTED_VALUE"""),4.0)</f>
        <v>4</v>
      </c>
      <c r="R323" s="2">
        <f>IFERROR(__xludf.DUMMYFUNCTION("""COMPUTED_VALUE"""),2025.0)</f>
        <v>2025</v>
      </c>
      <c r="S323" s="2" t="str">
        <f>IFERROR(__xludf.DUMMYFUNCTION("""COMPUTED_VALUE"""),"Digizag")</f>
        <v>Digizag</v>
      </c>
      <c r="T323" s="2" t="str">
        <f>IFERROR(__xludf.DUMMYFUNCTION("""COMPUTED_VALUE"""),"Digizag")</f>
        <v>Digizag</v>
      </c>
      <c r="U323" s="5">
        <f>IFERROR(__xludf.DUMMYFUNCTION("""COMPUTED_VALUE"""),26.2805972)</f>
        <v>26.2805972</v>
      </c>
      <c r="V323" s="2"/>
      <c r="W323" s="2"/>
      <c r="X323" s="2"/>
      <c r="Y323" s="2"/>
      <c r="Z323" s="2"/>
    </row>
    <row r="324">
      <c r="A324" s="6">
        <f>IFERROR(__xludf.DUMMYFUNCTION("""COMPUTED_VALUE"""),45769.56122685185)</f>
        <v>45769.56123</v>
      </c>
      <c r="B324" s="2" t="str">
        <f>IFERROR(__xludf.DUMMYFUNCTION("""COMPUTED_VALUE"""),"April")</f>
        <v>April</v>
      </c>
      <c r="C324" s="3">
        <f>IFERROR(__xludf.DUMMYFUNCTION("""COMPUTED_VALUE"""),723857.0)</f>
        <v>723857</v>
      </c>
      <c r="D324" s="2" t="str">
        <f>IFERROR(__xludf.DUMMYFUNCTION("""COMPUTED_VALUE"""),"DB1")</f>
        <v>DB1</v>
      </c>
      <c r="E324" s="2" t="str">
        <f>IFERROR(__xludf.DUMMYFUNCTION("""COMPUTED_VALUE"""),"Imported from file Digizag.xlsx")</f>
        <v>Imported from file Digizag.xlsx</v>
      </c>
      <c r="F324" s="2" t="str">
        <f>IFERROR(__xludf.DUMMYFUNCTION("""COMPUTED_VALUE"""),"AKE695812")</f>
        <v>AKE695812</v>
      </c>
      <c r="G324" s="2" t="str">
        <f>IFERROR(__xludf.DUMMYFUNCTION("""COMPUTED_VALUE"""),"Kingdom of Saudi Arabia")</f>
        <v>Kingdom of Saudi Arabia</v>
      </c>
      <c r="H324" s="4">
        <f>IFERROR(__xludf.DUMMYFUNCTION("""COMPUTED_VALUE"""),69.0)</f>
        <v>69</v>
      </c>
      <c r="I324" s="3">
        <f>IFERROR(__xludf.DUMMYFUNCTION("""COMPUTED_VALUE"""),0.0)</f>
        <v>0</v>
      </c>
      <c r="J324" s="4">
        <f>IFERROR(__xludf.DUMMYFUNCTION("""COMPUTED_VALUE"""),6.9)</f>
        <v>6.9</v>
      </c>
      <c r="K324" s="2"/>
      <c r="L324" s="2" t="str">
        <f>IFERROR(__xludf.DUMMYFUNCTION("""COMPUTED_VALUE"""),"Delivered")</f>
        <v>Delivered</v>
      </c>
      <c r="M324" s="2" t="str">
        <f>IFERROR(__xludf.DUMMYFUNCTION("""COMPUTED_VALUE"""),"SAR")</f>
        <v>SAR</v>
      </c>
      <c r="N324" s="2" t="str">
        <f>IFERROR(__xludf.DUMMYFUNCTION("""COMPUTED_VALUE"""),"Credit, Debit, Apple Pay")</f>
        <v>Credit, Debit, Apple Pay</v>
      </c>
      <c r="O324" s="4">
        <f>IFERROR(__xludf.DUMMYFUNCTION("""COMPUTED_VALUE"""),0.0)</f>
        <v>0</v>
      </c>
      <c r="P324" s="2">
        <f>IFERROR(__xludf.DUMMYFUNCTION("""COMPUTED_VALUE"""),22.0)</f>
        <v>22</v>
      </c>
      <c r="Q324" s="2">
        <f>IFERROR(__xludf.DUMMYFUNCTION("""COMPUTED_VALUE"""),4.0)</f>
        <v>4</v>
      </c>
      <c r="R324" s="2">
        <f>IFERROR(__xludf.DUMMYFUNCTION("""COMPUTED_VALUE"""),2025.0)</f>
        <v>2025</v>
      </c>
      <c r="S324" s="2" t="str">
        <f>IFERROR(__xludf.DUMMYFUNCTION("""COMPUTED_VALUE"""),"Digizag")</f>
        <v>Digizag</v>
      </c>
      <c r="T324" s="2" t="str">
        <f>IFERROR(__xludf.DUMMYFUNCTION("""COMPUTED_VALUE"""),"Digizag")</f>
        <v>Digizag</v>
      </c>
      <c r="U324" s="5">
        <f>IFERROR(__xludf.DUMMYFUNCTION("""COMPUTED_VALUE"""),18.398577174000003)</f>
        <v>18.39857717</v>
      </c>
      <c r="V324" s="2"/>
      <c r="W324" s="2"/>
      <c r="X324" s="2"/>
      <c r="Y324" s="2"/>
      <c r="Z324" s="2"/>
    </row>
    <row r="325">
      <c r="A325" s="6">
        <f>IFERROR(__xludf.DUMMYFUNCTION("""COMPUTED_VALUE"""),45769.786157407405)</f>
        <v>45769.78616</v>
      </c>
      <c r="B325" s="2" t="str">
        <f>IFERROR(__xludf.DUMMYFUNCTION("""COMPUTED_VALUE"""),"April")</f>
        <v>April</v>
      </c>
      <c r="C325" s="3">
        <f>IFERROR(__xludf.DUMMYFUNCTION("""COMPUTED_VALUE"""),641790.0)</f>
        <v>641790</v>
      </c>
      <c r="D325" s="2" t="str">
        <f>IFERROR(__xludf.DUMMYFUNCTION("""COMPUTED_VALUE"""),"MNN16")</f>
        <v>MNN16</v>
      </c>
      <c r="E325" s="2" t="str">
        <f>IFERROR(__xludf.DUMMYFUNCTION("""COMPUTED_VALUE"""),"Imported from file DigiZag Codes 25Feb25.xlsx")</f>
        <v>Imported from file DigiZag Codes 25Feb25.xlsx</v>
      </c>
      <c r="F325" s="2" t="str">
        <f>IFERROR(__xludf.DUMMYFUNCTION("""COMPUTED_VALUE"""),"JQU148474")</f>
        <v>JQU148474</v>
      </c>
      <c r="G325" s="2" t="str">
        <f>IFERROR(__xludf.DUMMYFUNCTION("""COMPUTED_VALUE"""),"UAE")</f>
        <v>UAE</v>
      </c>
      <c r="H325" s="4">
        <f>IFERROR(__xludf.DUMMYFUNCTION("""COMPUTED_VALUE"""),108.3)</f>
        <v>108.3</v>
      </c>
      <c r="I325" s="3">
        <f>IFERROR(__xludf.DUMMYFUNCTION("""COMPUTED_VALUE"""),0.0)</f>
        <v>0</v>
      </c>
      <c r="J325" s="4">
        <f>IFERROR(__xludf.DUMMYFUNCTION("""COMPUTED_VALUE"""),10.83)</f>
        <v>10.83</v>
      </c>
      <c r="K325" s="2"/>
      <c r="L325" s="2" t="str">
        <f>IFERROR(__xludf.DUMMYFUNCTION("""COMPUTED_VALUE"""),"Processing")</f>
        <v>Processing</v>
      </c>
      <c r="M325" s="2" t="str">
        <f>IFERROR(__xludf.DUMMYFUNCTION("""COMPUTED_VALUE"""),"AED")</f>
        <v>AED</v>
      </c>
      <c r="N325" s="2" t="str">
        <f>IFERROR(__xludf.DUMMYFUNCTION("""COMPUTED_VALUE"""),"Credit, Debit , Apple Pay")</f>
        <v>Credit, Debit , Apple Pay</v>
      </c>
      <c r="O325" s="4">
        <f>IFERROR(__xludf.DUMMYFUNCTION("""COMPUTED_VALUE"""),0.0)</f>
        <v>0</v>
      </c>
      <c r="P325" s="2">
        <f>IFERROR(__xludf.DUMMYFUNCTION("""COMPUTED_VALUE"""),22.0)</f>
        <v>22</v>
      </c>
      <c r="Q325" s="2">
        <f>IFERROR(__xludf.DUMMYFUNCTION("""COMPUTED_VALUE"""),4.0)</f>
        <v>4</v>
      </c>
      <c r="R325" s="2">
        <f>IFERROR(__xludf.DUMMYFUNCTION("""COMPUTED_VALUE"""),2025.0)</f>
        <v>2025</v>
      </c>
      <c r="S325" s="2" t="str">
        <f>IFERROR(__xludf.DUMMYFUNCTION("""COMPUTED_VALUE"""),"Digizag")</f>
        <v>Digizag</v>
      </c>
      <c r="T325" s="2" t="str">
        <f>IFERROR(__xludf.DUMMYFUNCTION("""COMPUTED_VALUE"""),"Digizag")</f>
        <v>Digizag</v>
      </c>
      <c r="U325" s="5">
        <f>IFERROR(__xludf.DUMMYFUNCTION("""COMPUTED_VALUE"""),29.4894486474)</f>
        <v>29.48944865</v>
      </c>
      <c r="V325" s="2"/>
      <c r="W325" s="2"/>
      <c r="X325" s="2"/>
      <c r="Y325" s="2"/>
      <c r="Z325" s="2"/>
    </row>
    <row r="326">
      <c r="A326" s="6">
        <f>IFERROR(__xludf.DUMMYFUNCTION("""COMPUTED_VALUE"""),45769.81050925926)</f>
        <v>45769.81051</v>
      </c>
      <c r="B326" s="2" t="str">
        <f>IFERROR(__xludf.DUMMYFUNCTION("""COMPUTED_VALUE"""),"April")</f>
        <v>April</v>
      </c>
      <c r="C326" s="3">
        <f>IFERROR(__xludf.DUMMYFUNCTION("""COMPUTED_VALUE"""),170262.0)</f>
        <v>170262</v>
      </c>
      <c r="D326" s="2" t="str">
        <f>IFERROR(__xludf.DUMMYFUNCTION("""COMPUTED_VALUE"""),"DB3")</f>
        <v>DB3</v>
      </c>
      <c r="E326" s="2" t="str">
        <f>IFERROR(__xludf.DUMMYFUNCTION("""COMPUTED_VALUE"""),"Imported from file Digizag.xlsx")</f>
        <v>Imported from file Digizag.xlsx</v>
      </c>
      <c r="F326" s="2" t="str">
        <f>IFERROR(__xludf.DUMMYFUNCTION("""COMPUTED_VALUE"""),"LAZ873838")</f>
        <v>LAZ873838</v>
      </c>
      <c r="G326" s="2" t="str">
        <f>IFERROR(__xludf.DUMMYFUNCTION("""COMPUTED_VALUE"""),"Kuwait")</f>
        <v>Kuwait</v>
      </c>
      <c r="H326" s="4">
        <f>IFERROR(__xludf.DUMMYFUNCTION("""COMPUTED_VALUE"""),7.95)</f>
        <v>7.95</v>
      </c>
      <c r="I326" s="3">
        <f>IFERROR(__xludf.DUMMYFUNCTION("""COMPUTED_VALUE"""),0.0)</f>
        <v>0</v>
      </c>
      <c r="J326" s="4">
        <f>IFERROR(__xludf.DUMMYFUNCTION("""COMPUTED_VALUE"""),0.795)</f>
        <v>0.795</v>
      </c>
      <c r="K326" s="2"/>
      <c r="L326" s="2" t="str">
        <f>IFERROR(__xludf.DUMMYFUNCTION("""COMPUTED_VALUE"""),"Processing")</f>
        <v>Processing</v>
      </c>
      <c r="M326" s="2" t="str">
        <f>IFERROR(__xludf.DUMMYFUNCTION("""COMPUTED_VALUE"""),"KD")</f>
        <v>KD</v>
      </c>
      <c r="N326" s="2" t="str">
        <f>IFERROR(__xludf.DUMMYFUNCTION("""COMPUTED_VALUE"""),"Credit, Debit, Knet")</f>
        <v>Credit, Debit, Knet</v>
      </c>
      <c r="O326" s="4">
        <f>IFERROR(__xludf.DUMMYFUNCTION("""COMPUTED_VALUE"""),0.0)</f>
        <v>0</v>
      </c>
      <c r="P326" s="2">
        <f>IFERROR(__xludf.DUMMYFUNCTION("""COMPUTED_VALUE"""),22.0)</f>
        <v>22</v>
      </c>
      <c r="Q326" s="2">
        <f>IFERROR(__xludf.DUMMYFUNCTION("""COMPUTED_VALUE"""),4.0)</f>
        <v>4</v>
      </c>
      <c r="R326" s="2">
        <f>IFERROR(__xludf.DUMMYFUNCTION("""COMPUTED_VALUE"""),2025.0)</f>
        <v>2025</v>
      </c>
      <c r="S326" s="2" t="str">
        <f>IFERROR(__xludf.DUMMYFUNCTION("""COMPUTED_VALUE"""),"Digizag")</f>
        <v>Digizag</v>
      </c>
      <c r="T326" s="2" t="str">
        <f>IFERROR(__xludf.DUMMYFUNCTION("""COMPUTED_VALUE"""),"Digizag")</f>
        <v>Digizag</v>
      </c>
      <c r="U326" s="5">
        <f>IFERROR(__xludf.DUMMYFUNCTION("""COMPUTED_VALUE"""),25.921929)</f>
        <v>25.921929</v>
      </c>
      <c r="V326" s="2"/>
      <c r="W326" s="2"/>
      <c r="X326" s="2"/>
      <c r="Y326" s="2"/>
      <c r="Z326" s="2"/>
    </row>
    <row r="327">
      <c r="A327" s="6">
        <f>IFERROR(__xludf.DUMMYFUNCTION("""COMPUTED_VALUE"""),45769.824953703705)</f>
        <v>45769.82495</v>
      </c>
      <c r="B327" s="2" t="str">
        <f>IFERROR(__xludf.DUMMYFUNCTION("""COMPUTED_VALUE"""),"April")</f>
        <v>April</v>
      </c>
      <c r="C327" s="3">
        <f>IFERROR(__xludf.DUMMYFUNCTION("""COMPUTED_VALUE"""),724063.0)</f>
        <v>724063</v>
      </c>
      <c r="D327" s="2" t="str">
        <f>IFERROR(__xludf.DUMMYFUNCTION("""COMPUTED_VALUE"""),"MNN16")</f>
        <v>MNN16</v>
      </c>
      <c r="E327" s="2" t="str">
        <f>IFERROR(__xludf.DUMMYFUNCTION("""COMPUTED_VALUE"""),"Imported from file DigiZag Codes 25Feb25.xlsx")</f>
        <v>Imported from file DigiZag Codes 25Feb25.xlsx</v>
      </c>
      <c r="F327" s="2" t="str">
        <f>IFERROR(__xludf.DUMMYFUNCTION("""COMPUTED_VALUE"""),"AVA857458")</f>
        <v>AVA857458</v>
      </c>
      <c r="G327" s="2" t="str">
        <f>IFERROR(__xludf.DUMMYFUNCTION("""COMPUTED_VALUE"""),"Kuwait")</f>
        <v>Kuwait</v>
      </c>
      <c r="H327" s="4">
        <f>IFERROR(__xludf.DUMMYFUNCTION("""COMPUTED_VALUE"""),10.9)</f>
        <v>10.9</v>
      </c>
      <c r="I327" s="3">
        <f>IFERROR(__xludf.DUMMYFUNCTION("""COMPUTED_VALUE"""),0.0)</f>
        <v>0</v>
      </c>
      <c r="J327" s="4">
        <f>IFERROR(__xludf.DUMMYFUNCTION("""COMPUTED_VALUE"""),1.09)</f>
        <v>1.09</v>
      </c>
      <c r="K327" s="2"/>
      <c r="L327" s="2" t="str">
        <f>IFERROR(__xludf.DUMMYFUNCTION("""COMPUTED_VALUE"""),"Processing")</f>
        <v>Processing</v>
      </c>
      <c r="M327" s="2" t="str">
        <f>IFERROR(__xludf.DUMMYFUNCTION("""COMPUTED_VALUE"""),"KD")</f>
        <v>KD</v>
      </c>
      <c r="N327" s="2" t="str">
        <f>IFERROR(__xludf.DUMMYFUNCTION("""COMPUTED_VALUE"""),"Credit, Debit, Knet")</f>
        <v>Credit, Debit, Knet</v>
      </c>
      <c r="O327" s="4">
        <f>IFERROR(__xludf.DUMMYFUNCTION("""COMPUTED_VALUE"""),0.0)</f>
        <v>0</v>
      </c>
      <c r="P327" s="2">
        <f>IFERROR(__xludf.DUMMYFUNCTION("""COMPUTED_VALUE"""),22.0)</f>
        <v>22</v>
      </c>
      <c r="Q327" s="2">
        <f>IFERROR(__xludf.DUMMYFUNCTION("""COMPUTED_VALUE"""),4.0)</f>
        <v>4</v>
      </c>
      <c r="R327" s="2">
        <f>IFERROR(__xludf.DUMMYFUNCTION("""COMPUTED_VALUE"""),2025.0)</f>
        <v>2025</v>
      </c>
      <c r="S327" s="2" t="str">
        <f>IFERROR(__xludf.DUMMYFUNCTION("""COMPUTED_VALUE"""),"Digizag")</f>
        <v>Digizag</v>
      </c>
      <c r="T327" s="2" t="str">
        <f>IFERROR(__xludf.DUMMYFUNCTION("""COMPUTED_VALUE"""),"Digizag")</f>
        <v>Digizag</v>
      </c>
      <c r="U327" s="5">
        <f>IFERROR(__xludf.DUMMYFUNCTION("""COMPUTED_VALUE"""),35.540758)</f>
        <v>35.540758</v>
      </c>
      <c r="V327" s="2"/>
      <c r="W327" s="2"/>
      <c r="X327" s="2"/>
      <c r="Y327" s="2"/>
      <c r="Z327" s="2"/>
    </row>
    <row r="328">
      <c r="A328" s="6">
        <f>IFERROR(__xludf.DUMMYFUNCTION("""COMPUTED_VALUE"""),45770.423171296294)</f>
        <v>45770.42317</v>
      </c>
      <c r="B328" s="2" t="str">
        <f>IFERROR(__xludf.DUMMYFUNCTION("""COMPUTED_VALUE"""),"April")</f>
        <v>April</v>
      </c>
      <c r="C328" s="3">
        <f>IFERROR(__xludf.DUMMYFUNCTION("""COMPUTED_VALUE"""),635518.0)</f>
        <v>635518</v>
      </c>
      <c r="D328" s="2" t="str">
        <f>IFERROR(__xludf.DUMMYFUNCTION("""COMPUTED_VALUE"""),"DB3")</f>
        <v>DB3</v>
      </c>
      <c r="E328" s="2" t="str">
        <f>IFERROR(__xludf.DUMMYFUNCTION("""COMPUTED_VALUE"""),"Imported from file Digizag.xlsx")</f>
        <v>Imported from file Digizag.xlsx</v>
      </c>
      <c r="F328" s="2" t="str">
        <f>IFERROR(__xludf.DUMMYFUNCTION("""COMPUTED_VALUE"""),"BWX532270")</f>
        <v>BWX532270</v>
      </c>
      <c r="G328" s="2" t="str">
        <f>IFERROR(__xludf.DUMMYFUNCTION("""COMPUTED_VALUE"""),"Kuwait")</f>
        <v>Kuwait</v>
      </c>
      <c r="H328" s="4">
        <f>IFERROR(__xludf.DUMMYFUNCTION("""COMPUTED_VALUE"""),11.95)</f>
        <v>11.95</v>
      </c>
      <c r="I328" s="3">
        <f>IFERROR(__xludf.DUMMYFUNCTION("""COMPUTED_VALUE"""),0.0)</f>
        <v>0</v>
      </c>
      <c r="J328" s="4">
        <f>IFERROR(__xludf.DUMMYFUNCTION("""COMPUTED_VALUE"""),1.195)</f>
        <v>1.195</v>
      </c>
      <c r="K328" s="2"/>
      <c r="L328" s="2" t="str">
        <f>IFERROR(__xludf.DUMMYFUNCTION("""COMPUTED_VALUE"""),"Delivered")</f>
        <v>Delivered</v>
      </c>
      <c r="M328" s="2" t="str">
        <f>IFERROR(__xludf.DUMMYFUNCTION("""COMPUTED_VALUE"""),"KD")</f>
        <v>KD</v>
      </c>
      <c r="N328" s="2" t="str">
        <f>IFERROR(__xludf.DUMMYFUNCTION("""COMPUTED_VALUE"""),"Credit, Debit, Knet")</f>
        <v>Credit, Debit, Knet</v>
      </c>
      <c r="O328" s="4">
        <f>IFERROR(__xludf.DUMMYFUNCTION("""COMPUTED_VALUE"""),0.0)</f>
        <v>0</v>
      </c>
      <c r="P328" s="2">
        <f>IFERROR(__xludf.DUMMYFUNCTION("""COMPUTED_VALUE"""),23.0)</f>
        <v>23</v>
      </c>
      <c r="Q328" s="2">
        <f>IFERROR(__xludf.DUMMYFUNCTION("""COMPUTED_VALUE"""),4.0)</f>
        <v>4</v>
      </c>
      <c r="R328" s="2">
        <f>IFERROR(__xludf.DUMMYFUNCTION("""COMPUTED_VALUE"""),2025.0)</f>
        <v>2025</v>
      </c>
      <c r="S328" s="2" t="str">
        <f>IFERROR(__xludf.DUMMYFUNCTION("""COMPUTED_VALUE"""),"Digizag")</f>
        <v>Digizag</v>
      </c>
      <c r="T328" s="2" t="str">
        <f>IFERROR(__xludf.DUMMYFUNCTION("""COMPUTED_VALUE"""),"Digizag")</f>
        <v>Digizag</v>
      </c>
      <c r="U328" s="5">
        <f>IFERROR(__xludf.DUMMYFUNCTION("""COMPUTED_VALUE"""),38.964408999999996)</f>
        <v>38.964409</v>
      </c>
      <c r="V328" s="2"/>
      <c r="W328" s="2"/>
      <c r="X328" s="2"/>
      <c r="Y328" s="2"/>
      <c r="Z328" s="2"/>
    </row>
    <row r="329">
      <c r="A329" s="6">
        <f>IFERROR(__xludf.DUMMYFUNCTION("""COMPUTED_VALUE"""),45770.425983796296)</f>
        <v>45770.42598</v>
      </c>
      <c r="B329" s="2" t="str">
        <f>IFERROR(__xludf.DUMMYFUNCTION("""COMPUTED_VALUE"""),"April")</f>
        <v>April</v>
      </c>
      <c r="C329" s="3">
        <f>IFERROR(__xludf.DUMMYFUNCTION("""COMPUTED_VALUE"""),21287.0)</f>
        <v>21287</v>
      </c>
      <c r="D329" s="2" t="str">
        <f>IFERROR(__xludf.DUMMYFUNCTION("""COMPUTED_VALUE"""),"DB3")</f>
        <v>DB3</v>
      </c>
      <c r="E329" s="2" t="str">
        <f>IFERROR(__xludf.DUMMYFUNCTION("""COMPUTED_VALUE"""),"Imported from file Digizag.xlsx")</f>
        <v>Imported from file Digizag.xlsx</v>
      </c>
      <c r="F329" s="2" t="str">
        <f>IFERROR(__xludf.DUMMYFUNCTION("""COMPUTED_VALUE"""),"WRM260618")</f>
        <v>WRM260618</v>
      </c>
      <c r="G329" s="2" t="str">
        <f>IFERROR(__xludf.DUMMYFUNCTION("""COMPUTED_VALUE"""),"Kingdom of Saudi Arabia")</f>
        <v>Kingdom of Saudi Arabia</v>
      </c>
      <c r="H329" s="4">
        <f>IFERROR(__xludf.DUMMYFUNCTION("""COMPUTED_VALUE"""),137.0)</f>
        <v>137</v>
      </c>
      <c r="I329" s="3">
        <f>IFERROR(__xludf.DUMMYFUNCTION("""COMPUTED_VALUE"""),0.0)</f>
        <v>0</v>
      </c>
      <c r="J329" s="4">
        <f>IFERROR(__xludf.DUMMYFUNCTION("""COMPUTED_VALUE"""),13.7)</f>
        <v>13.7</v>
      </c>
      <c r="K329" s="2"/>
      <c r="L329" s="2" t="str">
        <f>IFERROR(__xludf.DUMMYFUNCTION("""COMPUTED_VALUE"""),"Delivered")</f>
        <v>Delivered</v>
      </c>
      <c r="M329" s="2" t="str">
        <f>IFERROR(__xludf.DUMMYFUNCTION("""COMPUTED_VALUE"""),"SAR")</f>
        <v>SAR</v>
      </c>
      <c r="N329" s="2" t="str">
        <f>IFERROR(__xludf.DUMMYFUNCTION("""COMPUTED_VALUE"""),"Credit, Debit, Apple Pay")</f>
        <v>Credit, Debit, Apple Pay</v>
      </c>
      <c r="O329" s="4">
        <f>IFERROR(__xludf.DUMMYFUNCTION("""COMPUTED_VALUE"""),0.0)</f>
        <v>0</v>
      </c>
      <c r="P329" s="2">
        <f>IFERROR(__xludf.DUMMYFUNCTION("""COMPUTED_VALUE"""),23.0)</f>
        <v>23</v>
      </c>
      <c r="Q329" s="2">
        <f>IFERROR(__xludf.DUMMYFUNCTION("""COMPUTED_VALUE"""),4.0)</f>
        <v>4</v>
      </c>
      <c r="R329" s="2">
        <f>IFERROR(__xludf.DUMMYFUNCTION("""COMPUTED_VALUE"""),2025.0)</f>
        <v>2025</v>
      </c>
      <c r="S329" s="2" t="str">
        <f>IFERROR(__xludf.DUMMYFUNCTION("""COMPUTED_VALUE"""),"Digizag")</f>
        <v>Digizag</v>
      </c>
      <c r="T329" s="2" t="str">
        <f>IFERROR(__xludf.DUMMYFUNCTION("""COMPUTED_VALUE"""),"Digizag")</f>
        <v>Digizag</v>
      </c>
      <c r="U329" s="5">
        <f>IFERROR(__xludf.DUMMYFUNCTION("""COMPUTED_VALUE"""),36.530508302)</f>
        <v>36.5305083</v>
      </c>
      <c r="V329" s="2"/>
      <c r="W329" s="2"/>
      <c r="X329" s="2"/>
      <c r="Y329" s="2"/>
      <c r="Z329" s="2"/>
    </row>
    <row r="330">
      <c r="A330" s="6">
        <f>IFERROR(__xludf.DUMMYFUNCTION("""COMPUTED_VALUE"""),45770.4637037037)</f>
        <v>45770.4637</v>
      </c>
      <c r="B330" s="2" t="str">
        <f>IFERROR(__xludf.DUMMYFUNCTION("""COMPUTED_VALUE"""),"April")</f>
        <v>April</v>
      </c>
      <c r="C330" s="3">
        <f>IFERROR(__xludf.DUMMYFUNCTION("""COMPUTED_VALUE"""),78960.0)</f>
        <v>78960</v>
      </c>
      <c r="D330" s="2" t="str">
        <f>IFERROR(__xludf.DUMMYFUNCTION("""COMPUTED_VALUE"""),"MNN16")</f>
        <v>MNN16</v>
      </c>
      <c r="E330" s="2" t="str">
        <f>IFERROR(__xludf.DUMMYFUNCTION("""COMPUTED_VALUE"""),"Imported from file DigiZag Codes 25Feb25.xlsx")</f>
        <v>Imported from file DigiZag Codes 25Feb25.xlsx</v>
      </c>
      <c r="F330" s="2" t="str">
        <f>IFERROR(__xludf.DUMMYFUNCTION("""COMPUTED_VALUE"""),"GXB579161")</f>
        <v>GXB579161</v>
      </c>
      <c r="G330" s="2" t="str">
        <f>IFERROR(__xludf.DUMMYFUNCTION("""COMPUTED_VALUE"""),"Kuwait")</f>
        <v>Kuwait</v>
      </c>
      <c r="H330" s="4">
        <f>IFERROR(__xludf.DUMMYFUNCTION("""COMPUTED_VALUE"""),5.75)</f>
        <v>5.75</v>
      </c>
      <c r="I330" s="3">
        <f>IFERROR(__xludf.DUMMYFUNCTION("""COMPUTED_VALUE"""),0.0)</f>
        <v>0</v>
      </c>
      <c r="J330" s="4">
        <f>IFERROR(__xludf.DUMMYFUNCTION("""COMPUTED_VALUE"""),0.575)</f>
        <v>0.575</v>
      </c>
      <c r="K330" s="2"/>
      <c r="L330" s="2" t="str">
        <f>IFERROR(__xludf.DUMMYFUNCTION("""COMPUTED_VALUE"""),"Delivered")</f>
        <v>Delivered</v>
      </c>
      <c r="M330" s="2" t="str">
        <f>IFERROR(__xludf.DUMMYFUNCTION("""COMPUTED_VALUE"""),"KD")</f>
        <v>KD</v>
      </c>
      <c r="N330" s="2" t="str">
        <f>IFERROR(__xludf.DUMMYFUNCTION("""COMPUTED_VALUE"""),"Credit, Debit, Knet")</f>
        <v>Credit, Debit, Knet</v>
      </c>
      <c r="O330" s="4">
        <f>IFERROR(__xludf.DUMMYFUNCTION("""COMPUTED_VALUE"""),0.0)</f>
        <v>0</v>
      </c>
      <c r="P330" s="2">
        <f>IFERROR(__xludf.DUMMYFUNCTION("""COMPUTED_VALUE"""),23.0)</f>
        <v>23</v>
      </c>
      <c r="Q330" s="2">
        <f>IFERROR(__xludf.DUMMYFUNCTION("""COMPUTED_VALUE"""),4.0)</f>
        <v>4</v>
      </c>
      <c r="R330" s="2">
        <f>IFERROR(__xludf.DUMMYFUNCTION("""COMPUTED_VALUE"""),2025.0)</f>
        <v>2025</v>
      </c>
      <c r="S330" s="2" t="str">
        <f>IFERROR(__xludf.DUMMYFUNCTION("""COMPUTED_VALUE"""),"Digizag")</f>
        <v>Digizag</v>
      </c>
      <c r="T330" s="2" t="str">
        <f>IFERROR(__xludf.DUMMYFUNCTION("""COMPUTED_VALUE"""),"Digizag")</f>
        <v>Digizag</v>
      </c>
      <c r="U330" s="5">
        <f>IFERROR(__xludf.DUMMYFUNCTION("""COMPUTED_VALUE"""),18.748565)</f>
        <v>18.748565</v>
      </c>
      <c r="V330" s="2"/>
      <c r="W330" s="2"/>
      <c r="X330" s="2"/>
      <c r="Y330" s="2"/>
      <c r="Z330" s="2"/>
    </row>
    <row r="331">
      <c r="A331" s="6">
        <f>IFERROR(__xludf.DUMMYFUNCTION("""COMPUTED_VALUE"""),45770.477314814816)</f>
        <v>45770.47731</v>
      </c>
      <c r="B331" s="2" t="str">
        <f>IFERROR(__xludf.DUMMYFUNCTION("""COMPUTED_VALUE"""),"April")</f>
        <v>April</v>
      </c>
      <c r="C331" s="3">
        <f>IFERROR(__xludf.DUMMYFUNCTION("""COMPUTED_VALUE"""),266216.0)</f>
        <v>266216</v>
      </c>
      <c r="D331" s="2" t="str">
        <f>IFERROR(__xludf.DUMMYFUNCTION("""COMPUTED_VALUE"""),"DB3")</f>
        <v>DB3</v>
      </c>
      <c r="E331" s="2" t="str">
        <f>IFERROR(__xludf.DUMMYFUNCTION("""COMPUTED_VALUE"""),"Imported from file Digizag.xlsx")</f>
        <v>Imported from file Digizag.xlsx</v>
      </c>
      <c r="F331" s="2" t="str">
        <f>IFERROR(__xludf.DUMMYFUNCTION("""COMPUTED_VALUE"""),"LUN751816")</f>
        <v>LUN751816</v>
      </c>
      <c r="G331" s="2" t="str">
        <f>IFERROR(__xludf.DUMMYFUNCTION("""COMPUTED_VALUE"""),"Kingdom of Saudi Arabia")</f>
        <v>Kingdom of Saudi Arabia</v>
      </c>
      <c r="H331" s="4">
        <f>IFERROR(__xludf.DUMMYFUNCTION("""COMPUTED_VALUE"""),465.22)</f>
        <v>465.22</v>
      </c>
      <c r="I331" s="3">
        <f>IFERROR(__xludf.DUMMYFUNCTION("""COMPUTED_VALUE"""),0.0)</f>
        <v>0</v>
      </c>
      <c r="J331" s="4">
        <f>IFERROR(__xludf.DUMMYFUNCTION("""COMPUTED_VALUE"""),46.52)</f>
        <v>46.52</v>
      </c>
      <c r="K331" s="2"/>
      <c r="L331" s="2" t="str">
        <f>IFERROR(__xludf.DUMMYFUNCTION("""COMPUTED_VALUE"""),"Delivered")</f>
        <v>Delivered</v>
      </c>
      <c r="M331" s="2" t="str">
        <f>IFERROR(__xludf.DUMMYFUNCTION("""COMPUTED_VALUE"""),"SAR")</f>
        <v>SAR</v>
      </c>
      <c r="N331" s="2" t="str">
        <f>IFERROR(__xludf.DUMMYFUNCTION("""COMPUTED_VALUE"""),"Credit, Debit, Apple Pay")</f>
        <v>Credit, Debit, Apple Pay</v>
      </c>
      <c r="O331" s="4">
        <f>IFERROR(__xludf.DUMMYFUNCTION("""COMPUTED_VALUE"""),0.0)</f>
        <v>0</v>
      </c>
      <c r="P331" s="2">
        <f>IFERROR(__xludf.DUMMYFUNCTION("""COMPUTED_VALUE"""),23.0)</f>
        <v>23</v>
      </c>
      <c r="Q331" s="2">
        <f>IFERROR(__xludf.DUMMYFUNCTION("""COMPUTED_VALUE"""),4.0)</f>
        <v>4</v>
      </c>
      <c r="R331" s="2">
        <f>IFERROR(__xludf.DUMMYFUNCTION("""COMPUTED_VALUE"""),2025.0)</f>
        <v>2025</v>
      </c>
      <c r="S331" s="2" t="str">
        <f>IFERROR(__xludf.DUMMYFUNCTION("""COMPUTED_VALUE"""),"Digizag")</f>
        <v>Digizag</v>
      </c>
      <c r="T331" s="2" t="str">
        <f>IFERROR(__xludf.DUMMYFUNCTION("""COMPUTED_VALUE"""),"Digizag")</f>
        <v>Digizag</v>
      </c>
      <c r="U331" s="5">
        <f>IFERROR(__xludf.DUMMYFUNCTION("""COMPUTED_VALUE"""),124.04907352012002)</f>
        <v>124.0490735</v>
      </c>
      <c r="V331" s="2"/>
      <c r="W331" s="2"/>
      <c r="X331" s="2"/>
      <c r="Y331" s="2"/>
      <c r="Z331" s="2"/>
    </row>
    <row r="332">
      <c r="A332" s="6">
        <f>IFERROR(__xludf.DUMMYFUNCTION("""COMPUTED_VALUE"""),45770.48819444444)</f>
        <v>45770.48819</v>
      </c>
      <c r="B332" s="2" t="str">
        <f>IFERROR(__xludf.DUMMYFUNCTION("""COMPUTED_VALUE"""),"April")</f>
        <v>April</v>
      </c>
      <c r="C332" s="3">
        <f>IFERROR(__xludf.DUMMYFUNCTION("""COMPUTED_VALUE"""),230569.0)</f>
        <v>230569</v>
      </c>
      <c r="D332" s="2" t="str">
        <f>IFERROR(__xludf.DUMMYFUNCTION("""COMPUTED_VALUE"""),"DB3")</f>
        <v>DB3</v>
      </c>
      <c r="E332" s="2" t="str">
        <f>IFERROR(__xludf.DUMMYFUNCTION("""COMPUTED_VALUE"""),"Imported from file Digizag.xlsx")</f>
        <v>Imported from file Digizag.xlsx</v>
      </c>
      <c r="F332" s="2" t="str">
        <f>IFERROR(__xludf.DUMMYFUNCTION("""COMPUTED_VALUE"""),"VHS332258")</f>
        <v>VHS332258</v>
      </c>
      <c r="G332" s="2" t="str">
        <f>IFERROR(__xludf.DUMMYFUNCTION("""COMPUTED_VALUE"""),"Kingdom of Saudi Arabia")</f>
        <v>Kingdom of Saudi Arabia</v>
      </c>
      <c r="H332" s="4">
        <f>IFERROR(__xludf.DUMMYFUNCTION("""COMPUTED_VALUE"""),208.0)</f>
        <v>208</v>
      </c>
      <c r="I332" s="3">
        <f>IFERROR(__xludf.DUMMYFUNCTION("""COMPUTED_VALUE"""),0.0)</f>
        <v>0</v>
      </c>
      <c r="J332" s="4">
        <f>IFERROR(__xludf.DUMMYFUNCTION("""COMPUTED_VALUE"""),20.8)</f>
        <v>20.8</v>
      </c>
      <c r="K332" s="2"/>
      <c r="L332" s="2" t="str">
        <f>IFERROR(__xludf.DUMMYFUNCTION("""COMPUTED_VALUE"""),"Delivered")</f>
        <v>Delivered</v>
      </c>
      <c r="M332" s="2" t="str">
        <f>IFERROR(__xludf.DUMMYFUNCTION("""COMPUTED_VALUE"""),"SAR")</f>
        <v>SAR</v>
      </c>
      <c r="N332" s="2" t="str">
        <f>IFERROR(__xludf.DUMMYFUNCTION("""COMPUTED_VALUE"""),"Credit, Debit, Apple Pay")</f>
        <v>Credit, Debit, Apple Pay</v>
      </c>
      <c r="O332" s="4">
        <f>IFERROR(__xludf.DUMMYFUNCTION("""COMPUTED_VALUE"""),0.0)</f>
        <v>0</v>
      </c>
      <c r="P332" s="2">
        <f>IFERROR(__xludf.DUMMYFUNCTION("""COMPUTED_VALUE"""),23.0)</f>
        <v>23</v>
      </c>
      <c r="Q332" s="2">
        <f>IFERROR(__xludf.DUMMYFUNCTION("""COMPUTED_VALUE"""),4.0)</f>
        <v>4</v>
      </c>
      <c r="R332" s="2">
        <f>IFERROR(__xludf.DUMMYFUNCTION("""COMPUTED_VALUE"""),2025.0)</f>
        <v>2025</v>
      </c>
      <c r="S332" s="2" t="str">
        <f>IFERROR(__xludf.DUMMYFUNCTION("""COMPUTED_VALUE"""),"Digizag")</f>
        <v>Digizag</v>
      </c>
      <c r="T332" s="2" t="str">
        <f>IFERROR(__xludf.DUMMYFUNCTION("""COMPUTED_VALUE"""),"Digizag")</f>
        <v>Digizag</v>
      </c>
      <c r="U332" s="5">
        <f>IFERROR(__xludf.DUMMYFUNCTION("""COMPUTED_VALUE"""),55.46237756800001)</f>
        <v>55.46237757</v>
      </c>
      <c r="V332" s="2"/>
      <c r="W332" s="2"/>
      <c r="X332" s="2"/>
      <c r="Y332" s="2"/>
      <c r="Z332" s="2"/>
    </row>
    <row r="333">
      <c r="A333" s="6">
        <f>IFERROR(__xludf.DUMMYFUNCTION("""COMPUTED_VALUE"""),45770.49726851851)</f>
        <v>45770.49727</v>
      </c>
      <c r="B333" s="2" t="str">
        <f>IFERROR(__xludf.DUMMYFUNCTION("""COMPUTED_VALUE"""),"April")</f>
        <v>April</v>
      </c>
      <c r="C333" s="3">
        <f>IFERROR(__xludf.DUMMYFUNCTION("""COMPUTED_VALUE"""),535487.0)</f>
        <v>535487</v>
      </c>
      <c r="D333" s="2" t="str">
        <f>IFERROR(__xludf.DUMMYFUNCTION("""COMPUTED_VALUE"""),"DB3")</f>
        <v>DB3</v>
      </c>
      <c r="E333" s="2" t="str">
        <f>IFERROR(__xludf.DUMMYFUNCTION("""COMPUTED_VALUE"""),"Imported from file Digizag.xlsx")</f>
        <v>Imported from file Digizag.xlsx</v>
      </c>
      <c r="F333" s="2" t="str">
        <f>IFERROR(__xludf.DUMMYFUNCTION("""COMPUTED_VALUE"""),"ULA487559")</f>
        <v>ULA487559</v>
      </c>
      <c r="G333" s="2" t="str">
        <f>IFERROR(__xludf.DUMMYFUNCTION("""COMPUTED_VALUE"""),"Kingdom of Saudi Arabia")</f>
        <v>Kingdom of Saudi Arabia</v>
      </c>
      <c r="H333" s="4">
        <f>IFERROR(__xludf.DUMMYFUNCTION("""COMPUTED_VALUE"""),169.0)</f>
        <v>169</v>
      </c>
      <c r="I333" s="3">
        <f>IFERROR(__xludf.DUMMYFUNCTION("""COMPUTED_VALUE"""),0.0)</f>
        <v>0</v>
      </c>
      <c r="J333" s="4">
        <f>IFERROR(__xludf.DUMMYFUNCTION("""COMPUTED_VALUE"""),16.9)</f>
        <v>16.9</v>
      </c>
      <c r="K333" s="2"/>
      <c r="L333" s="2" t="str">
        <f>IFERROR(__xludf.DUMMYFUNCTION("""COMPUTED_VALUE"""),"Delivered")</f>
        <v>Delivered</v>
      </c>
      <c r="M333" s="2" t="str">
        <f>IFERROR(__xludf.DUMMYFUNCTION("""COMPUTED_VALUE"""),"SAR")</f>
        <v>SAR</v>
      </c>
      <c r="N333" s="2" t="str">
        <f>IFERROR(__xludf.DUMMYFUNCTION("""COMPUTED_VALUE"""),"Credit, Debit, Apple Pay")</f>
        <v>Credit, Debit, Apple Pay</v>
      </c>
      <c r="O333" s="4">
        <f>IFERROR(__xludf.DUMMYFUNCTION("""COMPUTED_VALUE"""),0.0)</f>
        <v>0</v>
      </c>
      <c r="P333" s="2">
        <f>IFERROR(__xludf.DUMMYFUNCTION("""COMPUTED_VALUE"""),23.0)</f>
        <v>23</v>
      </c>
      <c r="Q333" s="2">
        <f>IFERROR(__xludf.DUMMYFUNCTION("""COMPUTED_VALUE"""),4.0)</f>
        <v>4</v>
      </c>
      <c r="R333" s="2">
        <f>IFERROR(__xludf.DUMMYFUNCTION("""COMPUTED_VALUE"""),2025.0)</f>
        <v>2025</v>
      </c>
      <c r="S333" s="2" t="str">
        <f>IFERROR(__xludf.DUMMYFUNCTION("""COMPUTED_VALUE"""),"Digizag")</f>
        <v>Digizag</v>
      </c>
      <c r="T333" s="2" t="str">
        <f>IFERROR(__xludf.DUMMYFUNCTION("""COMPUTED_VALUE"""),"Digizag")</f>
        <v>Digizag</v>
      </c>
      <c r="U333" s="5">
        <f>IFERROR(__xludf.DUMMYFUNCTION("""COMPUTED_VALUE"""),45.06318177400001)</f>
        <v>45.06318177</v>
      </c>
      <c r="V333" s="2"/>
      <c r="W333" s="2"/>
      <c r="X333" s="2"/>
      <c r="Y333" s="2"/>
      <c r="Z333" s="2"/>
    </row>
    <row r="334">
      <c r="A334" s="6">
        <f>IFERROR(__xludf.DUMMYFUNCTION("""COMPUTED_VALUE"""),45770.541666666664)</f>
        <v>45770.54167</v>
      </c>
      <c r="B334" s="2" t="str">
        <f>IFERROR(__xludf.DUMMYFUNCTION("""COMPUTED_VALUE"""),"April")</f>
        <v>April</v>
      </c>
      <c r="C334" s="3">
        <f>IFERROR(__xludf.DUMMYFUNCTION("""COMPUTED_VALUE"""),379309.0)</f>
        <v>379309</v>
      </c>
      <c r="D334" s="2" t="str">
        <f>IFERROR(__xludf.DUMMYFUNCTION("""COMPUTED_VALUE"""),"DB3")</f>
        <v>DB3</v>
      </c>
      <c r="E334" s="2" t="str">
        <f>IFERROR(__xludf.DUMMYFUNCTION("""COMPUTED_VALUE"""),"Imported from file Digizag.xlsx")</f>
        <v>Imported from file Digizag.xlsx</v>
      </c>
      <c r="F334" s="2" t="str">
        <f>IFERROR(__xludf.DUMMYFUNCTION("""COMPUTED_VALUE"""),"RRM196477")</f>
        <v>RRM196477</v>
      </c>
      <c r="G334" s="2" t="str">
        <f>IFERROR(__xludf.DUMMYFUNCTION("""COMPUTED_VALUE"""),"Kingdom of Saudi Arabia")</f>
        <v>Kingdom of Saudi Arabia</v>
      </c>
      <c r="H334" s="4">
        <f>IFERROR(__xludf.DUMMYFUNCTION("""COMPUTED_VALUE"""),112.0)</f>
        <v>112</v>
      </c>
      <c r="I334" s="3">
        <f>IFERROR(__xludf.DUMMYFUNCTION("""COMPUTED_VALUE"""),0.0)</f>
        <v>0</v>
      </c>
      <c r="J334" s="4">
        <f>IFERROR(__xludf.DUMMYFUNCTION("""COMPUTED_VALUE"""),11.2)</f>
        <v>11.2</v>
      </c>
      <c r="K334" s="2"/>
      <c r="L334" s="2" t="str">
        <f>IFERROR(__xludf.DUMMYFUNCTION("""COMPUTED_VALUE"""),"Delivered")</f>
        <v>Delivered</v>
      </c>
      <c r="M334" s="2" t="str">
        <f>IFERROR(__xludf.DUMMYFUNCTION("""COMPUTED_VALUE"""),"SAR")</f>
        <v>SAR</v>
      </c>
      <c r="N334" s="2" t="str">
        <f>IFERROR(__xludf.DUMMYFUNCTION("""COMPUTED_VALUE"""),"Credit, Debit, Apple Pay")</f>
        <v>Credit, Debit, Apple Pay</v>
      </c>
      <c r="O334" s="4">
        <f>IFERROR(__xludf.DUMMYFUNCTION("""COMPUTED_VALUE"""),0.0)</f>
        <v>0</v>
      </c>
      <c r="P334" s="2">
        <f>IFERROR(__xludf.DUMMYFUNCTION("""COMPUTED_VALUE"""),23.0)</f>
        <v>23</v>
      </c>
      <c r="Q334" s="2">
        <f>IFERROR(__xludf.DUMMYFUNCTION("""COMPUTED_VALUE"""),4.0)</f>
        <v>4</v>
      </c>
      <c r="R334" s="2">
        <f>IFERROR(__xludf.DUMMYFUNCTION("""COMPUTED_VALUE"""),2025.0)</f>
        <v>2025</v>
      </c>
      <c r="S334" s="2" t="str">
        <f>IFERROR(__xludf.DUMMYFUNCTION("""COMPUTED_VALUE"""),"Digizag")</f>
        <v>Digizag</v>
      </c>
      <c r="T334" s="2" t="str">
        <f>IFERROR(__xludf.DUMMYFUNCTION("""COMPUTED_VALUE"""),"Digizag")</f>
        <v>Digizag</v>
      </c>
      <c r="U334" s="5">
        <f>IFERROR(__xludf.DUMMYFUNCTION("""COMPUTED_VALUE"""),29.864357152000004)</f>
        <v>29.86435715</v>
      </c>
      <c r="V334" s="2"/>
      <c r="W334" s="2"/>
      <c r="X334" s="2"/>
      <c r="Y334" s="2"/>
      <c r="Z334" s="2"/>
    </row>
    <row r="335">
      <c r="A335" s="6">
        <f>IFERROR(__xludf.DUMMYFUNCTION("""COMPUTED_VALUE"""),45770.54553240741)</f>
        <v>45770.54553</v>
      </c>
      <c r="B335" s="2" t="str">
        <f>IFERROR(__xludf.DUMMYFUNCTION("""COMPUTED_VALUE"""),"April")</f>
        <v>April</v>
      </c>
      <c r="C335" s="3">
        <f>IFERROR(__xludf.DUMMYFUNCTION("""COMPUTED_VALUE"""),724333.0)</f>
        <v>724333</v>
      </c>
      <c r="D335" s="2" t="str">
        <f>IFERROR(__xludf.DUMMYFUNCTION("""COMPUTED_VALUE"""),"DB3")</f>
        <v>DB3</v>
      </c>
      <c r="E335" s="2" t="str">
        <f>IFERROR(__xludf.DUMMYFUNCTION("""COMPUTED_VALUE"""),"Imported from file Digizag.xlsx")</f>
        <v>Imported from file Digizag.xlsx</v>
      </c>
      <c r="F335" s="2" t="str">
        <f>IFERROR(__xludf.DUMMYFUNCTION("""COMPUTED_VALUE"""),"HAR850554")</f>
        <v>HAR850554</v>
      </c>
      <c r="G335" s="2" t="str">
        <f>IFERROR(__xludf.DUMMYFUNCTION("""COMPUTED_VALUE"""),"Kingdom of Saudi Arabia")</f>
        <v>Kingdom of Saudi Arabia</v>
      </c>
      <c r="H335" s="4">
        <f>IFERROR(__xludf.DUMMYFUNCTION("""COMPUTED_VALUE"""),611.3)</f>
        <v>611.3</v>
      </c>
      <c r="I335" s="3">
        <f>IFERROR(__xludf.DUMMYFUNCTION("""COMPUTED_VALUE"""),0.0)</f>
        <v>0</v>
      </c>
      <c r="J335" s="4">
        <f>IFERROR(__xludf.DUMMYFUNCTION("""COMPUTED_VALUE"""),61.12)</f>
        <v>61.12</v>
      </c>
      <c r="K335" s="2"/>
      <c r="L335" s="2" t="str">
        <f>IFERROR(__xludf.DUMMYFUNCTION("""COMPUTED_VALUE"""),"Delivered")</f>
        <v>Delivered</v>
      </c>
      <c r="M335" s="2" t="str">
        <f>IFERROR(__xludf.DUMMYFUNCTION("""COMPUTED_VALUE"""),"SAR")</f>
        <v>SAR</v>
      </c>
      <c r="N335" s="2" t="str">
        <f>IFERROR(__xludf.DUMMYFUNCTION("""COMPUTED_VALUE"""),"Credit, Debit, Apple Pay")</f>
        <v>Credit, Debit, Apple Pay</v>
      </c>
      <c r="O335" s="4">
        <f>IFERROR(__xludf.DUMMYFUNCTION("""COMPUTED_VALUE"""),0.0)</f>
        <v>0</v>
      </c>
      <c r="P335" s="2">
        <f>IFERROR(__xludf.DUMMYFUNCTION("""COMPUTED_VALUE"""),23.0)</f>
        <v>23</v>
      </c>
      <c r="Q335" s="2">
        <f>IFERROR(__xludf.DUMMYFUNCTION("""COMPUTED_VALUE"""),4.0)</f>
        <v>4</v>
      </c>
      <c r="R335" s="2">
        <f>IFERROR(__xludf.DUMMYFUNCTION("""COMPUTED_VALUE"""),2025.0)</f>
        <v>2025</v>
      </c>
      <c r="S335" s="2" t="str">
        <f>IFERROR(__xludf.DUMMYFUNCTION("""COMPUTED_VALUE"""),"Digizag")</f>
        <v>Digizag</v>
      </c>
      <c r="T335" s="2" t="str">
        <f>IFERROR(__xludf.DUMMYFUNCTION("""COMPUTED_VALUE"""),"Digizag")</f>
        <v>Digizag</v>
      </c>
      <c r="U335" s="5">
        <f>IFERROR(__xludf.DUMMYFUNCTION("""COMPUTED_VALUE"""),163.0007279198)</f>
        <v>163.0007279</v>
      </c>
      <c r="V335" s="2"/>
      <c r="W335" s="2"/>
      <c r="X335" s="2"/>
      <c r="Y335" s="2"/>
      <c r="Z335" s="2"/>
    </row>
    <row r="336">
      <c r="A336" s="6">
        <f>IFERROR(__xludf.DUMMYFUNCTION("""COMPUTED_VALUE"""),45770.59403935185)</f>
        <v>45770.59404</v>
      </c>
      <c r="B336" s="2" t="str">
        <f>IFERROR(__xludf.DUMMYFUNCTION("""COMPUTED_VALUE"""),"April")</f>
        <v>April</v>
      </c>
      <c r="C336" s="3">
        <f>IFERROR(__xludf.DUMMYFUNCTION("""COMPUTED_VALUE"""),385851.0)</f>
        <v>385851</v>
      </c>
      <c r="D336" s="2" t="str">
        <f>IFERROR(__xludf.DUMMYFUNCTION("""COMPUTED_VALUE"""),"DB3")</f>
        <v>DB3</v>
      </c>
      <c r="E336" s="2" t="str">
        <f>IFERROR(__xludf.DUMMYFUNCTION("""COMPUTED_VALUE"""),"Imported from file Digizag.xlsx")</f>
        <v>Imported from file Digizag.xlsx</v>
      </c>
      <c r="F336" s="2" t="str">
        <f>IFERROR(__xludf.DUMMYFUNCTION("""COMPUTED_VALUE"""),"PDN149378")</f>
        <v>PDN149378</v>
      </c>
      <c r="G336" s="2" t="str">
        <f>IFERROR(__xludf.DUMMYFUNCTION("""COMPUTED_VALUE"""),"Kingdom of Saudi Arabia")</f>
        <v>Kingdom of Saudi Arabia</v>
      </c>
      <c r="H336" s="4">
        <f>IFERROR(__xludf.DUMMYFUNCTION("""COMPUTED_VALUE"""),146.34)</f>
        <v>146.34</v>
      </c>
      <c r="I336" s="3">
        <f>IFERROR(__xludf.DUMMYFUNCTION("""COMPUTED_VALUE"""),0.0)</f>
        <v>0</v>
      </c>
      <c r="J336" s="4">
        <f>IFERROR(__xludf.DUMMYFUNCTION("""COMPUTED_VALUE"""),14.63)</f>
        <v>14.63</v>
      </c>
      <c r="K336" s="2"/>
      <c r="L336" s="2" t="str">
        <f>IFERROR(__xludf.DUMMYFUNCTION("""COMPUTED_VALUE"""),"Delivered")</f>
        <v>Delivered</v>
      </c>
      <c r="M336" s="2" t="str">
        <f>IFERROR(__xludf.DUMMYFUNCTION("""COMPUTED_VALUE"""),"SAR")</f>
        <v>SAR</v>
      </c>
      <c r="N336" s="2" t="str">
        <f>IFERROR(__xludf.DUMMYFUNCTION("""COMPUTED_VALUE"""),"Credit, Debit, Apple Pay")</f>
        <v>Credit, Debit, Apple Pay</v>
      </c>
      <c r="O336" s="4">
        <f>IFERROR(__xludf.DUMMYFUNCTION("""COMPUTED_VALUE"""),0.0)</f>
        <v>0</v>
      </c>
      <c r="P336" s="2">
        <f>IFERROR(__xludf.DUMMYFUNCTION("""COMPUTED_VALUE"""),23.0)</f>
        <v>23</v>
      </c>
      <c r="Q336" s="2">
        <f>IFERROR(__xludf.DUMMYFUNCTION("""COMPUTED_VALUE"""),4.0)</f>
        <v>4</v>
      </c>
      <c r="R336" s="2">
        <f>IFERROR(__xludf.DUMMYFUNCTION("""COMPUTED_VALUE"""),2025.0)</f>
        <v>2025</v>
      </c>
      <c r="S336" s="2" t="str">
        <f>IFERROR(__xludf.DUMMYFUNCTION("""COMPUTED_VALUE"""),"Digizag")</f>
        <v>Digizag</v>
      </c>
      <c r="T336" s="2" t="str">
        <f>IFERROR(__xludf.DUMMYFUNCTION("""COMPUTED_VALUE"""),"Digizag")</f>
        <v>Digizag</v>
      </c>
      <c r="U336" s="5">
        <f>IFERROR(__xludf.DUMMYFUNCTION("""COMPUTED_VALUE"""),39.02098237164)</f>
        <v>39.02098237</v>
      </c>
      <c r="V336" s="2"/>
      <c r="W336" s="2"/>
      <c r="X336" s="2"/>
      <c r="Y336" s="2"/>
      <c r="Z336" s="2"/>
    </row>
    <row r="337">
      <c r="A337" s="6">
        <f>IFERROR(__xludf.DUMMYFUNCTION("""COMPUTED_VALUE"""),45770.784374999996)</f>
        <v>45770.78438</v>
      </c>
      <c r="B337" s="2" t="str">
        <f>IFERROR(__xludf.DUMMYFUNCTION("""COMPUTED_VALUE"""),"April")</f>
        <v>April</v>
      </c>
      <c r="C337" s="3">
        <f>IFERROR(__xludf.DUMMYFUNCTION("""COMPUTED_VALUE"""),9816.0)</f>
        <v>9816</v>
      </c>
      <c r="D337" s="2" t="str">
        <f>IFERROR(__xludf.DUMMYFUNCTION("""COMPUTED_VALUE"""),"DB3")</f>
        <v>DB3</v>
      </c>
      <c r="E337" s="2" t="str">
        <f>IFERROR(__xludf.DUMMYFUNCTION("""COMPUTED_VALUE"""),"Imported from file Digizag.xlsx")</f>
        <v>Imported from file Digizag.xlsx</v>
      </c>
      <c r="F337" s="2" t="str">
        <f>IFERROR(__xludf.DUMMYFUNCTION("""COMPUTED_VALUE"""),"EEK736042")</f>
        <v>EEK736042</v>
      </c>
      <c r="G337" s="2" t="str">
        <f>IFERROR(__xludf.DUMMYFUNCTION("""COMPUTED_VALUE"""),"Kingdom of Saudi Arabia")</f>
        <v>Kingdom of Saudi Arabia</v>
      </c>
      <c r="H337" s="4">
        <f>IFERROR(__xludf.DUMMYFUNCTION("""COMPUTED_VALUE"""),89.0)</f>
        <v>89</v>
      </c>
      <c r="I337" s="3">
        <f>IFERROR(__xludf.DUMMYFUNCTION("""COMPUTED_VALUE"""),0.0)</f>
        <v>0</v>
      </c>
      <c r="J337" s="4">
        <f>IFERROR(__xludf.DUMMYFUNCTION("""COMPUTED_VALUE"""),8.9)</f>
        <v>8.9</v>
      </c>
      <c r="K337" s="2"/>
      <c r="L337" s="2" t="str">
        <f>IFERROR(__xludf.DUMMYFUNCTION("""COMPUTED_VALUE"""),"Processing")</f>
        <v>Processing</v>
      </c>
      <c r="M337" s="2" t="str">
        <f>IFERROR(__xludf.DUMMYFUNCTION("""COMPUTED_VALUE"""),"SAR")</f>
        <v>SAR</v>
      </c>
      <c r="N337" s="2" t="str">
        <f>IFERROR(__xludf.DUMMYFUNCTION("""COMPUTED_VALUE"""),"Credit, Debit, Apple Pay")</f>
        <v>Credit, Debit, Apple Pay</v>
      </c>
      <c r="O337" s="4">
        <f>IFERROR(__xludf.DUMMYFUNCTION("""COMPUTED_VALUE"""),0.0)</f>
        <v>0</v>
      </c>
      <c r="P337" s="2">
        <f>IFERROR(__xludf.DUMMYFUNCTION("""COMPUTED_VALUE"""),23.0)</f>
        <v>23</v>
      </c>
      <c r="Q337" s="2">
        <f>IFERROR(__xludf.DUMMYFUNCTION("""COMPUTED_VALUE"""),4.0)</f>
        <v>4</v>
      </c>
      <c r="R337" s="2">
        <f>IFERROR(__xludf.DUMMYFUNCTION("""COMPUTED_VALUE"""),2025.0)</f>
        <v>2025</v>
      </c>
      <c r="S337" s="2" t="str">
        <f>IFERROR(__xludf.DUMMYFUNCTION("""COMPUTED_VALUE"""),"Digizag")</f>
        <v>Digizag</v>
      </c>
      <c r="T337" s="2" t="str">
        <f>IFERROR(__xludf.DUMMYFUNCTION("""COMPUTED_VALUE"""),"Digizag")</f>
        <v>Digizag</v>
      </c>
      <c r="U337" s="5">
        <f>IFERROR(__xludf.DUMMYFUNCTION("""COMPUTED_VALUE"""),23.731498094000003)</f>
        <v>23.73149809</v>
      </c>
      <c r="V337" s="2"/>
      <c r="W337" s="2"/>
      <c r="X337" s="2"/>
      <c r="Y337" s="2"/>
      <c r="Z337" s="2"/>
    </row>
    <row r="338">
      <c r="A338" s="6">
        <f>IFERROR(__xludf.DUMMYFUNCTION("""COMPUTED_VALUE"""),45771.01359953704)</f>
        <v>45771.0136</v>
      </c>
      <c r="B338" s="2" t="str">
        <f>IFERROR(__xludf.DUMMYFUNCTION("""COMPUTED_VALUE"""),"April")</f>
        <v>April</v>
      </c>
      <c r="C338" s="3">
        <f>IFERROR(__xludf.DUMMYFUNCTION("""COMPUTED_VALUE"""),400798.0)</f>
        <v>400798</v>
      </c>
      <c r="D338" s="2" t="str">
        <f>IFERROR(__xludf.DUMMYFUNCTION("""COMPUTED_VALUE"""),"MNN16")</f>
        <v>MNN16</v>
      </c>
      <c r="E338" s="2" t="str">
        <f>IFERROR(__xludf.DUMMYFUNCTION("""COMPUTED_VALUE"""),"Imported from file DigiZag Bidding Codes.xlsx")</f>
        <v>Imported from file DigiZag Bidding Codes.xlsx</v>
      </c>
      <c r="F338" s="2" t="str">
        <f>IFERROR(__xludf.DUMMYFUNCTION("""COMPUTED_VALUE"""),"SEU222684")</f>
        <v>SEU222684</v>
      </c>
      <c r="G338" s="2" t="str">
        <f>IFERROR(__xludf.DUMMYFUNCTION("""COMPUTED_VALUE"""),"Kingdom of Saudi Arabia")</f>
        <v>Kingdom of Saudi Arabia</v>
      </c>
      <c r="H338" s="4">
        <f>IFERROR(__xludf.DUMMYFUNCTION("""COMPUTED_VALUE"""),232.0)</f>
        <v>232</v>
      </c>
      <c r="I338" s="3">
        <f>IFERROR(__xludf.DUMMYFUNCTION("""COMPUTED_VALUE"""),0.0)</f>
        <v>0</v>
      </c>
      <c r="J338" s="4">
        <f>IFERROR(__xludf.DUMMYFUNCTION("""COMPUTED_VALUE"""),23.2)</f>
        <v>23.2</v>
      </c>
      <c r="K338" s="2"/>
      <c r="L338" s="2" t="str">
        <f>IFERROR(__xludf.DUMMYFUNCTION("""COMPUTED_VALUE"""),"Delivered")</f>
        <v>Delivered</v>
      </c>
      <c r="M338" s="2" t="str">
        <f>IFERROR(__xludf.DUMMYFUNCTION("""COMPUTED_VALUE"""),"SAR")</f>
        <v>SAR</v>
      </c>
      <c r="N338" s="2" t="str">
        <f>IFERROR(__xludf.DUMMYFUNCTION("""COMPUTED_VALUE"""),"Credit, Debit, Apple Pay")</f>
        <v>Credit, Debit, Apple Pay</v>
      </c>
      <c r="O338" s="4">
        <f>IFERROR(__xludf.DUMMYFUNCTION("""COMPUTED_VALUE"""),0.0)</f>
        <v>0</v>
      </c>
      <c r="P338" s="2">
        <f>IFERROR(__xludf.DUMMYFUNCTION("""COMPUTED_VALUE"""),24.0)</f>
        <v>24</v>
      </c>
      <c r="Q338" s="2">
        <f>IFERROR(__xludf.DUMMYFUNCTION("""COMPUTED_VALUE"""),4.0)</f>
        <v>4</v>
      </c>
      <c r="R338" s="2">
        <f>IFERROR(__xludf.DUMMYFUNCTION("""COMPUTED_VALUE"""),2025.0)</f>
        <v>2025</v>
      </c>
      <c r="S338" s="2" t="str">
        <f>IFERROR(__xludf.DUMMYFUNCTION("""COMPUTED_VALUE"""),"Digizag")</f>
        <v>Digizag</v>
      </c>
      <c r="T338" s="2" t="str">
        <f>IFERROR(__xludf.DUMMYFUNCTION("""COMPUTED_VALUE"""),"Digizag")</f>
        <v>Digizag</v>
      </c>
      <c r="U338" s="5">
        <f>IFERROR(__xludf.DUMMYFUNCTION("""COMPUTED_VALUE"""),61.86188267200001)</f>
        <v>61.86188267</v>
      </c>
      <c r="V338" s="2"/>
      <c r="W338" s="2"/>
      <c r="X338" s="2"/>
      <c r="Y338" s="2"/>
      <c r="Z338" s="2"/>
    </row>
    <row r="339">
      <c r="A339" s="6">
        <f>IFERROR(__xludf.DUMMYFUNCTION("""COMPUTED_VALUE"""),45771.217777777776)</f>
        <v>45771.21778</v>
      </c>
      <c r="B339" s="2" t="str">
        <f>IFERROR(__xludf.DUMMYFUNCTION("""COMPUTED_VALUE"""),"April")</f>
        <v>April</v>
      </c>
      <c r="C339" s="3">
        <f>IFERROR(__xludf.DUMMYFUNCTION("""COMPUTED_VALUE"""),201032.0)</f>
        <v>201032</v>
      </c>
      <c r="D339" s="2" t="str">
        <f>IFERROR(__xludf.DUMMYFUNCTION("""COMPUTED_VALUE"""),"MNN16")</f>
        <v>MNN16</v>
      </c>
      <c r="E339" s="2" t="str">
        <f>IFERROR(__xludf.DUMMYFUNCTION("""COMPUTED_VALUE"""),"Imported from file DigiZag Codes 25Feb25.xlsx")</f>
        <v>Imported from file DigiZag Codes 25Feb25.xlsx</v>
      </c>
      <c r="F339" s="2" t="str">
        <f>IFERROR(__xludf.DUMMYFUNCTION("""COMPUTED_VALUE"""),"DSW725401")</f>
        <v>DSW725401</v>
      </c>
      <c r="G339" s="2" t="str">
        <f>IFERROR(__xludf.DUMMYFUNCTION("""COMPUTED_VALUE"""),"Bahrain")</f>
        <v>Bahrain</v>
      </c>
      <c r="H339" s="4">
        <f>IFERROR(__xludf.DUMMYFUNCTION("""COMPUTED_VALUE"""),18.76)</f>
        <v>18.76</v>
      </c>
      <c r="I339" s="3">
        <f>IFERROR(__xludf.DUMMYFUNCTION("""COMPUTED_VALUE"""),0.0)</f>
        <v>0</v>
      </c>
      <c r="J339" s="4">
        <f>IFERROR(__xludf.DUMMYFUNCTION("""COMPUTED_VALUE"""),1.87)</f>
        <v>1.87</v>
      </c>
      <c r="K339" s="2"/>
      <c r="L339" s="2" t="str">
        <f>IFERROR(__xludf.DUMMYFUNCTION("""COMPUTED_VALUE"""),"Delivered")</f>
        <v>Delivered</v>
      </c>
      <c r="M339" s="2" t="str">
        <f>IFERROR(__xludf.DUMMYFUNCTION("""COMPUTED_VALUE"""),"BHD")</f>
        <v>BHD</v>
      </c>
      <c r="N339" s="2" t="str">
        <f>IFERROR(__xludf.DUMMYFUNCTION("""COMPUTED_VALUE"""),"Credit, Debit")</f>
        <v>Credit, Debit</v>
      </c>
      <c r="O339" s="4">
        <f>IFERROR(__xludf.DUMMYFUNCTION("""COMPUTED_VALUE"""),0.0)</f>
        <v>0</v>
      </c>
      <c r="P339" s="2">
        <f>IFERROR(__xludf.DUMMYFUNCTION("""COMPUTED_VALUE"""),24.0)</f>
        <v>24</v>
      </c>
      <c r="Q339" s="2">
        <f>IFERROR(__xludf.DUMMYFUNCTION("""COMPUTED_VALUE"""),4.0)</f>
        <v>4</v>
      </c>
      <c r="R339" s="2">
        <f>IFERROR(__xludf.DUMMYFUNCTION("""COMPUTED_VALUE"""),2025.0)</f>
        <v>2025</v>
      </c>
      <c r="S339" s="2" t="str">
        <f>IFERROR(__xludf.DUMMYFUNCTION("""COMPUTED_VALUE"""),"Digizag")</f>
        <v>Digizag</v>
      </c>
      <c r="T339" s="2" t="str">
        <f>IFERROR(__xludf.DUMMYFUNCTION("""COMPUTED_VALUE"""),"Digizag")</f>
        <v>Digizag</v>
      </c>
      <c r="U339" s="5">
        <f>IFERROR(__xludf.DUMMYFUNCTION("""COMPUTED_VALUE"""),49.76872292)</f>
        <v>49.76872292</v>
      </c>
      <c r="V339" s="2"/>
      <c r="W339" s="2"/>
      <c r="X339" s="2"/>
      <c r="Y339" s="2"/>
      <c r="Z339" s="2"/>
    </row>
    <row r="340">
      <c r="A340" s="6">
        <f>IFERROR(__xludf.DUMMYFUNCTION("""COMPUTED_VALUE"""),45771.455613425926)</f>
        <v>45771.45561</v>
      </c>
      <c r="B340" s="2" t="str">
        <f>IFERROR(__xludf.DUMMYFUNCTION("""COMPUTED_VALUE"""),"April")</f>
        <v>April</v>
      </c>
      <c r="C340" s="3">
        <f>IFERROR(__xludf.DUMMYFUNCTION("""COMPUTED_VALUE"""),490482.0)</f>
        <v>490482</v>
      </c>
      <c r="D340" s="2" t="str">
        <f>IFERROR(__xludf.DUMMYFUNCTION("""COMPUTED_VALUE"""),"MNN16")</f>
        <v>MNN16</v>
      </c>
      <c r="E340" s="2" t="str">
        <f>IFERROR(__xludf.DUMMYFUNCTION("""COMPUTED_VALUE"""),"Imported from file DigiZag Codes 25Feb25.xlsx")</f>
        <v>Imported from file DigiZag Codes 25Feb25.xlsx</v>
      </c>
      <c r="F340" s="2" t="str">
        <f>IFERROR(__xludf.DUMMYFUNCTION("""COMPUTED_VALUE"""),"NNL426871")</f>
        <v>NNL426871</v>
      </c>
      <c r="G340" s="2" t="str">
        <f>IFERROR(__xludf.DUMMYFUNCTION("""COMPUTED_VALUE"""),"Kuwait")</f>
        <v>Kuwait</v>
      </c>
      <c r="H340" s="4">
        <f>IFERROR(__xludf.DUMMYFUNCTION("""COMPUTED_VALUE"""),21.3)</f>
        <v>21.3</v>
      </c>
      <c r="I340" s="3">
        <f>IFERROR(__xludf.DUMMYFUNCTION("""COMPUTED_VALUE"""),0.0)</f>
        <v>0</v>
      </c>
      <c r="J340" s="4">
        <f>IFERROR(__xludf.DUMMYFUNCTION("""COMPUTED_VALUE"""),2.13)</f>
        <v>2.13</v>
      </c>
      <c r="K340" s="2"/>
      <c r="L340" s="2" t="str">
        <f>IFERROR(__xludf.DUMMYFUNCTION("""COMPUTED_VALUE"""),"Delivered")</f>
        <v>Delivered</v>
      </c>
      <c r="M340" s="2" t="str">
        <f>IFERROR(__xludf.DUMMYFUNCTION("""COMPUTED_VALUE"""),"KD")</f>
        <v>KD</v>
      </c>
      <c r="N340" s="2" t="str">
        <f>IFERROR(__xludf.DUMMYFUNCTION("""COMPUTED_VALUE"""),"Credit, Debit, Knet")</f>
        <v>Credit, Debit, Knet</v>
      </c>
      <c r="O340" s="4">
        <f>IFERROR(__xludf.DUMMYFUNCTION("""COMPUTED_VALUE"""),0.0)</f>
        <v>0</v>
      </c>
      <c r="P340" s="2">
        <f>IFERROR(__xludf.DUMMYFUNCTION("""COMPUTED_VALUE"""),24.0)</f>
        <v>24</v>
      </c>
      <c r="Q340" s="2">
        <f>IFERROR(__xludf.DUMMYFUNCTION("""COMPUTED_VALUE"""),4.0)</f>
        <v>4</v>
      </c>
      <c r="R340" s="2">
        <f>IFERROR(__xludf.DUMMYFUNCTION("""COMPUTED_VALUE"""),2025.0)</f>
        <v>2025</v>
      </c>
      <c r="S340" s="2" t="str">
        <f>IFERROR(__xludf.DUMMYFUNCTION("""COMPUTED_VALUE"""),"Digizag")</f>
        <v>Digizag</v>
      </c>
      <c r="T340" s="2" t="str">
        <f>IFERROR(__xludf.DUMMYFUNCTION("""COMPUTED_VALUE"""),"Digizag")</f>
        <v>Digizag</v>
      </c>
      <c r="U340" s="5">
        <f>IFERROR(__xludf.DUMMYFUNCTION("""COMPUTED_VALUE"""),69.451206)</f>
        <v>69.451206</v>
      </c>
      <c r="V340" s="2"/>
      <c r="W340" s="2"/>
      <c r="X340" s="2"/>
      <c r="Y340" s="2"/>
      <c r="Z340" s="2"/>
    </row>
    <row r="341">
      <c r="A341" s="6">
        <f>IFERROR(__xludf.DUMMYFUNCTION("""COMPUTED_VALUE"""),45771.49376157407)</f>
        <v>45771.49376</v>
      </c>
      <c r="B341" s="2" t="str">
        <f>IFERROR(__xludf.DUMMYFUNCTION("""COMPUTED_VALUE"""),"April")</f>
        <v>April</v>
      </c>
      <c r="C341" s="3">
        <f>IFERROR(__xludf.DUMMYFUNCTION("""COMPUTED_VALUE"""),724827.0)</f>
        <v>724827</v>
      </c>
      <c r="D341" s="2" t="str">
        <f>IFERROR(__xludf.DUMMYFUNCTION("""COMPUTED_VALUE"""),"DB3")</f>
        <v>DB3</v>
      </c>
      <c r="E341" s="2" t="str">
        <f>IFERROR(__xludf.DUMMYFUNCTION("""COMPUTED_VALUE"""),"Imported from file Digizag.xlsx")</f>
        <v>Imported from file Digizag.xlsx</v>
      </c>
      <c r="F341" s="2" t="str">
        <f>IFERROR(__xludf.DUMMYFUNCTION("""COMPUTED_VALUE"""),"MEP102019")</f>
        <v>MEP102019</v>
      </c>
      <c r="G341" s="2" t="str">
        <f>IFERROR(__xludf.DUMMYFUNCTION("""COMPUTED_VALUE"""),"Kuwait")</f>
        <v>Kuwait</v>
      </c>
      <c r="H341" s="4">
        <f>IFERROR(__xludf.DUMMYFUNCTION("""COMPUTED_VALUE"""),30.7)</f>
        <v>30.7</v>
      </c>
      <c r="I341" s="3">
        <f>IFERROR(__xludf.DUMMYFUNCTION("""COMPUTED_VALUE"""),0.0)</f>
        <v>0</v>
      </c>
      <c r="J341" s="4">
        <f>IFERROR(__xludf.DUMMYFUNCTION("""COMPUTED_VALUE"""),3.07)</f>
        <v>3.07</v>
      </c>
      <c r="K341" s="2"/>
      <c r="L341" s="2" t="str">
        <f>IFERROR(__xludf.DUMMYFUNCTION("""COMPUTED_VALUE"""),"Delivered")</f>
        <v>Delivered</v>
      </c>
      <c r="M341" s="2" t="str">
        <f>IFERROR(__xludf.DUMMYFUNCTION("""COMPUTED_VALUE"""),"KD")</f>
        <v>KD</v>
      </c>
      <c r="N341" s="2" t="str">
        <f>IFERROR(__xludf.DUMMYFUNCTION("""COMPUTED_VALUE"""),"Credit, Debit, Knet")</f>
        <v>Credit, Debit, Knet</v>
      </c>
      <c r="O341" s="4">
        <f>IFERROR(__xludf.DUMMYFUNCTION("""COMPUTED_VALUE"""),0.0)</f>
        <v>0</v>
      </c>
      <c r="P341" s="2">
        <f>IFERROR(__xludf.DUMMYFUNCTION("""COMPUTED_VALUE"""),24.0)</f>
        <v>24</v>
      </c>
      <c r="Q341" s="2">
        <f>IFERROR(__xludf.DUMMYFUNCTION("""COMPUTED_VALUE"""),4.0)</f>
        <v>4</v>
      </c>
      <c r="R341" s="2">
        <f>IFERROR(__xludf.DUMMYFUNCTION("""COMPUTED_VALUE"""),2025.0)</f>
        <v>2025</v>
      </c>
      <c r="S341" s="2" t="str">
        <f>IFERROR(__xludf.DUMMYFUNCTION("""COMPUTED_VALUE"""),"Digizag")</f>
        <v>Digizag</v>
      </c>
      <c r="T341" s="2" t="str">
        <f>IFERROR(__xludf.DUMMYFUNCTION("""COMPUTED_VALUE"""),"Digizag")</f>
        <v>Digizag</v>
      </c>
      <c r="U341" s="5">
        <f>IFERROR(__xludf.DUMMYFUNCTION("""COMPUTED_VALUE"""),100.101034)</f>
        <v>100.101034</v>
      </c>
      <c r="V341" s="2"/>
      <c r="W341" s="2"/>
      <c r="X341" s="2"/>
      <c r="Y341" s="2"/>
      <c r="Z341" s="2"/>
    </row>
    <row r="342">
      <c r="A342" s="6">
        <f>IFERROR(__xludf.DUMMYFUNCTION("""COMPUTED_VALUE"""),45771.71822916666)</f>
        <v>45771.71823</v>
      </c>
      <c r="B342" s="2" t="str">
        <f>IFERROR(__xludf.DUMMYFUNCTION("""COMPUTED_VALUE"""),"April")</f>
        <v>April</v>
      </c>
      <c r="C342" s="3">
        <f>IFERROR(__xludf.DUMMYFUNCTION("""COMPUTED_VALUE"""),572899.0)</f>
        <v>572899</v>
      </c>
      <c r="D342" s="2" t="str">
        <f>IFERROR(__xludf.DUMMYFUNCTION("""COMPUTED_VALUE"""),"MNN16")</f>
        <v>MNN16</v>
      </c>
      <c r="E342" s="2" t="str">
        <f>IFERROR(__xludf.DUMMYFUNCTION("""COMPUTED_VALUE"""),"Imported from file DigiZag Codes 25Feb25.xlsx")</f>
        <v>Imported from file DigiZag Codes 25Feb25.xlsx</v>
      </c>
      <c r="F342" s="2" t="str">
        <f>IFERROR(__xludf.DUMMYFUNCTION("""COMPUTED_VALUE"""),"NGB887980")</f>
        <v>NGB887980</v>
      </c>
      <c r="G342" s="2" t="str">
        <f>IFERROR(__xludf.DUMMYFUNCTION("""COMPUTED_VALUE"""),"Kuwait")</f>
        <v>Kuwait</v>
      </c>
      <c r="H342" s="4">
        <f>IFERROR(__xludf.DUMMYFUNCTION("""COMPUTED_VALUE"""),17.85)</f>
        <v>17.85</v>
      </c>
      <c r="I342" s="3">
        <f>IFERROR(__xludf.DUMMYFUNCTION("""COMPUTED_VALUE"""),0.0)</f>
        <v>0</v>
      </c>
      <c r="J342" s="4">
        <f>IFERROR(__xludf.DUMMYFUNCTION("""COMPUTED_VALUE"""),1.785)</f>
        <v>1.785</v>
      </c>
      <c r="K342" s="2"/>
      <c r="L342" s="2" t="str">
        <f>IFERROR(__xludf.DUMMYFUNCTION("""COMPUTED_VALUE"""),"Processing")</f>
        <v>Processing</v>
      </c>
      <c r="M342" s="2" t="str">
        <f>IFERROR(__xludf.DUMMYFUNCTION("""COMPUTED_VALUE"""),"KD")</f>
        <v>KD</v>
      </c>
      <c r="N342" s="2" t="str">
        <f>IFERROR(__xludf.DUMMYFUNCTION("""COMPUTED_VALUE"""),"Credit, Debit, Knet")</f>
        <v>Credit, Debit, Knet</v>
      </c>
      <c r="O342" s="4">
        <f>IFERROR(__xludf.DUMMYFUNCTION("""COMPUTED_VALUE"""),0.0)</f>
        <v>0</v>
      </c>
      <c r="P342" s="2">
        <f>IFERROR(__xludf.DUMMYFUNCTION("""COMPUTED_VALUE"""),24.0)</f>
        <v>24</v>
      </c>
      <c r="Q342" s="2">
        <f>IFERROR(__xludf.DUMMYFUNCTION("""COMPUTED_VALUE"""),4.0)</f>
        <v>4</v>
      </c>
      <c r="R342" s="2">
        <f>IFERROR(__xludf.DUMMYFUNCTION("""COMPUTED_VALUE"""),2025.0)</f>
        <v>2025</v>
      </c>
      <c r="S342" s="2" t="str">
        <f>IFERROR(__xludf.DUMMYFUNCTION("""COMPUTED_VALUE"""),"Digizag")</f>
        <v>Digizag</v>
      </c>
      <c r="T342" s="2" t="str">
        <f>IFERROR(__xludf.DUMMYFUNCTION("""COMPUTED_VALUE"""),"Digizag")</f>
        <v>Digizag</v>
      </c>
      <c r="U342" s="5">
        <f>IFERROR(__xludf.DUMMYFUNCTION("""COMPUTED_VALUE"""),58.202067)</f>
        <v>58.202067</v>
      </c>
      <c r="V342" s="2"/>
      <c r="W342" s="2"/>
      <c r="X342" s="2"/>
      <c r="Y342" s="2"/>
      <c r="Z342" s="2"/>
    </row>
    <row r="343">
      <c r="A343" s="6">
        <f>IFERROR(__xludf.DUMMYFUNCTION("""COMPUTED_VALUE"""),45771.7374074074)</f>
        <v>45771.73741</v>
      </c>
      <c r="B343" s="2" t="str">
        <f>IFERROR(__xludf.DUMMYFUNCTION("""COMPUTED_VALUE"""),"April")</f>
        <v>April</v>
      </c>
      <c r="C343" s="3">
        <f>IFERROR(__xludf.DUMMYFUNCTION("""COMPUTED_VALUE"""),579606.0)</f>
        <v>579606</v>
      </c>
      <c r="D343" s="2" t="str">
        <f>IFERROR(__xludf.DUMMYFUNCTION("""COMPUTED_VALUE"""),"MNN16")</f>
        <v>MNN16</v>
      </c>
      <c r="E343" s="2" t="str">
        <f>IFERROR(__xludf.DUMMYFUNCTION("""COMPUTED_VALUE"""),"Imported from file DigiZag Bidding Codes.xlsx")</f>
        <v>Imported from file DigiZag Bidding Codes.xlsx</v>
      </c>
      <c r="F343" s="2" t="str">
        <f>IFERROR(__xludf.DUMMYFUNCTION("""COMPUTED_VALUE"""),"QQB771092")</f>
        <v>QQB771092</v>
      </c>
      <c r="G343" s="2" t="str">
        <f>IFERROR(__xludf.DUMMYFUNCTION("""COMPUTED_VALUE"""),"Kingdom of Saudi Arabia")</f>
        <v>Kingdom of Saudi Arabia</v>
      </c>
      <c r="H343" s="4">
        <f>IFERROR(__xludf.DUMMYFUNCTION("""COMPUTED_VALUE"""),260.0)</f>
        <v>260</v>
      </c>
      <c r="I343" s="3">
        <f>IFERROR(__xludf.DUMMYFUNCTION("""COMPUTED_VALUE"""),0.0)</f>
        <v>0</v>
      </c>
      <c r="J343" s="4">
        <f>IFERROR(__xludf.DUMMYFUNCTION("""COMPUTED_VALUE"""),26.0)</f>
        <v>26</v>
      </c>
      <c r="K343" s="2"/>
      <c r="L343" s="2" t="str">
        <f>IFERROR(__xludf.DUMMYFUNCTION("""COMPUTED_VALUE"""),"Processing")</f>
        <v>Processing</v>
      </c>
      <c r="M343" s="2" t="str">
        <f>IFERROR(__xludf.DUMMYFUNCTION("""COMPUTED_VALUE"""),"SAR")</f>
        <v>SAR</v>
      </c>
      <c r="N343" s="2" t="str">
        <f>IFERROR(__xludf.DUMMYFUNCTION("""COMPUTED_VALUE"""),"Credit, Debit, Apple Pay")</f>
        <v>Credit, Debit, Apple Pay</v>
      </c>
      <c r="O343" s="4">
        <f>IFERROR(__xludf.DUMMYFUNCTION("""COMPUTED_VALUE"""),0.0)</f>
        <v>0</v>
      </c>
      <c r="P343" s="2">
        <f>IFERROR(__xludf.DUMMYFUNCTION("""COMPUTED_VALUE"""),24.0)</f>
        <v>24</v>
      </c>
      <c r="Q343" s="2">
        <f>IFERROR(__xludf.DUMMYFUNCTION("""COMPUTED_VALUE"""),4.0)</f>
        <v>4</v>
      </c>
      <c r="R343" s="2">
        <f>IFERROR(__xludf.DUMMYFUNCTION("""COMPUTED_VALUE"""),2025.0)</f>
        <v>2025</v>
      </c>
      <c r="S343" s="2" t="str">
        <f>IFERROR(__xludf.DUMMYFUNCTION("""COMPUTED_VALUE"""),"Digizag")</f>
        <v>Digizag</v>
      </c>
      <c r="T343" s="2" t="str">
        <f>IFERROR(__xludf.DUMMYFUNCTION("""COMPUTED_VALUE"""),"Digizag")</f>
        <v>Digizag</v>
      </c>
      <c r="U343" s="5">
        <f>IFERROR(__xludf.DUMMYFUNCTION("""COMPUTED_VALUE"""),69.32797196000001)</f>
        <v>69.32797196</v>
      </c>
      <c r="V343" s="2"/>
      <c r="W343" s="2"/>
      <c r="X343" s="2"/>
      <c r="Y343" s="2"/>
      <c r="Z343" s="2"/>
    </row>
    <row r="344">
      <c r="A344" s="6">
        <f>IFERROR(__xludf.DUMMYFUNCTION("""COMPUTED_VALUE"""),45772.34570601852)</f>
        <v>45772.34571</v>
      </c>
      <c r="B344" s="2" t="str">
        <f>IFERROR(__xludf.DUMMYFUNCTION("""COMPUTED_VALUE"""),"April")</f>
        <v>April</v>
      </c>
      <c r="C344" s="3">
        <f>IFERROR(__xludf.DUMMYFUNCTION("""COMPUTED_VALUE"""),121783.0)</f>
        <v>121783</v>
      </c>
      <c r="D344" s="2" t="str">
        <f>IFERROR(__xludf.DUMMYFUNCTION("""COMPUTED_VALUE"""),"MNN16")</f>
        <v>MNN16</v>
      </c>
      <c r="E344" s="2" t="str">
        <f>IFERROR(__xludf.DUMMYFUNCTION("""COMPUTED_VALUE"""),"Imported from file DigiZag Codes 25Feb25.xlsx")</f>
        <v>Imported from file DigiZag Codes 25Feb25.xlsx</v>
      </c>
      <c r="F344" s="2" t="str">
        <f>IFERROR(__xludf.DUMMYFUNCTION("""COMPUTED_VALUE"""),"SXV349295")</f>
        <v>SXV349295</v>
      </c>
      <c r="G344" s="2" t="str">
        <f>IFERROR(__xludf.DUMMYFUNCTION("""COMPUTED_VALUE"""),"Kuwait")</f>
        <v>Kuwait</v>
      </c>
      <c r="H344" s="4">
        <f>IFERROR(__xludf.DUMMYFUNCTION("""COMPUTED_VALUE"""),23.8)</f>
        <v>23.8</v>
      </c>
      <c r="I344" s="3">
        <f>IFERROR(__xludf.DUMMYFUNCTION("""COMPUTED_VALUE"""),0.0)</f>
        <v>0</v>
      </c>
      <c r="J344" s="4">
        <f>IFERROR(__xludf.DUMMYFUNCTION("""COMPUTED_VALUE"""),2.38)</f>
        <v>2.38</v>
      </c>
      <c r="K344" s="2"/>
      <c r="L344" s="2" t="str">
        <f>IFERROR(__xludf.DUMMYFUNCTION("""COMPUTED_VALUE"""),"Delivered")</f>
        <v>Delivered</v>
      </c>
      <c r="M344" s="2" t="str">
        <f>IFERROR(__xludf.DUMMYFUNCTION("""COMPUTED_VALUE"""),"KD")</f>
        <v>KD</v>
      </c>
      <c r="N344" s="2" t="str">
        <f>IFERROR(__xludf.DUMMYFUNCTION("""COMPUTED_VALUE"""),"Credit, Debit, Knet")</f>
        <v>Credit, Debit, Knet</v>
      </c>
      <c r="O344" s="4">
        <f>IFERROR(__xludf.DUMMYFUNCTION("""COMPUTED_VALUE"""),0.0)</f>
        <v>0</v>
      </c>
      <c r="P344" s="2">
        <f>IFERROR(__xludf.DUMMYFUNCTION("""COMPUTED_VALUE"""),25.0)</f>
        <v>25</v>
      </c>
      <c r="Q344" s="2">
        <f>IFERROR(__xludf.DUMMYFUNCTION("""COMPUTED_VALUE"""),4.0)</f>
        <v>4</v>
      </c>
      <c r="R344" s="2">
        <f>IFERROR(__xludf.DUMMYFUNCTION("""COMPUTED_VALUE"""),2025.0)</f>
        <v>2025</v>
      </c>
      <c r="S344" s="2" t="str">
        <f>IFERROR(__xludf.DUMMYFUNCTION("""COMPUTED_VALUE"""),"Digizag")</f>
        <v>Digizag</v>
      </c>
      <c r="T344" s="2" t="str">
        <f>IFERROR(__xludf.DUMMYFUNCTION("""COMPUTED_VALUE"""),"Digizag")</f>
        <v>Digizag</v>
      </c>
      <c r="U344" s="5">
        <f>IFERROR(__xludf.DUMMYFUNCTION("""COMPUTED_VALUE"""),77.602756)</f>
        <v>77.602756</v>
      </c>
      <c r="V344" s="2"/>
      <c r="W344" s="2"/>
      <c r="X344" s="2"/>
      <c r="Y344" s="2"/>
      <c r="Z344" s="2"/>
    </row>
    <row r="345">
      <c r="A345" s="6">
        <f>IFERROR(__xludf.DUMMYFUNCTION("""COMPUTED_VALUE"""),45772.420648148145)</f>
        <v>45772.42065</v>
      </c>
      <c r="B345" s="2" t="str">
        <f>IFERROR(__xludf.DUMMYFUNCTION("""COMPUTED_VALUE"""),"April")</f>
        <v>April</v>
      </c>
      <c r="C345" s="3">
        <f>IFERROR(__xludf.DUMMYFUNCTION("""COMPUTED_VALUE"""),725454.0)</f>
        <v>725454</v>
      </c>
      <c r="D345" s="2" t="str">
        <f>IFERROR(__xludf.DUMMYFUNCTION("""COMPUTED_VALUE"""),"MNN16")</f>
        <v>MNN16</v>
      </c>
      <c r="E345" s="2" t="str">
        <f>IFERROR(__xludf.DUMMYFUNCTION("""COMPUTED_VALUE"""),"Imported from file DigiZag Codes 25Feb25.xlsx")</f>
        <v>Imported from file DigiZag Codes 25Feb25.xlsx</v>
      </c>
      <c r="F345" s="2" t="str">
        <f>IFERROR(__xludf.DUMMYFUNCTION("""COMPUTED_VALUE"""),"PGX768084")</f>
        <v>PGX768084</v>
      </c>
      <c r="G345" s="2" t="str">
        <f>IFERROR(__xludf.DUMMYFUNCTION("""COMPUTED_VALUE"""),"UAE")</f>
        <v>UAE</v>
      </c>
      <c r="H345" s="4">
        <f>IFERROR(__xludf.DUMMYFUNCTION("""COMPUTED_VALUE"""),146.0)</f>
        <v>146</v>
      </c>
      <c r="I345" s="3">
        <f>IFERROR(__xludf.DUMMYFUNCTION("""COMPUTED_VALUE"""),0.0)</f>
        <v>0</v>
      </c>
      <c r="J345" s="4">
        <f>IFERROR(__xludf.DUMMYFUNCTION("""COMPUTED_VALUE"""),14.6)</f>
        <v>14.6</v>
      </c>
      <c r="K345" s="2"/>
      <c r="L345" s="2" t="str">
        <f>IFERROR(__xludf.DUMMYFUNCTION("""COMPUTED_VALUE"""),"Processing")</f>
        <v>Processing</v>
      </c>
      <c r="M345" s="2" t="str">
        <f>IFERROR(__xludf.DUMMYFUNCTION("""COMPUTED_VALUE"""),"AED")</f>
        <v>AED</v>
      </c>
      <c r="N345" s="2" t="str">
        <f>IFERROR(__xludf.DUMMYFUNCTION("""COMPUTED_VALUE"""),"Credit, Debit , Apple Pay")</f>
        <v>Credit, Debit , Apple Pay</v>
      </c>
      <c r="O345" s="4">
        <f>IFERROR(__xludf.DUMMYFUNCTION("""COMPUTED_VALUE"""),0.0)</f>
        <v>0</v>
      </c>
      <c r="P345" s="2">
        <f>IFERROR(__xludf.DUMMYFUNCTION("""COMPUTED_VALUE"""),25.0)</f>
        <v>25</v>
      </c>
      <c r="Q345" s="2">
        <f>IFERROR(__xludf.DUMMYFUNCTION("""COMPUTED_VALUE"""),4.0)</f>
        <v>4</v>
      </c>
      <c r="R345" s="2">
        <f>IFERROR(__xludf.DUMMYFUNCTION("""COMPUTED_VALUE"""),2025.0)</f>
        <v>2025</v>
      </c>
      <c r="S345" s="2" t="str">
        <f>IFERROR(__xludf.DUMMYFUNCTION("""COMPUTED_VALUE"""),"Digizag")</f>
        <v>Digizag</v>
      </c>
      <c r="T345" s="2" t="str">
        <f>IFERROR(__xludf.DUMMYFUNCTION("""COMPUTED_VALUE"""),"Digizag")</f>
        <v>Digizag</v>
      </c>
      <c r="U345" s="5">
        <f>IFERROR(__xludf.DUMMYFUNCTION("""COMPUTED_VALUE"""),39.754935388)</f>
        <v>39.75493539</v>
      </c>
      <c r="V345" s="2"/>
      <c r="W345" s="2"/>
      <c r="X345" s="2"/>
      <c r="Y345" s="2"/>
      <c r="Z345" s="2"/>
    </row>
    <row r="346">
      <c r="A346" s="6">
        <f>IFERROR(__xludf.DUMMYFUNCTION("""COMPUTED_VALUE"""),45772.484814814816)</f>
        <v>45772.48481</v>
      </c>
      <c r="B346" s="2" t="str">
        <f>IFERROR(__xludf.DUMMYFUNCTION("""COMPUTED_VALUE"""),"April")</f>
        <v>April</v>
      </c>
      <c r="C346" s="3">
        <f>IFERROR(__xludf.DUMMYFUNCTION("""COMPUTED_VALUE"""),305831.0)</f>
        <v>305831</v>
      </c>
      <c r="D346" s="2" t="str">
        <f>IFERROR(__xludf.DUMMYFUNCTION("""COMPUTED_VALUE"""),"DB1")</f>
        <v>DB1</v>
      </c>
      <c r="E346" s="2" t="str">
        <f>IFERROR(__xludf.DUMMYFUNCTION("""COMPUTED_VALUE"""),"Imported from file Digizag.xlsx")</f>
        <v>Imported from file Digizag.xlsx</v>
      </c>
      <c r="F346" s="2" t="str">
        <f>IFERROR(__xludf.DUMMYFUNCTION("""COMPUTED_VALUE"""),"RUZ314317")</f>
        <v>RUZ314317</v>
      </c>
      <c r="G346" s="2" t="str">
        <f>IFERROR(__xludf.DUMMYFUNCTION("""COMPUTED_VALUE"""),"Kingdom of Saudi Arabia")</f>
        <v>Kingdom of Saudi Arabia</v>
      </c>
      <c r="H346" s="4">
        <f>IFERROR(__xludf.DUMMYFUNCTION("""COMPUTED_VALUE"""),173.03)</f>
        <v>173.03</v>
      </c>
      <c r="I346" s="3">
        <f>IFERROR(__xludf.DUMMYFUNCTION("""COMPUTED_VALUE"""),1.0)</f>
        <v>1</v>
      </c>
      <c r="J346" s="4">
        <f>IFERROR(__xludf.DUMMYFUNCTION("""COMPUTED_VALUE"""),17.3)</f>
        <v>17.3</v>
      </c>
      <c r="K346" s="2"/>
      <c r="L346" s="2" t="str">
        <f>IFERROR(__xludf.DUMMYFUNCTION("""COMPUTED_VALUE"""),"Cancelled")</f>
        <v>Cancelled</v>
      </c>
      <c r="M346" s="2" t="str">
        <f>IFERROR(__xludf.DUMMYFUNCTION("""COMPUTED_VALUE"""),"SAR")</f>
        <v>SAR</v>
      </c>
      <c r="N346" s="2" t="str">
        <f>IFERROR(__xludf.DUMMYFUNCTION("""COMPUTED_VALUE"""),"Credit, Debit, Apple Pay")</f>
        <v>Credit, Debit, Apple Pay</v>
      </c>
      <c r="O346" s="4">
        <f>IFERROR(__xludf.DUMMYFUNCTION("""COMPUTED_VALUE"""),155.73)</f>
        <v>155.73</v>
      </c>
      <c r="P346" s="2">
        <f>IFERROR(__xludf.DUMMYFUNCTION("""COMPUTED_VALUE"""),25.0)</f>
        <v>25</v>
      </c>
      <c r="Q346" s="2">
        <f>IFERROR(__xludf.DUMMYFUNCTION("""COMPUTED_VALUE"""),4.0)</f>
        <v>4</v>
      </c>
      <c r="R346" s="2">
        <f>IFERROR(__xludf.DUMMYFUNCTION("""COMPUTED_VALUE"""),2025.0)</f>
        <v>2025</v>
      </c>
      <c r="S346" s="2" t="str">
        <f>IFERROR(__xludf.DUMMYFUNCTION("""COMPUTED_VALUE"""),"Digizag")</f>
        <v>Digizag</v>
      </c>
      <c r="T346" s="2" t="str">
        <f>IFERROR(__xludf.DUMMYFUNCTION("""COMPUTED_VALUE"""),"Digizag")</f>
        <v>Digizag</v>
      </c>
      <c r="U346" s="5">
        <f>IFERROR(__xludf.DUMMYFUNCTION("""COMPUTED_VALUE"""),46.13776533938)</f>
        <v>46.13776534</v>
      </c>
      <c r="V346" s="2"/>
      <c r="W346" s="2"/>
      <c r="X346" s="2"/>
      <c r="Y346" s="2"/>
      <c r="Z346" s="2"/>
    </row>
    <row r="347">
      <c r="A347" s="6">
        <f>IFERROR(__xludf.DUMMYFUNCTION("""COMPUTED_VALUE"""),45772.508877314816)</f>
        <v>45772.50888</v>
      </c>
      <c r="B347" s="2" t="str">
        <f>IFERROR(__xludf.DUMMYFUNCTION("""COMPUTED_VALUE"""),"April")</f>
        <v>April</v>
      </c>
      <c r="C347" s="3">
        <f>IFERROR(__xludf.DUMMYFUNCTION("""COMPUTED_VALUE"""),725594.0)</f>
        <v>725594</v>
      </c>
      <c r="D347" s="2" t="str">
        <f>IFERROR(__xludf.DUMMYFUNCTION("""COMPUTED_VALUE"""),"MNN16")</f>
        <v>MNN16</v>
      </c>
      <c r="E347" s="2" t="str">
        <f>IFERROR(__xludf.DUMMYFUNCTION("""COMPUTED_VALUE"""),"Imported from file DigiZag Codes 25Feb25.xlsx")</f>
        <v>Imported from file DigiZag Codes 25Feb25.xlsx</v>
      </c>
      <c r="F347" s="2" t="str">
        <f>IFERROR(__xludf.DUMMYFUNCTION("""COMPUTED_VALUE"""),"JVV403293")</f>
        <v>JVV403293</v>
      </c>
      <c r="G347" s="2" t="str">
        <f>IFERROR(__xludf.DUMMYFUNCTION("""COMPUTED_VALUE"""),"Kuwait")</f>
        <v>Kuwait</v>
      </c>
      <c r="H347" s="4">
        <f>IFERROR(__xludf.DUMMYFUNCTION("""COMPUTED_VALUE"""),8.5)</f>
        <v>8.5</v>
      </c>
      <c r="I347" s="3">
        <f>IFERROR(__xludf.DUMMYFUNCTION("""COMPUTED_VALUE"""),0.0)</f>
        <v>0</v>
      </c>
      <c r="J347" s="4">
        <f>IFERROR(__xludf.DUMMYFUNCTION("""COMPUTED_VALUE"""),0.85)</f>
        <v>0.85</v>
      </c>
      <c r="K347" s="2"/>
      <c r="L347" s="2" t="str">
        <f>IFERROR(__xludf.DUMMYFUNCTION("""COMPUTED_VALUE"""),"Delivered")</f>
        <v>Delivered</v>
      </c>
      <c r="M347" s="2" t="str">
        <f>IFERROR(__xludf.DUMMYFUNCTION("""COMPUTED_VALUE"""),"KD")</f>
        <v>KD</v>
      </c>
      <c r="N347" s="2" t="str">
        <f>IFERROR(__xludf.DUMMYFUNCTION("""COMPUTED_VALUE"""),"Credit, Debit, Knet")</f>
        <v>Credit, Debit, Knet</v>
      </c>
      <c r="O347" s="4">
        <f>IFERROR(__xludf.DUMMYFUNCTION("""COMPUTED_VALUE"""),0.0)</f>
        <v>0</v>
      </c>
      <c r="P347" s="2">
        <f>IFERROR(__xludf.DUMMYFUNCTION("""COMPUTED_VALUE"""),25.0)</f>
        <v>25</v>
      </c>
      <c r="Q347" s="2">
        <f>IFERROR(__xludf.DUMMYFUNCTION("""COMPUTED_VALUE"""),4.0)</f>
        <v>4</v>
      </c>
      <c r="R347" s="2">
        <f>IFERROR(__xludf.DUMMYFUNCTION("""COMPUTED_VALUE"""),2025.0)</f>
        <v>2025</v>
      </c>
      <c r="S347" s="2" t="str">
        <f>IFERROR(__xludf.DUMMYFUNCTION("""COMPUTED_VALUE"""),"Digizag")</f>
        <v>Digizag</v>
      </c>
      <c r="T347" s="2" t="str">
        <f>IFERROR(__xludf.DUMMYFUNCTION("""COMPUTED_VALUE"""),"Digizag")</f>
        <v>Digizag</v>
      </c>
      <c r="U347" s="5">
        <f>IFERROR(__xludf.DUMMYFUNCTION("""COMPUTED_VALUE"""),27.71527)</f>
        <v>27.71527</v>
      </c>
      <c r="V347" s="2"/>
      <c r="W347" s="2"/>
      <c r="X347" s="2"/>
      <c r="Y347" s="2"/>
      <c r="Z347" s="2"/>
    </row>
    <row r="348">
      <c r="A348" s="6">
        <f>IFERROR(__xludf.DUMMYFUNCTION("""COMPUTED_VALUE"""),45772.66322916667)</f>
        <v>45772.66323</v>
      </c>
      <c r="B348" s="2" t="str">
        <f>IFERROR(__xludf.DUMMYFUNCTION("""COMPUTED_VALUE"""),"April")</f>
        <v>April</v>
      </c>
      <c r="C348" s="3">
        <f>IFERROR(__xludf.DUMMYFUNCTION("""COMPUTED_VALUE"""),212588.0)</f>
        <v>212588</v>
      </c>
      <c r="D348" s="2" t="str">
        <f>IFERROR(__xludf.DUMMYFUNCTION("""COMPUTED_VALUE"""),"MNN16")</f>
        <v>MNN16</v>
      </c>
      <c r="E348" s="2" t="str">
        <f>IFERROR(__xludf.DUMMYFUNCTION("""COMPUTED_VALUE"""),"Imported from file DigiZag Bidding Codes.xlsx")</f>
        <v>Imported from file DigiZag Bidding Codes.xlsx</v>
      </c>
      <c r="F348" s="2" t="str">
        <f>IFERROR(__xludf.DUMMYFUNCTION("""COMPUTED_VALUE"""),"XNR973976")</f>
        <v>XNR973976</v>
      </c>
      <c r="G348" s="2" t="str">
        <f>IFERROR(__xludf.DUMMYFUNCTION("""COMPUTED_VALUE"""),"Kingdom of Saudi Arabia")</f>
        <v>Kingdom of Saudi Arabia</v>
      </c>
      <c r="H348" s="4">
        <f>IFERROR(__xludf.DUMMYFUNCTION("""COMPUTED_VALUE"""),142.21)</f>
        <v>142.21</v>
      </c>
      <c r="I348" s="3">
        <f>IFERROR(__xludf.DUMMYFUNCTION("""COMPUTED_VALUE"""),0.0)</f>
        <v>0</v>
      </c>
      <c r="J348" s="4">
        <f>IFERROR(__xludf.DUMMYFUNCTION("""COMPUTED_VALUE"""),14.21)</f>
        <v>14.21</v>
      </c>
      <c r="K348" s="2"/>
      <c r="L348" s="2" t="str">
        <f>IFERROR(__xludf.DUMMYFUNCTION("""COMPUTED_VALUE"""),"Delivered")</f>
        <v>Delivered</v>
      </c>
      <c r="M348" s="2" t="str">
        <f>IFERROR(__xludf.DUMMYFUNCTION("""COMPUTED_VALUE"""),"SAR")</f>
        <v>SAR</v>
      </c>
      <c r="N348" s="2" t="str">
        <f>IFERROR(__xludf.DUMMYFUNCTION("""COMPUTED_VALUE"""),"Credit, Debit, Apple Pay")</f>
        <v>Credit, Debit, Apple Pay</v>
      </c>
      <c r="O348" s="4">
        <f>IFERROR(__xludf.DUMMYFUNCTION("""COMPUTED_VALUE"""),0.0)</f>
        <v>0</v>
      </c>
      <c r="P348" s="2">
        <f>IFERROR(__xludf.DUMMYFUNCTION("""COMPUTED_VALUE"""),25.0)</f>
        <v>25</v>
      </c>
      <c r="Q348" s="2">
        <f>IFERROR(__xludf.DUMMYFUNCTION("""COMPUTED_VALUE"""),4.0)</f>
        <v>4</v>
      </c>
      <c r="R348" s="2">
        <f>IFERROR(__xludf.DUMMYFUNCTION("""COMPUTED_VALUE"""),2025.0)</f>
        <v>2025</v>
      </c>
      <c r="S348" s="2" t="str">
        <f>IFERROR(__xludf.DUMMYFUNCTION("""COMPUTED_VALUE"""),"Digizag")</f>
        <v>Digizag</v>
      </c>
      <c r="T348" s="2" t="str">
        <f>IFERROR(__xludf.DUMMYFUNCTION("""COMPUTED_VALUE"""),"Digizag")</f>
        <v>Digizag</v>
      </c>
      <c r="U348" s="5">
        <f>IFERROR(__xludf.DUMMYFUNCTION("""COMPUTED_VALUE"""),37.919734201660006)</f>
        <v>37.9197342</v>
      </c>
      <c r="V348" s="2"/>
      <c r="W348" s="2"/>
      <c r="X348" s="2"/>
      <c r="Y348" s="2"/>
      <c r="Z348" s="2"/>
    </row>
    <row r="349">
      <c r="A349" s="6">
        <f>IFERROR(__xludf.DUMMYFUNCTION("""COMPUTED_VALUE"""),45773.47724537037)</f>
        <v>45773.47725</v>
      </c>
      <c r="B349" s="2" t="str">
        <f>IFERROR(__xludf.DUMMYFUNCTION("""COMPUTED_VALUE"""),"April")</f>
        <v>April</v>
      </c>
      <c r="C349" s="3">
        <f>IFERROR(__xludf.DUMMYFUNCTION("""COMPUTED_VALUE"""),712521.0)</f>
        <v>712521</v>
      </c>
      <c r="D349" s="2" t="str">
        <f>IFERROR(__xludf.DUMMYFUNCTION("""COMPUTED_VALUE"""),"MNN16")</f>
        <v>MNN16</v>
      </c>
      <c r="E349" s="2" t="str">
        <f>IFERROR(__xludf.DUMMYFUNCTION("""COMPUTED_VALUE"""),"Imported from file DigiZag Codes 25Feb25.xlsx")</f>
        <v>Imported from file DigiZag Codes 25Feb25.xlsx</v>
      </c>
      <c r="F349" s="2" t="str">
        <f>IFERROR(__xludf.DUMMYFUNCTION("""COMPUTED_VALUE"""),"VPT424915")</f>
        <v>VPT424915</v>
      </c>
      <c r="G349" s="2" t="str">
        <f>IFERROR(__xludf.DUMMYFUNCTION("""COMPUTED_VALUE"""),"UAE")</f>
        <v>UAE</v>
      </c>
      <c r="H349" s="4">
        <f>IFERROR(__xludf.DUMMYFUNCTION("""COMPUTED_VALUE"""),273.3)</f>
        <v>273.3</v>
      </c>
      <c r="I349" s="3">
        <f>IFERROR(__xludf.DUMMYFUNCTION("""COMPUTED_VALUE"""),0.0)</f>
        <v>0</v>
      </c>
      <c r="J349" s="4">
        <f>IFERROR(__xludf.DUMMYFUNCTION("""COMPUTED_VALUE"""),27.33)</f>
        <v>27.33</v>
      </c>
      <c r="K349" s="2"/>
      <c r="L349" s="2" t="str">
        <f>IFERROR(__xludf.DUMMYFUNCTION("""COMPUTED_VALUE"""),"Processing")</f>
        <v>Processing</v>
      </c>
      <c r="M349" s="2" t="str">
        <f>IFERROR(__xludf.DUMMYFUNCTION("""COMPUTED_VALUE"""),"AED")</f>
        <v>AED</v>
      </c>
      <c r="N349" s="2" t="str">
        <f>IFERROR(__xludf.DUMMYFUNCTION("""COMPUTED_VALUE"""),"Cash")</f>
        <v>Cash</v>
      </c>
      <c r="O349" s="4">
        <f>IFERROR(__xludf.DUMMYFUNCTION("""COMPUTED_VALUE"""),0.0)</f>
        <v>0</v>
      </c>
      <c r="P349" s="2">
        <f>IFERROR(__xludf.DUMMYFUNCTION("""COMPUTED_VALUE"""),26.0)</f>
        <v>26</v>
      </c>
      <c r="Q349" s="2">
        <f>IFERROR(__xludf.DUMMYFUNCTION("""COMPUTED_VALUE"""),4.0)</f>
        <v>4</v>
      </c>
      <c r="R349" s="2">
        <f>IFERROR(__xludf.DUMMYFUNCTION("""COMPUTED_VALUE"""),2025.0)</f>
        <v>2025</v>
      </c>
      <c r="S349" s="2" t="str">
        <f>IFERROR(__xludf.DUMMYFUNCTION("""COMPUTED_VALUE"""),"Digizag")</f>
        <v>Digizag</v>
      </c>
      <c r="T349" s="2" t="str">
        <f>IFERROR(__xludf.DUMMYFUNCTION("""COMPUTED_VALUE"""),"Digizag")</f>
        <v>Digizag</v>
      </c>
      <c r="U349" s="5">
        <f>IFERROR(__xludf.DUMMYFUNCTION("""COMPUTED_VALUE"""),74.4179715174)</f>
        <v>74.41797152</v>
      </c>
      <c r="V349" s="2"/>
      <c r="W349" s="2"/>
      <c r="X349" s="2"/>
      <c r="Y349" s="2"/>
      <c r="Z349" s="2"/>
    </row>
    <row r="350">
      <c r="A350" s="6">
        <f>IFERROR(__xludf.DUMMYFUNCTION("""COMPUTED_VALUE"""),45773.69128472222)</f>
        <v>45773.69128</v>
      </c>
      <c r="B350" s="2" t="str">
        <f>IFERROR(__xludf.DUMMYFUNCTION("""COMPUTED_VALUE"""),"April")</f>
        <v>April</v>
      </c>
      <c r="C350" s="3">
        <f>IFERROR(__xludf.DUMMYFUNCTION("""COMPUTED_VALUE"""),299754.0)</f>
        <v>299754</v>
      </c>
      <c r="D350" s="2" t="str">
        <f>IFERROR(__xludf.DUMMYFUNCTION("""COMPUTED_VALUE"""),"DB1")</f>
        <v>DB1</v>
      </c>
      <c r="E350" s="2" t="str">
        <f>IFERROR(__xludf.DUMMYFUNCTION("""COMPUTED_VALUE"""),"Imported from file Digizag.xlsx")</f>
        <v>Imported from file Digizag.xlsx</v>
      </c>
      <c r="F350" s="2" t="str">
        <f>IFERROR(__xludf.DUMMYFUNCTION("""COMPUTED_VALUE"""),"HQC827852")</f>
        <v>HQC827852</v>
      </c>
      <c r="G350" s="2" t="str">
        <f>IFERROR(__xludf.DUMMYFUNCTION("""COMPUTED_VALUE"""),"Kingdom of Saudi Arabia")</f>
        <v>Kingdom of Saudi Arabia</v>
      </c>
      <c r="H350" s="4">
        <f>IFERROR(__xludf.DUMMYFUNCTION("""COMPUTED_VALUE"""),86.0)</f>
        <v>86</v>
      </c>
      <c r="I350" s="3">
        <f>IFERROR(__xludf.DUMMYFUNCTION("""COMPUTED_VALUE"""),0.0)</f>
        <v>0</v>
      </c>
      <c r="J350" s="4">
        <f>IFERROR(__xludf.DUMMYFUNCTION("""COMPUTED_VALUE"""),8.6)</f>
        <v>8.6</v>
      </c>
      <c r="K350" s="2"/>
      <c r="L350" s="2" t="str">
        <f>IFERROR(__xludf.DUMMYFUNCTION("""COMPUTED_VALUE"""),"Processing")</f>
        <v>Processing</v>
      </c>
      <c r="M350" s="2" t="str">
        <f>IFERROR(__xludf.DUMMYFUNCTION("""COMPUTED_VALUE"""),"SAR")</f>
        <v>SAR</v>
      </c>
      <c r="N350" s="2" t="str">
        <f>IFERROR(__xludf.DUMMYFUNCTION("""COMPUTED_VALUE"""),"Credit, Debit, Apple Pay")</f>
        <v>Credit, Debit, Apple Pay</v>
      </c>
      <c r="O350" s="4">
        <f>IFERROR(__xludf.DUMMYFUNCTION("""COMPUTED_VALUE"""),0.0)</f>
        <v>0</v>
      </c>
      <c r="P350" s="2">
        <f>IFERROR(__xludf.DUMMYFUNCTION("""COMPUTED_VALUE"""),26.0)</f>
        <v>26</v>
      </c>
      <c r="Q350" s="2">
        <f>IFERROR(__xludf.DUMMYFUNCTION("""COMPUTED_VALUE"""),4.0)</f>
        <v>4</v>
      </c>
      <c r="R350" s="2">
        <f>IFERROR(__xludf.DUMMYFUNCTION("""COMPUTED_VALUE"""),2025.0)</f>
        <v>2025</v>
      </c>
      <c r="S350" s="2" t="str">
        <f>IFERROR(__xludf.DUMMYFUNCTION("""COMPUTED_VALUE"""),"Digizag")</f>
        <v>Digizag</v>
      </c>
      <c r="T350" s="2" t="str">
        <f>IFERROR(__xludf.DUMMYFUNCTION("""COMPUTED_VALUE"""),"Digizag")</f>
        <v>Digizag</v>
      </c>
      <c r="U350" s="5">
        <f>IFERROR(__xludf.DUMMYFUNCTION("""COMPUTED_VALUE"""),22.931559956)</f>
        <v>22.93155996</v>
      </c>
      <c r="V350" s="2"/>
      <c r="W350" s="2"/>
      <c r="X350" s="2"/>
      <c r="Y350" s="2"/>
      <c r="Z350" s="2"/>
    </row>
    <row r="351">
      <c r="A351" s="6">
        <f>IFERROR(__xludf.DUMMYFUNCTION("""COMPUTED_VALUE"""),45773.91520833333)</f>
        <v>45773.91521</v>
      </c>
      <c r="B351" s="2" t="str">
        <f>IFERROR(__xludf.DUMMYFUNCTION("""COMPUTED_VALUE"""),"April")</f>
        <v>April</v>
      </c>
      <c r="C351" s="3">
        <f>IFERROR(__xludf.DUMMYFUNCTION("""COMPUTED_VALUE"""),726463.0)</f>
        <v>726463</v>
      </c>
      <c r="D351" s="2" t="str">
        <f>IFERROR(__xludf.DUMMYFUNCTION("""COMPUTED_VALUE"""),"MNN16")</f>
        <v>MNN16</v>
      </c>
      <c r="E351" s="2" t="str">
        <f>IFERROR(__xludf.DUMMYFUNCTION("""COMPUTED_VALUE"""),"Imported from file DigiZag Bidding Codes.xlsx")</f>
        <v>Imported from file DigiZag Bidding Codes.xlsx</v>
      </c>
      <c r="F351" s="2" t="str">
        <f>IFERROR(__xludf.DUMMYFUNCTION("""COMPUTED_VALUE"""),"GVA610138")</f>
        <v>GVA610138</v>
      </c>
      <c r="G351" s="2" t="str">
        <f>IFERROR(__xludf.DUMMYFUNCTION("""COMPUTED_VALUE"""),"Kingdom of Saudi Arabia")</f>
        <v>Kingdom of Saudi Arabia</v>
      </c>
      <c r="H351" s="4">
        <f>IFERROR(__xludf.DUMMYFUNCTION("""COMPUTED_VALUE"""),143.48)</f>
        <v>143.48</v>
      </c>
      <c r="I351" s="3">
        <f>IFERROR(__xludf.DUMMYFUNCTION("""COMPUTED_VALUE"""),0.0)</f>
        <v>0</v>
      </c>
      <c r="J351" s="4">
        <f>IFERROR(__xludf.DUMMYFUNCTION("""COMPUTED_VALUE"""),14.34)</f>
        <v>14.34</v>
      </c>
      <c r="K351" s="2"/>
      <c r="L351" s="2" t="str">
        <f>IFERROR(__xludf.DUMMYFUNCTION("""COMPUTED_VALUE"""),"Processing")</f>
        <v>Processing</v>
      </c>
      <c r="M351" s="2" t="str">
        <f>IFERROR(__xludf.DUMMYFUNCTION("""COMPUTED_VALUE"""),"SAR")</f>
        <v>SAR</v>
      </c>
      <c r="N351" s="2" t="str">
        <f>IFERROR(__xludf.DUMMYFUNCTION("""COMPUTED_VALUE"""),"Credit, Debit, Apple Pay")</f>
        <v>Credit, Debit, Apple Pay</v>
      </c>
      <c r="O351" s="4">
        <f>IFERROR(__xludf.DUMMYFUNCTION("""COMPUTED_VALUE"""),0.0)</f>
        <v>0</v>
      </c>
      <c r="P351" s="2">
        <f>IFERROR(__xludf.DUMMYFUNCTION("""COMPUTED_VALUE"""),26.0)</f>
        <v>26</v>
      </c>
      <c r="Q351" s="2">
        <f>IFERROR(__xludf.DUMMYFUNCTION("""COMPUTED_VALUE"""),4.0)</f>
        <v>4</v>
      </c>
      <c r="R351" s="2">
        <f>IFERROR(__xludf.DUMMYFUNCTION("""COMPUTED_VALUE"""),2025.0)</f>
        <v>2025</v>
      </c>
      <c r="S351" s="2" t="str">
        <f>IFERROR(__xludf.DUMMYFUNCTION("""COMPUTED_VALUE"""),"Digizag")</f>
        <v>Digizag</v>
      </c>
      <c r="T351" s="2" t="str">
        <f>IFERROR(__xludf.DUMMYFUNCTION("""COMPUTED_VALUE"""),"Digizag")</f>
        <v>Digizag</v>
      </c>
      <c r="U351" s="5">
        <f>IFERROR(__xludf.DUMMYFUNCTION("""COMPUTED_VALUE"""),38.25837468008)</f>
        <v>38.25837468</v>
      </c>
      <c r="V351" s="2"/>
      <c r="W351" s="2"/>
      <c r="X351" s="2"/>
      <c r="Y351" s="2"/>
      <c r="Z351" s="2"/>
    </row>
    <row r="352">
      <c r="A352" s="6">
        <f>IFERROR(__xludf.DUMMYFUNCTION("""COMPUTED_VALUE"""),45773.91842592593)</f>
        <v>45773.91843</v>
      </c>
      <c r="B352" s="2" t="str">
        <f>IFERROR(__xludf.DUMMYFUNCTION("""COMPUTED_VALUE"""),"April")</f>
        <v>April</v>
      </c>
      <c r="C352" s="3">
        <f>IFERROR(__xludf.DUMMYFUNCTION("""COMPUTED_VALUE"""),726505.0)</f>
        <v>726505</v>
      </c>
      <c r="D352" s="2" t="str">
        <f>IFERROR(__xludf.DUMMYFUNCTION("""COMPUTED_VALUE"""),"MNN16")</f>
        <v>MNN16</v>
      </c>
      <c r="E352" s="2" t="str">
        <f>IFERROR(__xludf.DUMMYFUNCTION("""COMPUTED_VALUE"""),"Imported from file DigiZag Bidding Codes.xlsx")</f>
        <v>Imported from file DigiZag Bidding Codes.xlsx</v>
      </c>
      <c r="F352" s="2" t="str">
        <f>IFERROR(__xludf.DUMMYFUNCTION("""COMPUTED_VALUE"""),"MGY381044")</f>
        <v>MGY381044</v>
      </c>
      <c r="G352" s="2" t="str">
        <f>IFERROR(__xludf.DUMMYFUNCTION("""COMPUTED_VALUE"""),"Kingdom of Saudi Arabia")</f>
        <v>Kingdom of Saudi Arabia</v>
      </c>
      <c r="H352" s="4">
        <f>IFERROR(__xludf.DUMMYFUNCTION("""COMPUTED_VALUE"""),86.0)</f>
        <v>86</v>
      </c>
      <c r="I352" s="3">
        <f>IFERROR(__xludf.DUMMYFUNCTION("""COMPUTED_VALUE"""),0.0)</f>
        <v>0</v>
      </c>
      <c r="J352" s="4">
        <f>IFERROR(__xludf.DUMMYFUNCTION("""COMPUTED_VALUE"""),8.6)</f>
        <v>8.6</v>
      </c>
      <c r="K352" s="2"/>
      <c r="L352" s="2" t="str">
        <f>IFERROR(__xludf.DUMMYFUNCTION("""COMPUTED_VALUE"""),"Processing")</f>
        <v>Processing</v>
      </c>
      <c r="M352" s="2" t="str">
        <f>IFERROR(__xludf.DUMMYFUNCTION("""COMPUTED_VALUE"""),"SAR")</f>
        <v>SAR</v>
      </c>
      <c r="N352" s="2" t="str">
        <f>IFERROR(__xludf.DUMMYFUNCTION("""COMPUTED_VALUE"""),"Pay in 4. No interest, no fees")</f>
        <v>Pay in 4. No interest, no fees</v>
      </c>
      <c r="O352" s="4">
        <f>IFERROR(__xludf.DUMMYFUNCTION("""COMPUTED_VALUE"""),0.0)</f>
        <v>0</v>
      </c>
      <c r="P352" s="2">
        <f>IFERROR(__xludf.DUMMYFUNCTION("""COMPUTED_VALUE"""),26.0)</f>
        <v>26</v>
      </c>
      <c r="Q352" s="2">
        <f>IFERROR(__xludf.DUMMYFUNCTION("""COMPUTED_VALUE"""),4.0)</f>
        <v>4</v>
      </c>
      <c r="R352" s="2">
        <f>IFERROR(__xludf.DUMMYFUNCTION("""COMPUTED_VALUE"""),2025.0)</f>
        <v>2025</v>
      </c>
      <c r="S352" s="2" t="str">
        <f>IFERROR(__xludf.DUMMYFUNCTION("""COMPUTED_VALUE"""),"Digizag")</f>
        <v>Digizag</v>
      </c>
      <c r="T352" s="2" t="str">
        <f>IFERROR(__xludf.DUMMYFUNCTION("""COMPUTED_VALUE"""),"Digizag")</f>
        <v>Digizag</v>
      </c>
      <c r="U352" s="5">
        <f>IFERROR(__xludf.DUMMYFUNCTION("""COMPUTED_VALUE"""),22.931559956)</f>
        <v>22.93155996</v>
      </c>
      <c r="V352" s="2"/>
      <c r="W352" s="2"/>
      <c r="X352" s="2"/>
      <c r="Y352" s="2"/>
      <c r="Z352" s="2"/>
    </row>
    <row r="353">
      <c r="A353" s="6">
        <f>IFERROR(__xludf.DUMMYFUNCTION("""COMPUTED_VALUE"""),45774.65736111111)</f>
        <v>45774.65736</v>
      </c>
      <c r="B353" s="2" t="str">
        <f>IFERROR(__xludf.DUMMYFUNCTION("""COMPUTED_VALUE"""),"April")</f>
        <v>April</v>
      </c>
      <c r="C353" s="3">
        <f>IFERROR(__xludf.DUMMYFUNCTION("""COMPUTED_VALUE"""),16584.0)</f>
        <v>16584</v>
      </c>
      <c r="D353" s="2" t="str">
        <f>IFERROR(__xludf.DUMMYFUNCTION("""COMPUTED_VALUE"""),"MNN16")</f>
        <v>MNN16</v>
      </c>
      <c r="E353" s="2" t="str">
        <f>IFERROR(__xludf.DUMMYFUNCTION("""COMPUTED_VALUE"""),"Imported from file DigiZag Bidding Codes.xlsx")</f>
        <v>Imported from file DigiZag Bidding Codes.xlsx</v>
      </c>
      <c r="F353" s="2" t="str">
        <f>IFERROR(__xludf.DUMMYFUNCTION("""COMPUTED_VALUE"""),"EXN166921")</f>
        <v>EXN166921</v>
      </c>
      <c r="G353" s="2" t="str">
        <f>IFERROR(__xludf.DUMMYFUNCTION("""COMPUTED_VALUE"""),"Kingdom of Saudi Arabia")</f>
        <v>Kingdom of Saudi Arabia</v>
      </c>
      <c r="H353" s="4">
        <f>IFERROR(__xludf.DUMMYFUNCTION("""COMPUTED_VALUE"""),183.46)</f>
        <v>183.46</v>
      </c>
      <c r="I353" s="3">
        <f>IFERROR(__xludf.DUMMYFUNCTION("""COMPUTED_VALUE"""),0.0)</f>
        <v>0</v>
      </c>
      <c r="J353" s="4">
        <f>IFERROR(__xludf.DUMMYFUNCTION("""COMPUTED_VALUE"""),18.34)</f>
        <v>18.34</v>
      </c>
      <c r="K353" s="2"/>
      <c r="L353" s="2" t="str">
        <f>IFERROR(__xludf.DUMMYFUNCTION("""COMPUTED_VALUE"""),"Delivered")</f>
        <v>Delivered</v>
      </c>
      <c r="M353" s="2" t="str">
        <f>IFERROR(__xludf.DUMMYFUNCTION("""COMPUTED_VALUE"""),"SAR")</f>
        <v>SAR</v>
      </c>
      <c r="N353" s="2" t="str">
        <f>IFERROR(__xludf.DUMMYFUNCTION("""COMPUTED_VALUE"""),"Credit, Debit, Apple Pay")</f>
        <v>Credit, Debit, Apple Pay</v>
      </c>
      <c r="O353" s="4">
        <f>IFERROR(__xludf.DUMMYFUNCTION("""COMPUTED_VALUE"""),0.0)</f>
        <v>0</v>
      </c>
      <c r="P353" s="2">
        <f>IFERROR(__xludf.DUMMYFUNCTION("""COMPUTED_VALUE"""),27.0)</f>
        <v>27</v>
      </c>
      <c r="Q353" s="2">
        <f>IFERROR(__xludf.DUMMYFUNCTION("""COMPUTED_VALUE"""),4.0)</f>
        <v>4</v>
      </c>
      <c r="R353" s="2">
        <f>IFERROR(__xludf.DUMMYFUNCTION("""COMPUTED_VALUE"""),2025.0)</f>
        <v>2025</v>
      </c>
      <c r="S353" s="2" t="str">
        <f>IFERROR(__xludf.DUMMYFUNCTION("""COMPUTED_VALUE"""),"Digizag")</f>
        <v>Digizag</v>
      </c>
      <c r="T353" s="2" t="str">
        <f>IFERROR(__xludf.DUMMYFUNCTION("""COMPUTED_VALUE"""),"Digizag")</f>
        <v>Digizag</v>
      </c>
      <c r="U353" s="5">
        <f>IFERROR(__xludf.DUMMYFUNCTION("""COMPUTED_VALUE"""),48.918883599160004)</f>
        <v>48.9188836</v>
      </c>
      <c r="V353" s="2"/>
      <c r="W353" s="2"/>
      <c r="X353" s="2"/>
      <c r="Y353" s="2"/>
      <c r="Z353" s="2"/>
    </row>
    <row r="354">
      <c r="A354" s="6">
        <f>IFERROR(__xludf.DUMMYFUNCTION("""COMPUTED_VALUE"""),45774.69561342592)</f>
        <v>45774.69561</v>
      </c>
      <c r="B354" s="2" t="str">
        <f>IFERROR(__xludf.DUMMYFUNCTION("""COMPUTED_VALUE"""),"April")</f>
        <v>April</v>
      </c>
      <c r="C354" s="3">
        <f>IFERROR(__xludf.DUMMYFUNCTION("""COMPUTED_VALUE"""),726848.0)</f>
        <v>726848</v>
      </c>
      <c r="D354" s="2" t="str">
        <f>IFERROR(__xludf.DUMMYFUNCTION("""COMPUTED_VALUE"""),"MNN16")</f>
        <v>MNN16</v>
      </c>
      <c r="E354" s="2" t="str">
        <f>IFERROR(__xludf.DUMMYFUNCTION("""COMPUTED_VALUE"""),"Imported from file DigiZag Bidding Codes.xlsx")</f>
        <v>Imported from file DigiZag Bidding Codes.xlsx</v>
      </c>
      <c r="F354" s="2" t="str">
        <f>IFERROR(__xludf.DUMMYFUNCTION("""COMPUTED_VALUE"""),"QSC686994")</f>
        <v>QSC686994</v>
      </c>
      <c r="G354" s="2" t="str">
        <f>IFERROR(__xludf.DUMMYFUNCTION("""COMPUTED_VALUE"""),"Kingdom of Saudi Arabia")</f>
        <v>Kingdom of Saudi Arabia</v>
      </c>
      <c r="H354" s="4">
        <f>IFERROR(__xludf.DUMMYFUNCTION("""COMPUTED_VALUE"""),322.6)</f>
        <v>322.6</v>
      </c>
      <c r="I354" s="3">
        <f>IFERROR(__xludf.DUMMYFUNCTION("""COMPUTED_VALUE"""),0.0)</f>
        <v>0</v>
      </c>
      <c r="J354" s="4">
        <f>IFERROR(__xludf.DUMMYFUNCTION("""COMPUTED_VALUE"""),32.26)</f>
        <v>32.26</v>
      </c>
      <c r="K354" s="2"/>
      <c r="L354" s="2" t="str">
        <f>IFERROR(__xludf.DUMMYFUNCTION("""COMPUTED_VALUE"""),"Delivered")</f>
        <v>Delivered</v>
      </c>
      <c r="M354" s="2" t="str">
        <f>IFERROR(__xludf.DUMMYFUNCTION("""COMPUTED_VALUE"""),"SAR")</f>
        <v>SAR</v>
      </c>
      <c r="N354" s="2" t="str">
        <f>IFERROR(__xludf.DUMMYFUNCTION("""COMPUTED_VALUE"""),"Credit, Debit, Apple Pay")</f>
        <v>Credit, Debit, Apple Pay</v>
      </c>
      <c r="O354" s="4">
        <f>IFERROR(__xludf.DUMMYFUNCTION("""COMPUTED_VALUE"""),0.0)</f>
        <v>0</v>
      </c>
      <c r="P354" s="2">
        <f>IFERROR(__xludf.DUMMYFUNCTION("""COMPUTED_VALUE"""),27.0)</f>
        <v>27</v>
      </c>
      <c r="Q354" s="2">
        <f>IFERROR(__xludf.DUMMYFUNCTION("""COMPUTED_VALUE"""),4.0)</f>
        <v>4</v>
      </c>
      <c r="R354" s="2">
        <f>IFERROR(__xludf.DUMMYFUNCTION("""COMPUTED_VALUE"""),2025.0)</f>
        <v>2025</v>
      </c>
      <c r="S354" s="2" t="str">
        <f>IFERROR(__xludf.DUMMYFUNCTION("""COMPUTED_VALUE"""),"Digizag")</f>
        <v>Digizag</v>
      </c>
      <c r="T354" s="2" t="str">
        <f>IFERROR(__xludf.DUMMYFUNCTION("""COMPUTED_VALUE"""),"Digizag")</f>
        <v>Digizag</v>
      </c>
      <c r="U354" s="5">
        <f>IFERROR(__xludf.DUMMYFUNCTION("""COMPUTED_VALUE"""),86.02001443960002)</f>
        <v>86.02001444</v>
      </c>
      <c r="V354" s="2"/>
      <c r="W354" s="2"/>
      <c r="X354" s="2"/>
      <c r="Y354" s="2"/>
      <c r="Z354" s="2"/>
    </row>
    <row r="355">
      <c r="A355" s="6">
        <f>IFERROR(__xludf.DUMMYFUNCTION("""COMPUTED_VALUE"""),45774.71128472222)</f>
        <v>45774.71128</v>
      </c>
      <c r="B355" s="2" t="str">
        <f>IFERROR(__xludf.DUMMYFUNCTION("""COMPUTED_VALUE"""),"April")</f>
        <v>April</v>
      </c>
      <c r="C355" s="3">
        <f>IFERROR(__xludf.DUMMYFUNCTION("""COMPUTED_VALUE"""),726266.0)</f>
        <v>726266</v>
      </c>
      <c r="D355" s="2" t="str">
        <f>IFERROR(__xludf.DUMMYFUNCTION("""COMPUTED_VALUE"""),"MNN16")</f>
        <v>MNN16</v>
      </c>
      <c r="E355" s="2" t="str">
        <f>IFERROR(__xludf.DUMMYFUNCTION("""COMPUTED_VALUE"""),"Imported from file DigiZag Bidding Codes.xlsx")</f>
        <v>Imported from file DigiZag Bidding Codes.xlsx</v>
      </c>
      <c r="F355" s="2" t="str">
        <f>IFERROR(__xludf.DUMMYFUNCTION("""COMPUTED_VALUE"""),"BTK820803")</f>
        <v>BTK820803</v>
      </c>
      <c r="G355" s="2" t="str">
        <f>IFERROR(__xludf.DUMMYFUNCTION("""COMPUTED_VALUE"""),"Kingdom of Saudi Arabia")</f>
        <v>Kingdom of Saudi Arabia</v>
      </c>
      <c r="H355" s="4">
        <f>IFERROR(__xludf.DUMMYFUNCTION("""COMPUTED_VALUE"""),376.35)</f>
        <v>376.35</v>
      </c>
      <c r="I355" s="3">
        <f>IFERROR(__xludf.DUMMYFUNCTION("""COMPUTED_VALUE"""),0.0)</f>
        <v>0</v>
      </c>
      <c r="J355" s="4">
        <f>IFERROR(__xludf.DUMMYFUNCTION("""COMPUTED_VALUE"""),37.63)</f>
        <v>37.63</v>
      </c>
      <c r="K355" s="2"/>
      <c r="L355" s="2" t="str">
        <f>IFERROR(__xludf.DUMMYFUNCTION("""COMPUTED_VALUE"""),"Delivered")</f>
        <v>Delivered</v>
      </c>
      <c r="M355" s="2" t="str">
        <f>IFERROR(__xludf.DUMMYFUNCTION("""COMPUTED_VALUE"""),"SAR")</f>
        <v>SAR</v>
      </c>
      <c r="N355" s="2" t="str">
        <f>IFERROR(__xludf.DUMMYFUNCTION("""COMPUTED_VALUE"""),"Credit, Debit, Apple Pay")</f>
        <v>Credit, Debit, Apple Pay</v>
      </c>
      <c r="O355" s="4">
        <f>IFERROR(__xludf.DUMMYFUNCTION("""COMPUTED_VALUE"""),0.0)</f>
        <v>0</v>
      </c>
      <c r="P355" s="2">
        <f>IFERROR(__xludf.DUMMYFUNCTION("""COMPUTED_VALUE"""),27.0)</f>
        <v>27</v>
      </c>
      <c r="Q355" s="2">
        <f>IFERROR(__xludf.DUMMYFUNCTION("""COMPUTED_VALUE"""),4.0)</f>
        <v>4</v>
      </c>
      <c r="R355" s="2">
        <f>IFERROR(__xludf.DUMMYFUNCTION("""COMPUTED_VALUE"""),2025.0)</f>
        <v>2025</v>
      </c>
      <c r="S355" s="2" t="str">
        <f>IFERROR(__xludf.DUMMYFUNCTION("""COMPUTED_VALUE"""),"Digizag")</f>
        <v>Digizag</v>
      </c>
      <c r="T355" s="2" t="str">
        <f>IFERROR(__xludf.DUMMYFUNCTION("""COMPUTED_VALUE"""),"Digizag")</f>
        <v>Digizag</v>
      </c>
      <c r="U355" s="5">
        <f>IFERROR(__xludf.DUMMYFUNCTION("""COMPUTED_VALUE"""),100.35223941210002)</f>
        <v>100.3522394</v>
      </c>
      <c r="V355" s="2"/>
      <c r="W355" s="2"/>
      <c r="X355" s="2"/>
      <c r="Y355" s="2"/>
      <c r="Z355" s="2"/>
    </row>
    <row r="356">
      <c r="A356" s="6">
        <f>IFERROR(__xludf.DUMMYFUNCTION("""COMPUTED_VALUE"""),45774.84280092592)</f>
        <v>45774.8428</v>
      </c>
      <c r="B356" s="2" t="str">
        <f>IFERROR(__xludf.DUMMYFUNCTION("""COMPUTED_VALUE"""),"April")</f>
        <v>April</v>
      </c>
      <c r="C356" s="3">
        <f>IFERROR(__xludf.DUMMYFUNCTION("""COMPUTED_VALUE"""),622230.0)</f>
        <v>622230</v>
      </c>
      <c r="D356" s="2" t="str">
        <f>IFERROR(__xludf.DUMMYFUNCTION("""COMPUTED_VALUE"""),"MNN16")</f>
        <v>MNN16</v>
      </c>
      <c r="E356" s="2" t="str">
        <f>IFERROR(__xludf.DUMMYFUNCTION("""COMPUTED_VALUE"""),"Imported from file DigiZag Bidding Codes.xlsx")</f>
        <v>Imported from file DigiZag Bidding Codes.xlsx</v>
      </c>
      <c r="F356" s="2" t="str">
        <f>IFERROR(__xludf.DUMMYFUNCTION("""COMPUTED_VALUE"""),"MAV192790")</f>
        <v>MAV192790</v>
      </c>
      <c r="G356" s="2" t="str">
        <f>IFERROR(__xludf.DUMMYFUNCTION("""COMPUTED_VALUE"""),"Kingdom of Saudi Arabia")</f>
        <v>Kingdom of Saudi Arabia</v>
      </c>
      <c r="H356" s="4">
        <f>IFERROR(__xludf.DUMMYFUNCTION("""COMPUTED_VALUE"""),39.78)</f>
        <v>39.78</v>
      </c>
      <c r="I356" s="3">
        <f>IFERROR(__xludf.DUMMYFUNCTION("""COMPUTED_VALUE"""),0.0)</f>
        <v>0</v>
      </c>
      <c r="J356" s="4">
        <f>IFERROR(__xludf.DUMMYFUNCTION("""COMPUTED_VALUE"""),3.97)</f>
        <v>3.97</v>
      </c>
      <c r="K356" s="2"/>
      <c r="L356" s="2" t="str">
        <f>IFERROR(__xludf.DUMMYFUNCTION("""COMPUTED_VALUE"""),"Delivered")</f>
        <v>Delivered</v>
      </c>
      <c r="M356" s="2" t="str">
        <f>IFERROR(__xludf.DUMMYFUNCTION("""COMPUTED_VALUE"""),"SAR")</f>
        <v>SAR</v>
      </c>
      <c r="N356" s="2" t="str">
        <f>IFERROR(__xludf.DUMMYFUNCTION("""COMPUTED_VALUE"""),"Credit, Debit, Apple Pay")</f>
        <v>Credit, Debit, Apple Pay</v>
      </c>
      <c r="O356" s="4">
        <f>IFERROR(__xludf.DUMMYFUNCTION("""COMPUTED_VALUE"""),0.0)</f>
        <v>0</v>
      </c>
      <c r="P356" s="2">
        <f>IFERROR(__xludf.DUMMYFUNCTION("""COMPUTED_VALUE"""),27.0)</f>
        <v>27</v>
      </c>
      <c r="Q356" s="2">
        <f>IFERROR(__xludf.DUMMYFUNCTION("""COMPUTED_VALUE"""),4.0)</f>
        <v>4</v>
      </c>
      <c r="R356" s="2">
        <f>IFERROR(__xludf.DUMMYFUNCTION("""COMPUTED_VALUE"""),2025.0)</f>
        <v>2025</v>
      </c>
      <c r="S356" s="2" t="str">
        <f>IFERROR(__xludf.DUMMYFUNCTION("""COMPUTED_VALUE"""),"Digizag")</f>
        <v>Digizag</v>
      </c>
      <c r="T356" s="2" t="str">
        <f>IFERROR(__xludf.DUMMYFUNCTION("""COMPUTED_VALUE"""),"Digizag")</f>
        <v>Digizag</v>
      </c>
      <c r="U356" s="5">
        <f>IFERROR(__xludf.DUMMYFUNCTION("""COMPUTED_VALUE"""),10.60717970988)</f>
        <v>10.60717971</v>
      </c>
      <c r="V356" s="2"/>
      <c r="W356" s="2"/>
      <c r="X356" s="2"/>
      <c r="Y356" s="2"/>
      <c r="Z356" s="2"/>
    </row>
    <row r="357">
      <c r="A357" s="6">
        <f>IFERROR(__xludf.DUMMYFUNCTION("""COMPUTED_VALUE"""),45775.03314814815)</f>
        <v>45775.03315</v>
      </c>
      <c r="B357" s="2" t="str">
        <f>IFERROR(__xludf.DUMMYFUNCTION("""COMPUTED_VALUE"""),"April")</f>
        <v>April</v>
      </c>
      <c r="C357" s="3">
        <f>IFERROR(__xludf.DUMMYFUNCTION("""COMPUTED_VALUE"""),727006.0)</f>
        <v>727006</v>
      </c>
      <c r="D357" s="2" t="str">
        <f>IFERROR(__xludf.DUMMYFUNCTION("""COMPUTED_VALUE"""),"MNN16")</f>
        <v>MNN16</v>
      </c>
      <c r="E357" s="2" t="str">
        <f>IFERROR(__xludf.DUMMYFUNCTION("""COMPUTED_VALUE"""),"Imported from file DigiZag Codes 25Feb25.xlsx")</f>
        <v>Imported from file DigiZag Codes 25Feb25.xlsx</v>
      </c>
      <c r="F357" s="2" t="str">
        <f>IFERROR(__xludf.DUMMYFUNCTION("""COMPUTED_VALUE"""),"DWB808119")</f>
        <v>DWB808119</v>
      </c>
      <c r="G357" s="2" t="str">
        <f>IFERROR(__xludf.DUMMYFUNCTION("""COMPUTED_VALUE"""),"Kuwait")</f>
        <v>Kuwait</v>
      </c>
      <c r="H357" s="4">
        <f>IFERROR(__xludf.DUMMYFUNCTION("""COMPUTED_VALUE"""),9.85)</f>
        <v>9.85</v>
      </c>
      <c r="I357" s="3">
        <f>IFERROR(__xludf.DUMMYFUNCTION("""COMPUTED_VALUE"""),0.0)</f>
        <v>0</v>
      </c>
      <c r="J357" s="4">
        <f>IFERROR(__xludf.DUMMYFUNCTION("""COMPUTED_VALUE"""),0.985)</f>
        <v>0.985</v>
      </c>
      <c r="K357" s="2"/>
      <c r="L357" s="2" t="str">
        <f>IFERROR(__xludf.DUMMYFUNCTION("""COMPUTED_VALUE"""),"Delivered")</f>
        <v>Delivered</v>
      </c>
      <c r="M357" s="2" t="str">
        <f>IFERROR(__xludf.DUMMYFUNCTION("""COMPUTED_VALUE"""),"KD")</f>
        <v>KD</v>
      </c>
      <c r="N357" s="2" t="str">
        <f>IFERROR(__xludf.DUMMYFUNCTION("""COMPUTED_VALUE"""),"Cash")</f>
        <v>Cash</v>
      </c>
      <c r="O357" s="4">
        <f>IFERROR(__xludf.DUMMYFUNCTION("""COMPUTED_VALUE"""),0.0)</f>
        <v>0</v>
      </c>
      <c r="P357" s="2">
        <f>IFERROR(__xludf.DUMMYFUNCTION("""COMPUTED_VALUE"""),28.0)</f>
        <v>28</v>
      </c>
      <c r="Q357" s="2">
        <f>IFERROR(__xludf.DUMMYFUNCTION("""COMPUTED_VALUE"""),4.0)</f>
        <v>4</v>
      </c>
      <c r="R357" s="2">
        <f>IFERROR(__xludf.DUMMYFUNCTION("""COMPUTED_VALUE"""),2025.0)</f>
        <v>2025</v>
      </c>
      <c r="S357" s="2" t="str">
        <f>IFERROR(__xludf.DUMMYFUNCTION("""COMPUTED_VALUE"""),"Digizag")</f>
        <v>Digizag</v>
      </c>
      <c r="T357" s="2" t="str">
        <f>IFERROR(__xludf.DUMMYFUNCTION("""COMPUTED_VALUE"""),"Digizag")</f>
        <v>Digizag</v>
      </c>
      <c r="U357" s="5">
        <f>IFERROR(__xludf.DUMMYFUNCTION("""COMPUTED_VALUE"""),32.117107)</f>
        <v>32.117107</v>
      </c>
      <c r="V357" s="2"/>
      <c r="W357" s="2"/>
      <c r="X357" s="2"/>
      <c r="Y357" s="2"/>
      <c r="Z357" s="2"/>
    </row>
    <row r="358">
      <c r="A358" s="6">
        <f>IFERROR(__xludf.DUMMYFUNCTION("""COMPUTED_VALUE"""),45775.42659722222)</f>
        <v>45775.4266</v>
      </c>
      <c r="B358" s="2" t="str">
        <f>IFERROR(__xludf.DUMMYFUNCTION("""COMPUTED_VALUE"""),"April")</f>
        <v>April</v>
      </c>
      <c r="C358" s="3">
        <f>IFERROR(__xludf.DUMMYFUNCTION("""COMPUTED_VALUE"""),29856.0)</f>
        <v>29856</v>
      </c>
      <c r="D358" s="2" t="str">
        <f>IFERROR(__xludf.DUMMYFUNCTION("""COMPUTED_VALUE"""),"DB1")</f>
        <v>DB1</v>
      </c>
      <c r="E358" s="2" t="str">
        <f>IFERROR(__xludf.DUMMYFUNCTION("""COMPUTED_VALUE"""),"Imported from file Digizag.xlsx")</f>
        <v>Imported from file Digizag.xlsx</v>
      </c>
      <c r="F358" s="2" t="str">
        <f>IFERROR(__xludf.DUMMYFUNCTION("""COMPUTED_VALUE"""),"SCT312333")</f>
        <v>SCT312333</v>
      </c>
      <c r="G358" s="2" t="str">
        <f>IFERROR(__xludf.DUMMYFUNCTION("""COMPUTED_VALUE"""),"Bahrain")</f>
        <v>Bahrain</v>
      </c>
      <c r="H358" s="4">
        <f>IFERROR(__xludf.DUMMYFUNCTION("""COMPUTED_VALUE"""),36.55)</f>
        <v>36.55</v>
      </c>
      <c r="I358" s="3">
        <f>IFERROR(__xludf.DUMMYFUNCTION("""COMPUTED_VALUE"""),0.0)</f>
        <v>0</v>
      </c>
      <c r="J358" s="4">
        <f>IFERROR(__xludf.DUMMYFUNCTION("""COMPUTED_VALUE"""),3.65)</f>
        <v>3.65</v>
      </c>
      <c r="K358" s="2"/>
      <c r="L358" s="2" t="str">
        <f>IFERROR(__xludf.DUMMYFUNCTION("""COMPUTED_VALUE"""),"Delivered")</f>
        <v>Delivered</v>
      </c>
      <c r="M358" s="2" t="str">
        <f>IFERROR(__xludf.DUMMYFUNCTION("""COMPUTED_VALUE"""),"BHD")</f>
        <v>BHD</v>
      </c>
      <c r="N358" s="2" t="str">
        <f>IFERROR(__xludf.DUMMYFUNCTION("""COMPUTED_VALUE"""),"Cash")</f>
        <v>Cash</v>
      </c>
      <c r="O358" s="4">
        <f>IFERROR(__xludf.DUMMYFUNCTION("""COMPUTED_VALUE"""),0.0)</f>
        <v>0</v>
      </c>
      <c r="P358" s="2">
        <f>IFERROR(__xludf.DUMMYFUNCTION("""COMPUTED_VALUE"""),28.0)</f>
        <v>28</v>
      </c>
      <c r="Q358" s="2">
        <f>IFERROR(__xludf.DUMMYFUNCTION("""COMPUTED_VALUE"""),4.0)</f>
        <v>4</v>
      </c>
      <c r="R358" s="2">
        <f>IFERROR(__xludf.DUMMYFUNCTION("""COMPUTED_VALUE"""),2025.0)</f>
        <v>2025</v>
      </c>
      <c r="S358" s="2" t="str">
        <f>IFERROR(__xludf.DUMMYFUNCTION("""COMPUTED_VALUE"""),"Digizag")</f>
        <v>Digizag</v>
      </c>
      <c r="T358" s="2" t="str">
        <f>IFERROR(__xludf.DUMMYFUNCTION("""COMPUTED_VALUE"""),"Digizag")</f>
        <v>Digizag</v>
      </c>
      <c r="U358" s="5">
        <f>IFERROR(__xludf.DUMMYFUNCTION("""COMPUTED_VALUE"""),96.96411635)</f>
        <v>96.96411635</v>
      </c>
      <c r="V358" s="2"/>
      <c r="W358" s="2"/>
      <c r="X358" s="2"/>
      <c r="Y358" s="2"/>
      <c r="Z358" s="2"/>
    </row>
    <row r="359">
      <c r="A359" s="6">
        <f>IFERROR(__xludf.DUMMYFUNCTION("""COMPUTED_VALUE"""),45775.42744212963)</f>
        <v>45775.42744</v>
      </c>
      <c r="B359" s="2" t="str">
        <f>IFERROR(__xludf.DUMMYFUNCTION("""COMPUTED_VALUE"""),"April")</f>
        <v>April</v>
      </c>
      <c r="C359" s="3">
        <f>IFERROR(__xludf.DUMMYFUNCTION("""COMPUTED_VALUE"""),727151.0)</f>
        <v>727151</v>
      </c>
      <c r="D359" s="2" t="str">
        <f>IFERROR(__xludf.DUMMYFUNCTION("""COMPUTED_VALUE"""),"MNN16")</f>
        <v>MNN16</v>
      </c>
      <c r="E359" s="2" t="str">
        <f>IFERROR(__xludf.DUMMYFUNCTION("""COMPUTED_VALUE"""),"Imported from file DigiZag Codes 25Feb25.xlsx")</f>
        <v>Imported from file DigiZag Codes 25Feb25.xlsx</v>
      </c>
      <c r="F359" s="2" t="str">
        <f>IFERROR(__xludf.DUMMYFUNCTION("""COMPUTED_VALUE"""),"ZEC262950")</f>
        <v>ZEC262950</v>
      </c>
      <c r="G359" s="2" t="str">
        <f>IFERROR(__xludf.DUMMYFUNCTION("""COMPUTED_VALUE"""),"Kuwait")</f>
        <v>Kuwait</v>
      </c>
      <c r="H359" s="4">
        <f>IFERROR(__xludf.DUMMYFUNCTION("""COMPUTED_VALUE"""),10.95)</f>
        <v>10.95</v>
      </c>
      <c r="I359" s="3">
        <f>IFERROR(__xludf.DUMMYFUNCTION("""COMPUTED_VALUE"""),0.0)</f>
        <v>0</v>
      </c>
      <c r="J359" s="4">
        <f>IFERROR(__xludf.DUMMYFUNCTION("""COMPUTED_VALUE"""),1.095)</f>
        <v>1.095</v>
      </c>
      <c r="K359" s="2"/>
      <c r="L359" s="2" t="str">
        <f>IFERROR(__xludf.DUMMYFUNCTION("""COMPUTED_VALUE"""),"Delivered")</f>
        <v>Delivered</v>
      </c>
      <c r="M359" s="2" t="str">
        <f>IFERROR(__xludf.DUMMYFUNCTION("""COMPUTED_VALUE"""),"KD")</f>
        <v>KD</v>
      </c>
      <c r="N359" s="2" t="str">
        <f>IFERROR(__xludf.DUMMYFUNCTION("""COMPUTED_VALUE"""),"Cash")</f>
        <v>Cash</v>
      </c>
      <c r="O359" s="4">
        <f>IFERROR(__xludf.DUMMYFUNCTION("""COMPUTED_VALUE"""),0.0)</f>
        <v>0</v>
      </c>
      <c r="P359" s="2">
        <f>IFERROR(__xludf.DUMMYFUNCTION("""COMPUTED_VALUE"""),28.0)</f>
        <v>28</v>
      </c>
      <c r="Q359" s="2">
        <f>IFERROR(__xludf.DUMMYFUNCTION("""COMPUTED_VALUE"""),4.0)</f>
        <v>4</v>
      </c>
      <c r="R359" s="2">
        <f>IFERROR(__xludf.DUMMYFUNCTION("""COMPUTED_VALUE"""),2025.0)</f>
        <v>2025</v>
      </c>
      <c r="S359" s="2" t="str">
        <f>IFERROR(__xludf.DUMMYFUNCTION("""COMPUTED_VALUE"""),"Digizag")</f>
        <v>Digizag</v>
      </c>
      <c r="T359" s="2" t="str">
        <f>IFERROR(__xludf.DUMMYFUNCTION("""COMPUTED_VALUE"""),"Digizag")</f>
        <v>Digizag</v>
      </c>
      <c r="U359" s="5">
        <f>IFERROR(__xludf.DUMMYFUNCTION("""COMPUTED_VALUE"""),35.70378899999999)</f>
        <v>35.703789</v>
      </c>
      <c r="V359" s="2"/>
      <c r="W359" s="2"/>
      <c r="X359" s="2"/>
      <c r="Y359" s="2"/>
      <c r="Z359" s="2"/>
    </row>
    <row r="360">
      <c r="A360" s="6">
        <f>IFERROR(__xludf.DUMMYFUNCTION("""COMPUTED_VALUE"""),45775.456458333334)</f>
        <v>45775.45646</v>
      </c>
      <c r="B360" s="2" t="str">
        <f>IFERROR(__xludf.DUMMYFUNCTION("""COMPUTED_VALUE"""),"April")</f>
        <v>April</v>
      </c>
      <c r="C360" s="3">
        <f>IFERROR(__xludf.DUMMYFUNCTION("""COMPUTED_VALUE"""),727171.0)</f>
        <v>727171</v>
      </c>
      <c r="D360" s="2" t="str">
        <f>IFERROR(__xludf.DUMMYFUNCTION("""COMPUTED_VALUE"""),"MNN16")</f>
        <v>MNN16</v>
      </c>
      <c r="E360" s="2" t="str">
        <f>IFERROR(__xludf.DUMMYFUNCTION("""COMPUTED_VALUE"""),"Imported from file DigiZag Bidding Codes.xlsx")</f>
        <v>Imported from file DigiZag Bidding Codes.xlsx</v>
      </c>
      <c r="F360" s="2" t="str">
        <f>IFERROR(__xludf.DUMMYFUNCTION("""COMPUTED_VALUE"""),"TJL570491")</f>
        <v>TJL570491</v>
      </c>
      <c r="G360" s="2" t="str">
        <f>IFERROR(__xludf.DUMMYFUNCTION("""COMPUTED_VALUE"""),"Kingdom of Saudi Arabia")</f>
        <v>Kingdom of Saudi Arabia</v>
      </c>
      <c r="H360" s="4">
        <f>IFERROR(__xludf.DUMMYFUNCTION("""COMPUTED_VALUE"""),263.46)</f>
        <v>263.46</v>
      </c>
      <c r="I360" s="3">
        <f>IFERROR(__xludf.DUMMYFUNCTION("""COMPUTED_VALUE"""),0.0)</f>
        <v>0</v>
      </c>
      <c r="J360" s="4">
        <f>IFERROR(__xludf.DUMMYFUNCTION("""COMPUTED_VALUE"""),26.34)</f>
        <v>26.34</v>
      </c>
      <c r="K360" s="2"/>
      <c r="L360" s="2" t="str">
        <f>IFERROR(__xludf.DUMMYFUNCTION("""COMPUTED_VALUE"""),"Delivered")</f>
        <v>Delivered</v>
      </c>
      <c r="M360" s="2" t="str">
        <f>IFERROR(__xludf.DUMMYFUNCTION("""COMPUTED_VALUE"""),"SAR")</f>
        <v>SAR</v>
      </c>
      <c r="N360" s="2" t="str">
        <f>IFERROR(__xludf.DUMMYFUNCTION("""COMPUTED_VALUE"""),"Pay in 4. No interest, no fees")</f>
        <v>Pay in 4. No interest, no fees</v>
      </c>
      <c r="O360" s="4">
        <f>IFERROR(__xludf.DUMMYFUNCTION("""COMPUTED_VALUE"""),0.0)</f>
        <v>0</v>
      </c>
      <c r="P360" s="2">
        <f>IFERROR(__xludf.DUMMYFUNCTION("""COMPUTED_VALUE"""),28.0)</f>
        <v>28</v>
      </c>
      <c r="Q360" s="2">
        <f>IFERROR(__xludf.DUMMYFUNCTION("""COMPUTED_VALUE"""),4.0)</f>
        <v>4</v>
      </c>
      <c r="R360" s="2">
        <f>IFERROR(__xludf.DUMMYFUNCTION("""COMPUTED_VALUE"""),2025.0)</f>
        <v>2025</v>
      </c>
      <c r="S360" s="2" t="str">
        <f>IFERROR(__xludf.DUMMYFUNCTION("""COMPUTED_VALUE"""),"Digizag")</f>
        <v>Digizag</v>
      </c>
      <c r="T360" s="2" t="str">
        <f>IFERROR(__xludf.DUMMYFUNCTION("""COMPUTED_VALUE"""),"Digizag")</f>
        <v>Digizag</v>
      </c>
      <c r="U360" s="5">
        <f>IFERROR(__xludf.DUMMYFUNCTION("""COMPUTED_VALUE"""),70.25056727916)</f>
        <v>70.25056728</v>
      </c>
      <c r="V360" s="2"/>
      <c r="W360" s="2"/>
      <c r="X360" s="2"/>
      <c r="Y360" s="2"/>
      <c r="Z360" s="2"/>
    </row>
    <row r="361">
      <c r="A361" s="6">
        <f>IFERROR(__xludf.DUMMYFUNCTION("""COMPUTED_VALUE"""),45776.23243055555)</f>
        <v>45776.23243</v>
      </c>
      <c r="B361" s="2" t="str">
        <f>IFERROR(__xludf.DUMMYFUNCTION("""COMPUTED_VALUE"""),"April")</f>
        <v>April</v>
      </c>
      <c r="C361" s="3">
        <f>IFERROR(__xludf.DUMMYFUNCTION("""COMPUTED_VALUE"""),455616.0)</f>
        <v>455616</v>
      </c>
      <c r="D361" s="2" t="str">
        <f>IFERROR(__xludf.DUMMYFUNCTION("""COMPUTED_VALUE"""),"DB7")</f>
        <v>DB7</v>
      </c>
      <c r="E361" s="2" t="str">
        <f>IFERROR(__xludf.DUMMYFUNCTION("""COMPUTED_VALUE"""),"Digizag")</f>
        <v>Digizag</v>
      </c>
      <c r="F361" s="2" t="str">
        <f>IFERROR(__xludf.DUMMYFUNCTION("""COMPUTED_VALUE"""),"LPN309024")</f>
        <v>LPN309024</v>
      </c>
      <c r="G361" s="2" t="str">
        <f>IFERROR(__xludf.DUMMYFUNCTION("""COMPUTED_VALUE"""),"Kuwait")</f>
        <v>Kuwait</v>
      </c>
      <c r="H361" s="4">
        <f>IFERROR(__xludf.DUMMYFUNCTION("""COMPUTED_VALUE"""),23.9)</f>
        <v>23.9</v>
      </c>
      <c r="I361" s="3">
        <f>IFERROR(__xludf.DUMMYFUNCTION("""COMPUTED_VALUE"""),0.0)</f>
        <v>0</v>
      </c>
      <c r="J361" s="4">
        <f>IFERROR(__xludf.DUMMYFUNCTION("""COMPUTED_VALUE"""),2.39)</f>
        <v>2.39</v>
      </c>
      <c r="K361" s="2"/>
      <c r="L361" s="2" t="str">
        <f>IFERROR(__xludf.DUMMYFUNCTION("""COMPUTED_VALUE"""),"Delivered")</f>
        <v>Delivered</v>
      </c>
      <c r="M361" s="2" t="str">
        <f>IFERROR(__xludf.DUMMYFUNCTION("""COMPUTED_VALUE"""),"KD")</f>
        <v>KD</v>
      </c>
      <c r="N361" s="2" t="str">
        <f>IFERROR(__xludf.DUMMYFUNCTION("""COMPUTED_VALUE"""),"Credit, Debit, Knet")</f>
        <v>Credit, Debit, Knet</v>
      </c>
      <c r="O361" s="4">
        <f>IFERROR(__xludf.DUMMYFUNCTION("""COMPUTED_VALUE"""),0.0)</f>
        <v>0</v>
      </c>
      <c r="P361" s="2">
        <f>IFERROR(__xludf.DUMMYFUNCTION("""COMPUTED_VALUE"""),29.0)</f>
        <v>29</v>
      </c>
      <c r="Q361" s="2">
        <f>IFERROR(__xludf.DUMMYFUNCTION("""COMPUTED_VALUE"""),4.0)</f>
        <v>4</v>
      </c>
      <c r="R361" s="2">
        <f>IFERROR(__xludf.DUMMYFUNCTION("""COMPUTED_VALUE"""),2025.0)</f>
        <v>2025</v>
      </c>
      <c r="S361" s="2" t="str">
        <f>IFERROR(__xludf.DUMMYFUNCTION("""COMPUTED_VALUE"""),"Digizag")</f>
        <v>Digizag</v>
      </c>
      <c r="T361" s="2" t="str">
        <f>IFERROR(__xludf.DUMMYFUNCTION("""COMPUTED_VALUE"""),"Digizag")</f>
        <v>Digizag</v>
      </c>
      <c r="U361" s="5">
        <f>IFERROR(__xludf.DUMMYFUNCTION("""COMPUTED_VALUE"""),77.92881799999999)</f>
        <v>77.928818</v>
      </c>
      <c r="V361" s="2"/>
      <c r="W361" s="2"/>
      <c r="X361" s="2"/>
      <c r="Y361" s="2"/>
      <c r="Z361" s="2"/>
    </row>
    <row r="362">
      <c r="A362" s="6">
        <f>IFERROR(__xludf.DUMMYFUNCTION("""COMPUTED_VALUE"""),45776.35923611111)</f>
        <v>45776.35924</v>
      </c>
      <c r="B362" s="2" t="str">
        <f>IFERROR(__xludf.DUMMYFUNCTION("""COMPUTED_VALUE"""),"April")</f>
        <v>April</v>
      </c>
      <c r="C362" s="3">
        <f>IFERROR(__xludf.DUMMYFUNCTION("""COMPUTED_VALUE"""),69241.0)</f>
        <v>69241</v>
      </c>
      <c r="D362" s="2" t="str">
        <f>IFERROR(__xludf.DUMMYFUNCTION("""COMPUTED_VALUE"""),"MNN16")</f>
        <v>MNN16</v>
      </c>
      <c r="E362" s="2" t="str">
        <f>IFERROR(__xludf.DUMMYFUNCTION("""COMPUTED_VALUE"""),"Imported from file DigiZag Bidding Codes.xlsx")</f>
        <v>Imported from file DigiZag Bidding Codes.xlsx</v>
      </c>
      <c r="F362" s="2" t="str">
        <f>IFERROR(__xludf.DUMMYFUNCTION("""COMPUTED_VALUE"""),"YCQ173700")</f>
        <v>YCQ173700</v>
      </c>
      <c r="G362" s="2" t="str">
        <f>IFERROR(__xludf.DUMMYFUNCTION("""COMPUTED_VALUE"""),"Kingdom of Saudi Arabia")</f>
        <v>Kingdom of Saudi Arabia</v>
      </c>
      <c r="H362" s="4">
        <f>IFERROR(__xludf.DUMMYFUNCTION("""COMPUTED_VALUE"""),590.46)</f>
        <v>590.46</v>
      </c>
      <c r="I362" s="3">
        <f>IFERROR(__xludf.DUMMYFUNCTION("""COMPUTED_VALUE"""),0.0)</f>
        <v>0</v>
      </c>
      <c r="J362" s="4">
        <f>IFERROR(__xludf.DUMMYFUNCTION("""COMPUTED_VALUE"""),59.04)</f>
        <v>59.04</v>
      </c>
      <c r="K362" s="2"/>
      <c r="L362" s="2" t="str">
        <f>IFERROR(__xludf.DUMMYFUNCTION("""COMPUTED_VALUE"""),"Delivered")</f>
        <v>Delivered</v>
      </c>
      <c r="M362" s="2" t="str">
        <f>IFERROR(__xludf.DUMMYFUNCTION("""COMPUTED_VALUE"""),"SAR")</f>
        <v>SAR</v>
      </c>
      <c r="N362" s="2" t="str">
        <f>IFERROR(__xludf.DUMMYFUNCTION("""COMPUTED_VALUE"""),"Pay in 4. No interest, no fees")</f>
        <v>Pay in 4. No interest, no fees</v>
      </c>
      <c r="O362" s="4">
        <f>IFERROR(__xludf.DUMMYFUNCTION("""COMPUTED_VALUE"""),0.0)</f>
        <v>0</v>
      </c>
      <c r="P362" s="2">
        <f>IFERROR(__xludf.DUMMYFUNCTION("""COMPUTED_VALUE"""),29.0)</f>
        <v>29</v>
      </c>
      <c r="Q362" s="2">
        <f>IFERROR(__xludf.DUMMYFUNCTION("""COMPUTED_VALUE"""),4.0)</f>
        <v>4</v>
      </c>
      <c r="R362" s="2">
        <f>IFERROR(__xludf.DUMMYFUNCTION("""COMPUTED_VALUE"""),2025.0)</f>
        <v>2025</v>
      </c>
      <c r="S362" s="2" t="str">
        <f>IFERROR(__xludf.DUMMYFUNCTION("""COMPUTED_VALUE"""),"Digizag")</f>
        <v>Digizag</v>
      </c>
      <c r="T362" s="2" t="str">
        <f>IFERROR(__xludf.DUMMYFUNCTION("""COMPUTED_VALUE"""),"Digizag")</f>
        <v>Digizag</v>
      </c>
      <c r="U362" s="5">
        <f>IFERROR(__xludf.DUMMYFUNCTION("""COMPUTED_VALUE"""),157.44382432116004)</f>
        <v>157.4438243</v>
      </c>
      <c r="V362" s="2"/>
      <c r="W362" s="2"/>
      <c r="X362" s="2"/>
      <c r="Y362" s="2"/>
      <c r="Z362" s="2"/>
    </row>
    <row r="363">
      <c r="A363" s="6">
        <f>IFERROR(__xludf.DUMMYFUNCTION("""COMPUTED_VALUE"""),45776.37042824074)</f>
        <v>45776.37043</v>
      </c>
      <c r="B363" s="2" t="str">
        <f>IFERROR(__xludf.DUMMYFUNCTION("""COMPUTED_VALUE"""),"April")</f>
        <v>April</v>
      </c>
      <c r="C363" s="3">
        <f>IFERROR(__xludf.DUMMYFUNCTION("""COMPUTED_VALUE"""),727605.0)</f>
        <v>727605</v>
      </c>
      <c r="D363" s="2" t="str">
        <f>IFERROR(__xludf.DUMMYFUNCTION("""COMPUTED_VALUE"""),"MNN16")</f>
        <v>MNN16</v>
      </c>
      <c r="E363" s="2" t="str">
        <f>IFERROR(__xludf.DUMMYFUNCTION("""COMPUTED_VALUE"""),"Imported from file DigiZag Bidding Codes.xlsx")</f>
        <v>Imported from file DigiZag Bidding Codes.xlsx</v>
      </c>
      <c r="F363" s="2" t="str">
        <f>IFERROR(__xludf.DUMMYFUNCTION("""COMPUTED_VALUE"""),"LQU455012")</f>
        <v>LQU455012</v>
      </c>
      <c r="G363" s="2" t="str">
        <f>IFERROR(__xludf.DUMMYFUNCTION("""COMPUTED_VALUE"""),"Kingdom of Saudi Arabia")</f>
        <v>Kingdom of Saudi Arabia</v>
      </c>
      <c r="H363" s="4">
        <f>IFERROR(__xludf.DUMMYFUNCTION("""COMPUTED_VALUE"""),179.44)</f>
        <v>179.44</v>
      </c>
      <c r="I363" s="3">
        <f>IFERROR(__xludf.DUMMYFUNCTION("""COMPUTED_VALUE"""),0.0)</f>
        <v>0</v>
      </c>
      <c r="J363" s="4">
        <f>IFERROR(__xludf.DUMMYFUNCTION("""COMPUTED_VALUE"""),17.94)</f>
        <v>17.94</v>
      </c>
      <c r="K363" s="2"/>
      <c r="L363" s="2" t="str">
        <f>IFERROR(__xludf.DUMMYFUNCTION("""COMPUTED_VALUE"""),"Delivered")</f>
        <v>Delivered</v>
      </c>
      <c r="M363" s="2" t="str">
        <f>IFERROR(__xludf.DUMMYFUNCTION("""COMPUTED_VALUE"""),"SAR")</f>
        <v>SAR</v>
      </c>
      <c r="N363" s="2" t="str">
        <f>IFERROR(__xludf.DUMMYFUNCTION("""COMPUTED_VALUE"""),"Credit, Debit, Apple Pay")</f>
        <v>Credit, Debit, Apple Pay</v>
      </c>
      <c r="O363" s="4">
        <f>IFERROR(__xludf.DUMMYFUNCTION("""COMPUTED_VALUE"""),0.0)</f>
        <v>0</v>
      </c>
      <c r="P363" s="2">
        <f>IFERROR(__xludf.DUMMYFUNCTION("""COMPUTED_VALUE"""),29.0)</f>
        <v>29</v>
      </c>
      <c r="Q363" s="2">
        <f>IFERROR(__xludf.DUMMYFUNCTION("""COMPUTED_VALUE"""),4.0)</f>
        <v>4</v>
      </c>
      <c r="R363" s="2">
        <f>IFERROR(__xludf.DUMMYFUNCTION("""COMPUTED_VALUE"""),2025.0)</f>
        <v>2025</v>
      </c>
      <c r="S363" s="2" t="str">
        <f>IFERROR(__xludf.DUMMYFUNCTION("""COMPUTED_VALUE"""),"Digizag")</f>
        <v>Digizag</v>
      </c>
      <c r="T363" s="2" t="str">
        <f>IFERROR(__xludf.DUMMYFUNCTION("""COMPUTED_VALUE"""),"Digizag")</f>
        <v>Digizag</v>
      </c>
      <c r="U363" s="5">
        <f>IFERROR(__xludf.DUMMYFUNCTION("""COMPUTED_VALUE"""),47.84696649424001)</f>
        <v>47.84696649</v>
      </c>
      <c r="V363" s="2"/>
      <c r="W363" s="2"/>
      <c r="X363" s="2"/>
      <c r="Y363" s="2"/>
      <c r="Z363" s="2"/>
    </row>
    <row r="364">
      <c r="A364" s="6">
        <f>IFERROR(__xludf.DUMMYFUNCTION("""COMPUTED_VALUE"""),45776.71108796296)</f>
        <v>45776.71109</v>
      </c>
      <c r="B364" s="2" t="str">
        <f>IFERROR(__xludf.DUMMYFUNCTION("""COMPUTED_VALUE"""),"April")</f>
        <v>April</v>
      </c>
      <c r="C364" s="3">
        <f>IFERROR(__xludf.DUMMYFUNCTION("""COMPUTED_VALUE"""),586483.0)</f>
        <v>586483</v>
      </c>
      <c r="D364" s="2" t="str">
        <f>IFERROR(__xludf.DUMMYFUNCTION("""COMPUTED_VALUE"""),"DB1")</f>
        <v>DB1</v>
      </c>
      <c r="E364" s="2" t="str">
        <f>IFERROR(__xludf.DUMMYFUNCTION("""COMPUTED_VALUE"""),"Imported from file Digizag.xlsx")</f>
        <v>Imported from file Digizag.xlsx</v>
      </c>
      <c r="F364" s="2" t="str">
        <f>IFERROR(__xludf.DUMMYFUNCTION("""COMPUTED_VALUE"""),"DNQ366817")</f>
        <v>DNQ366817</v>
      </c>
      <c r="G364" s="2" t="str">
        <f>IFERROR(__xludf.DUMMYFUNCTION("""COMPUTED_VALUE"""),"Kingdom of Saudi Arabia")</f>
        <v>Kingdom of Saudi Arabia</v>
      </c>
      <c r="H364" s="4">
        <f>IFERROR(__xludf.DUMMYFUNCTION("""COMPUTED_VALUE"""),223.8)</f>
        <v>223.8</v>
      </c>
      <c r="I364" s="3">
        <f>IFERROR(__xludf.DUMMYFUNCTION("""COMPUTED_VALUE"""),1.0)</f>
        <v>1</v>
      </c>
      <c r="J364" s="4">
        <f>IFERROR(__xludf.DUMMYFUNCTION("""COMPUTED_VALUE"""),22.38)</f>
        <v>22.38</v>
      </c>
      <c r="K364" s="2"/>
      <c r="L364" s="2" t="str">
        <f>IFERROR(__xludf.DUMMYFUNCTION("""COMPUTED_VALUE"""),"Partially Cancelled")</f>
        <v>Partially Cancelled</v>
      </c>
      <c r="M364" s="2" t="str">
        <f>IFERROR(__xludf.DUMMYFUNCTION("""COMPUTED_VALUE"""),"SAR")</f>
        <v>SAR</v>
      </c>
      <c r="N364" s="2" t="str">
        <f>IFERROR(__xludf.DUMMYFUNCTION("""COMPUTED_VALUE"""),"Credit, Debit, Apple Pay")</f>
        <v>Credit, Debit, Apple Pay</v>
      </c>
      <c r="O364" s="4">
        <f>IFERROR(__xludf.DUMMYFUNCTION("""COMPUTED_VALUE"""),134.91)</f>
        <v>134.91</v>
      </c>
      <c r="P364" s="2">
        <f>IFERROR(__xludf.DUMMYFUNCTION("""COMPUTED_VALUE"""),29.0)</f>
        <v>29</v>
      </c>
      <c r="Q364" s="2">
        <f>IFERROR(__xludf.DUMMYFUNCTION("""COMPUTED_VALUE"""),4.0)</f>
        <v>4</v>
      </c>
      <c r="R364" s="2">
        <f>IFERROR(__xludf.DUMMYFUNCTION("""COMPUTED_VALUE"""),2025.0)</f>
        <v>2025</v>
      </c>
      <c r="S364" s="2" t="str">
        <f>IFERROR(__xludf.DUMMYFUNCTION("""COMPUTED_VALUE"""),"Digizag")</f>
        <v>Digizag</v>
      </c>
      <c r="T364" s="2" t="str">
        <f>IFERROR(__xludf.DUMMYFUNCTION("""COMPUTED_VALUE"""),"Digizag")</f>
        <v>Digizag</v>
      </c>
      <c r="U364" s="5">
        <f>IFERROR(__xludf.DUMMYFUNCTION("""COMPUTED_VALUE"""),59.675385094800006)</f>
        <v>59.67538509</v>
      </c>
      <c r="V364" s="2"/>
      <c r="W364" s="2"/>
      <c r="X364" s="2"/>
      <c r="Y364" s="2"/>
      <c r="Z364" s="2"/>
    </row>
    <row r="365">
      <c r="A365" s="6">
        <f>IFERROR(__xludf.DUMMYFUNCTION("""COMPUTED_VALUE"""),45777.72385416667)</f>
        <v>45777.72385</v>
      </c>
      <c r="B365" s="2" t="str">
        <f>IFERROR(__xludf.DUMMYFUNCTION("""COMPUTED_VALUE"""),"April")</f>
        <v>April</v>
      </c>
      <c r="C365" s="3">
        <f>IFERROR(__xludf.DUMMYFUNCTION("""COMPUTED_VALUE"""),728554.0)</f>
        <v>728554</v>
      </c>
      <c r="D365" s="2" t="str">
        <f>IFERROR(__xludf.DUMMYFUNCTION("""COMPUTED_VALUE"""),"MNN16")</f>
        <v>MNN16</v>
      </c>
      <c r="E365" s="2" t="str">
        <f>IFERROR(__xludf.DUMMYFUNCTION("""COMPUTED_VALUE"""),"Imported from file DigiZag Codes 25Feb25.xlsx")</f>
        <v>Imported from file DigiZag Codes 25Feb25.xlsx</v>
      </c>
      <c r="F365" s="2" t="str">
        <f>IFERROR(__xludf.DUMMYFUNCTION("""COMPUTED_VALUE"""),"MXS940599")</f>
        <v>MXS940599</v>
      </c>
      <c r="G365" s="2" t="str">
        <f>IFERROR(__xludf.DUMMYFUNCTION("""COMPUTED_VALUE"""),"UAE")</f>
        <v>UAE</v>
      </c>
      <c r="H365" s="4">
        <f>IFERROR(__xludf.DUMMYFUNCTION("""COMPUTED_VALUE"""),145.0)</f>
        <v>145</v>
      </c>
      <c r="I365" s="3">
        <f>IFERROR(__xludf.DUMMYFUNCTION("""COMPUTED_VALUE"""),0.0)</f>
        <v>0</v>
      </c>
      <c r="J365" s="4">
        <f>IFERROR(__xludf.DUMMYFUNCTION("""COMPUTED_VALUE"""),14.5)</f>
        <v>14.5</v>
      </c>
      <c r="K365" s="2"/>
      <c r="L365" s="2" t="str">
        <f>IFERROR(__xludf.DUMMYFUNCTION("""COMPUTED_VALUE"""),"Processing")</f>
        <v>Processing</v>
      </c>
      <c r="M365" s="2" t="str">
        <f>IFERROR(__xludf.DUMMYFUNCTION("""COMPUTED_VALUE"""),"AED")</f>
        <v>AED</v>
      </c>
      <c r="N365" s="2" t="str">
        <f>IFERROR(__xludf.DUMMYFUNCTION("""COMPUTED_VALUE"""),"Credit, Debit , Apple Pay")</f>
        <v>Credit, Debit , Apple Pay</v>
      </c>
      <c r="O365" s="4">
        <f>IFERROR(__xludf.DUMMYFUNCTION("""COMPUTED_VALUE"""),0.0)</f>
        <v>0</v>
      </c>
      <c r="P365" s="2">
        <f>IFERROR(__xludf.DUMMYFUNCTION("""COMPUTED_VALUE"""),30.0)</f>
        <v>30</v>
      </c>
      <c r="Q365" s="2">
        <f>IFERROR(__xludf.DUMMYFUNCTION("""COMPUTED_VALUE"""),4.0)</f>
        <v>4</v>
      </c>
      <c r="R365" s="2">
        <f>IFERROR(__xludf.DUMMYFUNCTION("""COMPUTED_VALUE"""),2025.0)</f>
        <v>2025</v>
      </c>
      <c r="S365" s="2" t="str">
        <f>IFERROR(__xludf.DUMMYFUNCTION("""COMPUTED_VALUE"""),"Digizag")</f>
        <v>Digizag</v>
      </c>
      <c r="T365" s="2" t="str">
        <f>IFERROR(__xludf.DUMMYFUNCTION("""COMPUTED_VALUE"""),"Digizag")</f>
        <v>Digizag</v>
      </c>
      <c r="U365" s="5">
        <f>IFERROR(__xludf.DUMMYFUNCTION("""COMPUTED_VALUE"""),39.48264131)</f>
        <v>39.48264131</v>
      </c>
      <c r="V365" s="2"/>
      <c r="W365" s="2"/>
      <c r="X365" s="2"/>
      <c r="Y365" s="2"/>
      <c r="Z365" s="2"/>
    </row>
    <row r="366">
      <c r="A366" s="6">
        <f>IFERROR(__xludf.DUMMYFUNCTION("""COMPUTED_VALUE"""),45777.774259259255)</f>
        <v>45777.77426</v>
      </c>
      <c r="B366" s="2" t="str">
        <f>IFERROR(__xludf.DUMMYFUNCTION("""COMPUTED_VALUE"""),"April")</f>
        <v>April</v>
      </c>
      <c r="C366" s="3">
        <f>IFERROR(__xludf.DUMMYFUNCTION("""COMPUTED_VALUE"""),362349.0)</f>
        <v>362349</v>
      </c>
      <c r="D366" s="2" t="str">
        <f>IFERROR(__xludf.DUMMYFUNCTION("""COMPUTED_VALUE"""),"MNN16")</f>
        <v>MNN16</v>
      </c>
      <c r="E366" s="2" t="str">
        <f>IFERROR(__xludf.DUMMYFUNCTION("""COMPUTED_VALUE"""),"Imported from file DigiZag Bidding Codes.xlsx")</f>
        <v>Imported from file DigiZag Bidding Codes.xlsx</v>
      </c>
      <c r="F366" s="2" t="str">
        <f>IFERROR(__xludf.DUMMYFUNCTION("""COMPUTED_VALUE"""),"ESH225431")</f>
        <v>ESH225431</v>
      </c>
      <c r="G366" s="2" t="str">
        <f>IFERROR(__xludf.DUMMYFUNCTION("""COMPUTED_VALUE"""),"Kingdom of Saudi Arabia")</f>
        <v>Kingdom of Saudi Arabia</v>
      </c>
      <c r="H366" s="4">
        <f>IFERROR(__xludf.DUMMYFUNCTION("""COMPUTED_VALUE"""),129.26)</f>
        <v>129.26</v>
      </c>
      <c r="I366" s="3">
        <f>IFERROR(__xludf.DUMMYFUNCTION("""COMPUTED_VALUE"""),0.0)</f>
        <v>0</v>
      </c>
      <c r="J366" s="4">
        <f>IFERROR(__xludf.DUMMYFUNCTION("""COMPUTED_VALUE"""),12.92)</f>
        <v>12.92</v>
      </c>
      <c r="K366" s="2"/>
      <c r="L366" s="2" t="str">
        <f>IFERROR(__xludf.DUMMYFUNCTION("""COMPUTED_VALUE"""),"Processing")</f>
        <v>Processing</v>
      </c>
      <c r="M366" s="2" t="str">
        <f>IFERROR(__xludf.DUMMYFUNCTION("""COMPUTED_VALUE"""),"SAR")</f>
        <v>SAR</v>
      </c>
      <c r="N366" s="2" t="str">
        <f>IFERROR(__xludf.DUMMYFUNCTION("""COMPUTED_VALUE"""),"Cash")</f>
        <v>Cash</v>
      </c>
      <c r="O366" s="4">
        <f>IFERROR(__xludf.DUMMYFUNCTION("""COMPUTED_VALUE"""),0.0)</f>
        <v>0</v>
      </c>
      <c r="P366" s="2">
        <f>IFERROR(__xludf.DUMMYFUNCTION("""COMPUTED_VALUE"""),30.0)</f>
        <v>30</v>
      </c>
      <c r="Q366" s="2">
        <f>IFERROR(__xludf.DUMMYFUNCTION("""COMPUTED_VALUE"""),4.0)</f>
        <v>4</v>
      </c>
      <c r="R366" s="2">
        <f>IFERROR(__xludf.DUMMYFUNCTION("""COMPUTED_VALUE"""),2025.0)</f>
        <v>2025</v>
      </c>
      <c r="S366" s="2" t="str">
        <f>IFERROR(__xludf.DUMMYFUNCTION("""COMPUTED_VALUE"""),"Digizag")</f>
        <v>Digizag</v>
      </c>
      <c r="T366" s="2" t="str">
        <f>IFERROR(__xludf.DUMMYFUNCTION("""COMPUTED_VALUE"""),"Digizag")</f>
        <v>Digizag</v>
      </c>
      <c r="U366" s="5">
        <f>IFERROR(__xludf.DUMMYFUNCTION("""COMPUTED_VALUE"""),34.46666790596)</f>
        <v>34.46666791</v>
      </c>
      <c r="V366" s="2"/>
      <c r="W366" s="2"/>
      <c r="X366" s="2"/>
      <c r="Y366" s="2"/>
      <c r="Z366" s="2"/>
    </row>
    <row r="367">
      <c r="A367" s="6">
        <f>IFERROR(__xludf.DUMMYFUNCTION("""COMPUTED_VALUE"""),45777.789131944446)</f>
        <v>45777.78913</v>
      </c>
      <c r="B367" s="2" t="str">
        <f>IFERROR(__xludf.DUMMYFUNCTION("""COMPUTED_VALUE"""),"April")</f>
        <v>April</v>
      </c>
      <c r="C367" s="3">
        <f>IFERROR(__xludf.DUMMYFUNCTION("""COMPUTED_VALUE"""),728612.0)</f>
        <v>728612</v>
      </c>
      <c r="D367" s="2" t="str">
        <f>IFERROR(__xludf.DUMMYFUNCTION("""COMPUTED_VALUE"""),"MNN16")</f>
        <v>MNN16</v>
      </c>
      <c r="E367" s="2" t="str">
        <f>IFERROR(__xludf.DUMMYFUNCTION("""COMPUTED_VALUE"""),"Imported from file DigiZag Codes 25Feb25.xlsx")</f>
        <v>Imported from file DigiZag Codes 25Feb25.xlsx</v>
      </c>
      <c r="F367" s="2" t="str">
        <f>IFERROR(__xludf.DUMMYFUNCTION("""COMPUTED_VALUE"""),"DSH292758")</f>
        <v>DSH292758</v>
      </c>
      <c r="G367" s="2" t="str">
        <f>IFERROR(__xludf.DUMMYFUNCTION("""COMPUTED_VALUE"""),"UAE")</f>
        <v>UAE</v>
      </c>
      <c r="H367" s="4">
        <f>IFERROR(__xludf.DUMMYFUNCTION("""COMPUTED_VALUE"""),270.0)</f>
        <v>270</v>
      </c>
      <c r="I367" s="3">
        <f>IFERROR(__xludf.DUMMYFUNCTION("""COMPUTED_VALUE"""),0.0)</f>
        <v>0</v>
      </c>
      <c r="J367" s="4">
        <f>IFERROR(__xludf.DUMMYFUNCTION("""COMPUTED_VALUE"""),27.0)</f>
        <v>27</v>
      </c>
      <c r="K367" s="2"/>
      <c r="L367" s="2" t="str">
        <f>IFERROR(__xludf.DUMMYFUNCTION("""COMPUTED_VALUE"""),"Processing")</f>
        <v>Processing</v>
      </c>
      <c r="M367" s="2" t="str">
        <f>IFERROR(__xludf.DUMMYFUNCTION("""COMPUTED_VALUE"""),"AED")</f>
        <v>AED</v>
      </c>
      <c r="N367" s="2" t="str">
        <f>IFERROR(__xludf.DUMMYFUNCTION("""COMPUTED_VALUE"""),"Tamara: split in 3, interest-free")</f>
        <v>Tamara: split in 3, interest-free</v>
      </c>
      <c r="O367" s="4">
        <f>IFERROR(__xludf.DUMMYFUNCTION("""COMPUTED_VALUE"""),0.0)</f>
        <v>0</v>
      </c>
      <c r="P367" s="2">
        <f>IFERROR(__xludf.DUMMYFUNCTION("""COMPUTED_VALUE"""),30.0)</f>
        <v>30</v>
      </c>
      <c r="Q367" s="2">
        <f>IFERROR(__xludf.DUMMYFUNCTION("""COMPUTED_VALUE"""),4.0)</f>
        <v>4</v>
      </c>
      <c r="R367" s="2">
        <f>IFERROR(__xludf.DUMMYFUNCTION("""COMPUTED_VALUE"""),2025.0)</f>
        <v>2025</v>
      </c>
      <c r="S367" s="2" t="str">
        <f>IFERROR(__xludf.DUMMYFUNCTION("""COMPUTED_VALUE"""),"Digizag")</f>
        <v>Digizag</v>
      </c>
      <c r="T367" s="2" t="str">
        <f>IFERROR(__xludf.DUMMYFUNCTION("""COMPUTED_VALUE"""),"Digizag")</f>
        <v>Digizag</v>
      </c>
      <c r="U367" s="5">
        <f>IFERROR(__xludf.DUMMYFUNCTION("""COMPUTED_VALUE"""),73.51940105999999)</f>
        <v>73.51940106</v>
      </c>
      <c r="V367" s="2"/>
      <c r="W367" s="2"/>
      <c r="X367" s="2"/>
      <c r="Y367" s="2"/>
      <c r="Z367" s="2"/>
    </row>
    <row r="368">
      <c r="A368" s="6">
        <f>IFERROR(__xludf.DUMMYFUNCTION("""COMPUTED_VALUE"""),45777.94665509259)</f>
        <v>45777.94666</v>
      </c>
      <c r="B368" s="2" t="str">
        <f>IFERROR(__xludf.DUMMYFUNCTION("""COMPUTED_VALUE"""),"April")</f>
        <v>April</v>
      </c>
      <c r="C368" s="3">
        <f>IFERROR(__xludf.DUMMYFUNCTION("""COMPUTED_VALUE"""),728517.0)</f>
        <v>728517</v>
      </c>
      <c r="D368" s="2" t="str">
        <f>IFERROR(__xludf.DUMMYFUNCTION("""COMPUTED_VALUE"""),"DB1")</f>
        <v>DB1</v>
      </c>
      <c r="E368" s="2" t="str">
        <f>IFERROR(__xludf.DUMMYFUNCTION("""COMPUTED_VALUE"""),"Imported from file Digizag.xlsx")</f>
        <v>Imported from file Digizag.xlsx</v>
      </c>
      <c r="F368" s="2" t="str">
        <f>IFERROR(__xludf.DUMMYFUNCTION("""COMPUTED_VALUE"""),"RXZ976891")</f>
        <v>RXZ976891</v>
      </c>
      <c r="G368" s="2" t="str">
        <f>IFERROR(__xludf.DUMMYFUNCTION("""COMPUTED_VALUE"""),"Kingdom of Saudi Arabia")</f>
        <v>Kingdom of Saudi Arabia</v>
      </c>
      <c r="H368" s="4">
        <f>IFERROR(__xludf.DUMMYFUNCTION("""COMPUTED_VALUE"""),154.78)</f>
        <v>154.78</v>
      </c>
      <c r="I368" s="3">
        <f>IFERROR(__xludf.DUMMYFUNCTION("""COMPUTED_VALUE"""),0.0)</f>
        <v>0</v>
      </c>
      <c r="J368" s="4">
        <f>IFERROR(__xludf.DUMMYFUNCTION("""COMPUTED_VALUE"""),15.47)</f>
        <v>15.47</v>
      </c>
      <c r="K368" s="2"/>
      <c r="L368" s="2" t="str">
        <f>IFERROR(__xludf.DUMMYFUNCTION("""COMPUTED_VALUE"""),"Processing")</f>
        <v>Processing</v>
      </c>
      <c r="M368" s="2" t="str">
        <f>IFERROR(__xludf.DUMMYFUNCTION("""COMPUTED_VALUE"""),"SAR")</f>
        <v>SAR</v>
      </c>
      <c r="N368" s="2" t="str">
        <f>IFERROR(__xludf.DUMMYFUNCTION("""COMPUTED_VALUE"""),"Credit, Debit, Apple Pay")</f>
        <v>Credit, Debit, Apple Pay</v>
      </c>
      <c r="O368" s="4">
        <f>IFERROR(__xludf.DUMMYFUNCTION("""COMPUTED_VALUE"""),0.0)</f>
        <v>0</v>
      </c>
      <c r="P368" s="2">
        <f>IFERROR(__xludf.DUMMYFUNCTION("""COMPUTED_VALUE"""),30.0)</f>
        <v>30</v>
      </c>
      <c r="Q368" s="2">
        <f>IFERROR(__xludf.DUMMYFUNCTION("""COMPUTED_VALUE"""),4.0)</f>
        <v>4</v>
      </c>
      <c r="R368" s="2">
        <f>IFERROR(__xludf.DUMMYFUNCTION("""COMPUTED_VALUE"""),2025.0)</f>
        <v>2025</v>
      </c>
      <c r="S368" s="2" t="str">
        <f>IFERROR(__xludf.DUMMYFUNCTION("""COMPUTED_VALUE"""),"Digizag")</f>
        <v>Digizag</v>
      </c>
      <c r="T368" s="2" t="str">
        <f>IFERROR(__xludf.DUMMYFUNCTION("""COMPUTED_VALUE"""),"Digizag")</f>
        <v>Digizag</v>
      </c>
      <c r="U368" s="5">
        <f>IFERROR(__xludf.DUMMYFUNCTION("""COMPUTED_VALUE"""),41.271474999880006)</f>
        <v>41.271475</v>
      </c>
      <c r="V368" s="2"/>
      <c r="W368" s="2"/>
      <c r="X368" s="2"/>
      <c r="Y368" s="2"/>
      <c r="Z368" s="2"/>
    </row>
    <row r="369">
      <c r="A369" s="6">
        <f>IFERROR(__xludf.DUMMYFUNCTION("""COMPUTED_VALUE"""),45778.639074074075)</f>
        <v>45778.63907</v>
      </c>
      <c r="B369" s="2" t="str">
        <f>IFERROR(__xludf.DUMMYFUNCTION("""COMPUTED_VALUE"""),"May")</f>
        <v>May</v>
      </c>
      <c r="C369" s="3">
        <f>IFERROR(__xludf.DUMMYFUNCTION("""COMPUTED_VALUE"""),384798.0)</f>
        <v>384798</v>
      </c>
      <c r="D369" s="2" t="str">
        <f>IFERROR(__xludf.DUMMYFUNCTION("""COMPUTED_VALUE"""),"MNN16")</f>
        <v>MNN16</v>
      </c>
      <c r="E369" s="2" t="str">
        <f>IFERROR(__xludf.DUMMYFUNCTION("""COMPUTED_VALUE"""),"Imported from file DigiZag Codes 25Feb25.xlsx")</f>
        <v>Imported from file DigiZag Codes 25Feb25.xlsx</v>
      </c>
      <c r="F369" s="2" t="str">
        <f>IFERROR(__xludf.DUMMYFUNCTION("""COMPUTED_VALUE"""),"KRL591013")</f>
        <v>KRL591013</v>
      </c>
      <c r="G369" s="2" t="str">
        <f>IFERROR(__xludf.DUMMYFUNCTION("""COMPUTED_VALUE"""),"UAE")</f>
        <v>UAE</v>
      </c>
      <c r="H369" s="4">
        <f>IFERROR(__xludf.DUMMYFUNCTION("""COMPUTED_VALUE"""),359.0)</f>
        <v>359</v>
      </c>
      <c r="I369" s="3">
        <f>IFERROR(__xludf.DUMMYFUNCTION("""COMPUTED_VALUE"""),0.0)</f>
        <v>0</v>
      </c>
      <c r="J369" s="4">
        <f>IFERROR(__xludf.DUMMYFUNCTION("""COMPUTED_VALUE"""),35.9)</f>
        <v>35.9</v>
      </c>
      <c r="K369" s="2"/>
      <c r="L369" s="2" t="str">
        <f>IFERROR(__xludf.DUMMYFUNCTION("""COMPUTED_VALUE"""),"Processing")</f>
        <v>Processing</v>
      </c>
      <c r="M369" s="2" t="str">
        <f>IFERROR(__xludf.DUMMYFUNCTION("""COMPUTED_VALUE"""),"")</f>
        <v></v>
      </c>
      <c r="N369" s="2" t="str">
        <f>IFERROR(__xludf.DUMMYFUNCTION("""COMPUTED_VALUE"""),"Tamara: split in 3, interest-free")</f>
        <v>Tamara: split in 3, interest-free</v>
      </c>
      <c r="O369" s="4">
        <f>IFERROR(__xludf.DUMMYFUNCTION("""COMPUTED_VALUE"""),0.0)</f>
        <v>0</v>
      </c>
      <c r="P369" s="2">
        <f>IFERROR(__xludf.DUMMYFUNCTION("""COMPUTED_VALUE"""),1.0)</f>
        <v>1</v>
      </c>
      <c r="Q369" s="2">
        <f>IFERROR(__xludf.DUMMYFUNCTION("""COMPUTED_VALUE"""),5.0)</f>
        <v>5</v>
      </c>
      <c r="R369" s="2">
        <f>IFERROR(__xludf.DUMMYFUNCTION("""COMPUTED_VALUE"""),2025.0)</f>
        <v>2025</v>
      </c>
      <c r="S369" s="2" t="str">
        <f>IFERROR(__xludf.DUMMYFUNCTION("""COMPUTED_VALUE"""),"Digizag")</f>
        <v>Digizag</v>
      </c>
      <c r="T369" s="2" t="str">
        <f>IFERROR(__xludf.DUMMYFUNCTION("""COMPUTED_VALUE"""),"Digizag")</f>
        <v>Digizag</v>
      </c>
      <c r="U369" s="5">
        <f>IFERROR(__xludf.DUMMYFUNCTION("""COMPUTED_VALUE"""),97.753574002)</f>
        <v>97.753574</v>
      </c>
      <c r="V369" s="2"/>
      <c r="W369" s="2"/>
      <c r="X369" s="2"/>
      <c r="Y369" s="2"/>
      <c r="Z369" s="2"/>
    </row>
    <row r="370">
      <c r="A370" s="6">
        <f>IFERROR(__xludf.DUMMYFUNCTION("""COMPUTED_VALUE"""),45779.062581018516)</f>
        <v>45779.06258</v>
      </c>
      <c r="B370" s="2" t="str">
        <f>IFERROR(__xludf.DUMMYFUNCTION("""COMPUTED_VALUE"""),"May")</f>
        <v>May</v>
      </c>
      <c r="C370" s="3">
        <f>IFERROR(__xludf.DUMMYFUNCTION("""COMPUTED_VALUE"""),677727.0)</f>
        <v>677727</v>
      </c>
      <c r="D370" s="2" t="str">
        <f>IFERROR(__xludf.DUMMYFUNCTION("""COMPUTED_VALUE"""),"DB1")</f>
        <v>DB1</v>
      </c>
      <c r="E370" s="2" t="str">
        <f>IFERROR(__xludf.DUMMYFUNCTION("""COMPUTED_VALUE"""),"Imported from file Digizag.xlsx")</f>
        <v>Imported from file Digizag.xlsx</v>
      </c>
      <c r="F370" s="2" t="str">
        <f>IFERROR(__xludf.DUMMYFUNCTION("""COMPUTED_VALUE"""),"KVW206198")</f>
        <v>KVW206198</v>
      </c>
      <c r="G370" s="2" t="str">
        <f>IFERROR(__xludf.DUMMYFUNCTION("""COMPUTED_VALUE"""),"Kuwait")</f>
        <v>Kuwait</v>
      </c>
      <c r="H370" s="4">
        <f>IFERROR(__xludf.DUMMYFUNCTION("""COMPUTED_VALUE"""),10.15)</f>
        <v>10.15</v>
      </c>
      <c r="I370" s="3">
        <f>IFERROR(__xludf.DUMMYFUNCTION("""COMPUTED_VALUE"""),0.0)</f>
        <v>0</v>
      </c>
      <c r="J370" s="4">
        <f>IFERROR(__xludf.DUMMYFUNCTION("""COMPUTED_VALUE"""),1.015)</f>
        <v>1.015</v>
      </c>
      <c r="K370" s="2"/>
      <c r="L370" s="2" t="str">
        <f>IFERROR(__xludf.DUMMYFUNCTION("""COMPUTED_VALUE"""),"Delivered")</f>
        <v>Delivered</v>
      </c>
      <c r="M370" s="2" t="str">
        <f>IFERROR(__xludf.DUMMYFUNCTION("""COMPUTED_VALUE"""),"KD")</f>
        <v>KD</v>
      </c>
      <c r="N370" s="2" t="str">
        <f>IFERROR(__xludf.DUMMYFUNCTION("""COMPUTED_VALUE"""),"Credit, Debit, Knet")</f>
        <v>Credit, Debit, Knet</v>
      </c>
      <c r="O370" s="4">
        <f>IFERROR(__xludf.DUMMYFUNCTION("""COMPUTED_VALUE"""),0.0)</f>
        <v>0</v>
      </c>
      <c r="P370" s="2">
        <f>IFERROR(__xludf.DUMMYFUNCTION("""COMPUTED_VALUE"""),2.0)</f>
        <v>2</v>
      </c>
      <c r="Q370" s="2">
        <f>IFERROR(__xludf.DUMMYFUNCTION("""COMPUTED_VALUE"""),5.0)</f>
        <v>5</v>
      </c>
      <c r="R370" s="2">
        <f>IFERROR(__xludf.DUMMYFUNCTION("""COMPUTED_VALUE"""),2025.0)</f>
        <v>2025</v>
      </c>
      <c r="S370" s="2" t="str">
        <f>IFERROR(__xludf.DUMMYFUNCTION("""COMPUTED_VALUE"""),"Digizag")</f>
        <v>Digizag</v>
      </c>
      <c r="T370" s="2" t="str">
        <f>IFERROR(__xludf.DUMMYFUNCTION("""COMPUTED_VALUE"""),"Digizag")</f>
        <v>Digizag</v>
      </c>
      <c r="U370" s="5">
        <f>IFERROR(__xludf.DUMMYFUNCTION("""COMPUTED_VALUE"""),33.095293)</f>
        <v>33.095293</v>
      </c>
      <c r="V370" s="2"/>
      <c r="W370" s="2"/>
      <c r="X370" s="2"/>
      <c r="Y370" s="2"/>
      <c r="Z370" s="2"/>
    </row>
    <row r="371">
      <c r="A371" s="6">
        <f>IFERROR(__xludf.DUMMYFUNCTION("""COMPUTED_VALUE"""),45779.42025462963)</f>
        <v>45779.42025</v>
      </c>
      <c r="B371" s="2" t="str">
        <f>IFERROR(__xludf.DUMMYFUNCTION("""COMPUTED_VALUE"""),"May")</f>
        <v>May</v>
      </c>
      <c r="C371" s="3">
        <f>IFERROR(__xludf.DUMMYFUNCTION("""COMPUTED_VALUE"""),7195.0)</f>
        <v>7195</v>
      </c>
      <c r="D371" s="2" t="str">
        <f>IFERROR(__xludf.DUMMYFUNCTION("""COMPUTED_VALUE"""),"DB3")</f>
        <v>DB3</v>
      </c>
      <c r="E371" s="2" t="str">
        <f>IFERROR(__xludf.DUMMYFUNCTION("""COMPUTED_VALUE"""),"Imported from file Digizag.xlsx")</f>
        <v>Imported from file Digizag.xlsx</v>
      </c>
      <c r="F371" s="2" t="str">
        <f>IFERROR(__xludf.DUMMYFUNCTION("""COMPUTED_VALUE"""),"HGP560176")</f>
        <v>HGP560176</v>
      </c>
      <c r="G371" s="2" t="str">
        <f>IFERROR(__xludf.DUMMYFUNCTION("""COMPUTED_VALUE"""),"Kingdom of Saudi Arabia")</f>
        <v>Kingdom of Saudi Arabia</v>
      </c>
      <c r="H371" s="4">
        <f>IFERROR(__xludf.DUMMYFUNCTION("""COMPUTED_VALUE"""),216.0)</f>
        <v>216</v>
      </c>
      <c r="I371" s="3">
        <f>IFERROR(__xludf.DUMMYFUNCTION("""COMPUTED_VALUE"""),0.0)</f>
        <v>0</v>
      </c>
      <c r="J371" s="4">
        <f>IFERROR(__xludf.DUMMYFUNCTION("""COMPUTED_VALUE"""),21.6)</f>
        <v>21.6</v>
      </c>
      <c r="K371" s="2"/>
      <c r="L371" s="2" t="str">
        <f>IFERROR(__xludf.DUMMYFUNCTION("""COMPUTED_VALUE"""),"Delivered")</f>
        <v>Delivered</v>
      </c>
      <c r="M371" s="2" t="str">
        <f>IFERROR(__xludf.DUMMYFUNCTION("""COMPUTED_VALUE"""),"SAR")</f>
        <v>SAR</v>
      </c>
      <c r="N371" s="2" t="str">
        <f>IFERROR(__xludf.DUMMYFUNCTION("""COMPUTED_VALUE"""),"Credit, Debit, Apple Pay")</f>
        <v>Credit, Debit, Apple Pay</v>
      </c>
      <c r="O371" s="4">
        <f>IFERROR(__xludf.DUMMYFUNCTION("""COMPUTED_VALUE"""),0.0)</f>
        <v>0</v>
      </c>
      <c r="P371" s="2">
        <f>IFERROR(__xludf.DUMMYFUNCTION("""COMPUTED_VALUE"""),2.0)</f>
        <v>2</v>
      </c>
      <c r="Q371" s="2">
        <f>IFERROR(__xludf.DUMMYFUNCTION("""COMPUTED_VALUE"""),5.0)</f>
        <v>5</v>
      </c>
      <c r="R371" s="2">
        <f>IFERROR(__xludf.DUMMYFUNCTION("""COMPUTED_VALUE"""),2025.0)</f>
        <v>2025</v>
      </c>
      <c r="S371" s="2" t="str">
        <f>IFERROR(__xludf.DUMMYFUNCTION("""COMPUTED_VALUE"""),"Digizag")</f>
        <v>Digizag</v>
      </c>
      <c r="T371" s="2" t="str">
        <f>IFERROR(__xludf.DUMMYFUNCTION("""COMPUTED_VALUE"""),"Digizag")</f>
        <v>Digizag</v>
      </c>
      <c r="U371" s="5">
        <f>IFERROR(__xludf.DUMMYFUNCTION("""COMPUTED_VALUE"""),57.59554593600001)</f>
        <v>57.59554594</v>
      </c>
      <c r="V371" s="2"/>
      <c r="W371" s="2"/>
      <c r="X371" s="2"/>
      <c r="Y371" s="2"/>
      <c r="Z371" s="2"/>
    </row>
    <row r="372">
      <c r="A372" s="6">
        <f>IFERROR(__xludf.DUMMYFUNCTION("""COMPUTED_VALUE"""),45779.511099537034)</f>
        <v>45779.5111</v>
      </c>
      <c r="B372" s="2" t="str">
        <f>IFERROR(__xludf.DUMMYFUNCTION("""COMPUTED_VALUE"""),"May")</f>
        <v>May</v>
      </c>
      <c r="C372" s="3">
        <f>IFERROR(__xludf.DUMMYFUNCTION("""COMPUTED_VALUE"""),130315.0)</f>
        <v>130315</v>
      </c>
      <c r="D372" s="2" t="str">
        <f>IFERROR(__xludf.DUMMYFUNCTION("""COMPUTED_VALUE"""),"DB3")</f>
        <v>DB3</v>
      </c>
      <c r="E372" s="2" t="str">
        <f>IFERROR(__xludf.DUMMYFUNCTION("""COMPUTED_VALUE"""),"Imported from file Digizag.xlsx")</f>
        <v>Imported from file Digizag.xlsx</v>
      </c>
      <c r="F372" s="2" t="str">
        <f>IFERROR(__xludf.DUMMYFUNCTION("""COMPUTED_VALUE"""),"SCN383454")</f>
        <v>SCN383454</v>
      </c>
      <c r="G372" s="2" t="str">
        <f>IFERROR(__xludf.DUMMYFUNCTION("""COMPUTED_VALUE"""),"Kuwait")</f>
        <v>Kuwait</v>
      </c>
      <c r="H372" s="4">
        <f>IFERROR(__xludf.DUMMYFUNCTION("""COMPUTED_VALUE"""),9.95)</f>
        <v>9.95</v>
      </c>
      <c r="I372" s="3">
        <f>IFERROR(__xludf.DUMMYFUNCTION("""COMPUTED_VALUE"""),0.0)</f>
        <v>0</v>
      </c>
      <c r="J372" s="4">
        <f>IFERROR(__xludf.DUMMYFUNCTION("""COMPUTED_VALUE"""),0.995)</f>
        <v>0.995</v>
      </c>
      <c r="K372" s="2"/>
      <c r="L372" s="2" t="str">
        <f>IFERROR(__xludf.DUMMYFUNCTION("""COMPUTED_VALUE"""),"Delivered")</f>
        <v>Delivered</v>
      </c>
      <c r="M372" s="2" t="str">
        <f>IFERROR(__xludf.DUMMYFUNCTION("""COMPUTED_VALUE"""),"KD")</f>
        <v>KD</v>
      </c>
      <c r="N372" s="2" t="str">
        <f>IFERROR(__xludf.DUMMYFUNCTION("""COMPUTED_VALUE"""),"Cash")</f>
        <v>Cash</v>
      </c>
      <c r="O372" s="4">
        <f>IFERROR(__xludf.DUMMYFUNCTION("""COMPUTED_VALUE"""),0.0)</f>
        <v>0</v>
      </c>
      <c r="P372" s="2">
        <f>IFERROR(__xludf.DUMMYFUNCTION("""COMPUTED_VALUE"""),2.0)</f>
        <v>2</v>
      </c>
      <c r="Q372" s="2">
        <f>IFERROR(__xludf.DUMMYFUNCTION("""COMPUTED_VALUE"""),5.0)</f>
        <v>5</v>
      </c>
      <c r="R372" s="2">
        <f>IFERROR(__xludf.DUMMYFUNCTION("""COMPUTED_VALUE"""),2025.0)</f>
        <v>2025</v>
      </c>
      <c r="S372" s="2" t="str">
        <f>IFERROR(__xludf.DUMMYFUNCTION("""COMPUTED_VALUE"""),"Digizag")</f>
        <v>Digizag</v>
      </c>
      <c r="T372" s="2" t="str">
        <f>IFERROR(__xludf.DUMMYFUNCTION("""COMPUTED_VALUE"""),"Digizag")</f>
        <v>Digizag</v>
      </c>
      <c r="U372" s="5">
        <f>IFERROR(__xludf.DUMMYFUNCTION("""COMPUTED_VALUE"""),32.443169)</f>
        <v>32.443169</v>
      </c>
      <c r="V372" s="2"/>
      <c r="W372" s="2"/>
      <c r="X372" s="2"/>
      <c r="Y372" s="2"/>
      <c r="Z372" s="2"/>
    </row>
    <row r="373">
      <c r="A373" s="6">
        <f>IFERROR(__xludf.DUMMYFUNCTION("""COMPUTED_VALUE"""),45779.70548611111)</f>
        <v>45779.70549</v>
      </c>
      <c r="B373" s="2" t="str">
        <f>IFERROR(__xludf.DUMMYFUNCTION("""COMPUTED_VALUE"""),"May")</f>
        <v>May</v>
      </c>
      <c r="C373" s="3">
        <f>IFERROR(__xludf.DUMMYFUNCTION("""COMPUTED_VALUE"""),729919.0)</f>
        <v>729919</v>
      </c>
      <c r="D373" s="2" t="str">
        <f>IFERROR(__xludf.DUMMYFUNCTION("""COMPUTED_VALUE"""),"MNN16")</f>
        <v>MNN16</v>
      </c>
      <c r="E373" s="2" t="str">
        <f>IFERROR(__xludf.DUMMYFUNCTION("""COMPUTED_VALUE"""),"Imported from file DigiZag Bidding Codes.xlsx")</f>
        <v>Imported from file DigiZag Bidding Codes.xlsx</v>
      </c>
      <c r="F373" s="2" t="str">
        <f>IFERROR(__xludf.DUMMYFUNCTION("""COMPUTED_VALUE"""),"DAJ921275")</f>
        <v>DAJ921275</v>
      </c>
      <c r="G373" s="2" t="str">
        <f>IFERROR(__xludf.DUMMYFUNCTION("""COMPUTED_VALUE"""),"Kingdom of Saudi Arabia")</f>
        <v>Kingdom of Saudi Arabia</v>
      </c>
      <c r="H373" s="4">
        <f>IFERROR(__xludf.DUMMYFUNCTION("""COMPUTED_VALUE"""),250.0)</f>
        <v>250</v>
      </c>
      <c r="I373" s="3">
        <f>IFERROR(__xludf.DUMMYFUNCTION("""COMPUTED_VALUE"""),0.0)</f>
        <v>0</v>
      </c>
      <c r="J373" s="4">
        <f>IFERROR(__xludf.DUMMYFUNCTION("""COMPUTED_VALUE"""),25.0)</f>
        <v>25</v>
      </c>
      <c r="K373" s="2"/>
      <c r="L373" s="2" t="str">
        <f>IFERROR(__xludf.DUMMYFUNCTION("""COMPUTED_VALUE"""),"Processing")</f>
        <v>Processing</v>
      </c>
      <c r="M373" s="2" t="str">
        <f>IFERROR(__xludf.DUMMYFUNCTION("""COMPUTED_VALUE"""),"SAR")</f>
        <v>SAR</v>
      </c>
      <c r="N373" s="2" t="str">
        <f>IFERROR(__xludf.DUMMYFUNCTION("""COMPUTED_VALUE"""),"Credit, Debit, Apple Pay")</f>
        <v>Credit, Debit, Apple Pay</v>
      </c>
      <c r="O373" s="4">
        <f>IFERROR(__xludf.DUMMYFUNCTION("""COMPUTED_VALUE"""),0.0)</f>
        <v>0</v>
      </c>
      <c r="P373" s="2">
        <f>IFERROR(__xludf.DUMMYFUNCTION("""COMPUTED_VALUE"""),2.0)</f>
        <v>2</v>
      </c>
      <c r="Q373" s="2">
        <f>IFERROR(__xludf.DUMMYFUNCTION("""COMPUTED_VALUE"""),5.0)</f>
        <v>5</v>
      </c>
      <c r="R373" s="2">
        <f>IFERROR(__xludf.DUMMYFUNCTION("""COMPUTED_VALUE"""),2025.0)</f>
        <v>2025</v>
      </c>
      <c r="S373" s="2" t="str">
        <f>IFERROR(__xludf.DUMMYFUNCTION("""COMPUTED_VALUE"""),"Digizag")</f>
        <v>Digizag</v>
      </c>
      <c r="T373" s="2" t="str">
        <f>IFERROR(__xludf.DUMMYFUNCTION("""COMPUTED_VALUE"""),"Digizag")</f>
        <v>Digizag</v>
      </c>
      <c r="U373" s="5">
        <f>IFERROR(__xludf.DUMMYFUNCTION("""COMPUTED_VALUE"""),66.6615115)</f>
        <v>66.6615115</v>
      </c>
      <c r="V373" s="2"/>
      <c r="W373" s="2"/>
      <c r="X373" s="2"/>
      <c r="Y373" s="2"/>
      <c r="Z373" s="2"/>
    </row>
    <row r="374">
      <c r="A374" s="6">
        <f>IFERROR(__xludf.DUMMYFUNCTION("""COMPUTED_VALUE"""),45780.05)</f>
        <v>45780.05</v>
      </c>
      <c r="B374" s="2" t="str">
        <f>IFERROR(__xludf.DUMMYFUNCTION("""COMPUTED_VALUE"""),"May")</f>
        <v>May</v>
      </c>
      <c r="C374" s="3">
        <f>IFERROR(__xludf.DUMMYFUNCTION("""COMPUTED_VALUE"""),730058.0)</f>
        <v>730058</v>
      </c>
      <c r="D374" s="2" t="str">
        <f>IFERROR(__xludf.DUMMYFUNCTION("""COMPUTED_VALUE"""),"MNN16")</f>
        <v>MNN16</v>
      </c>
      <c r="E374" s="2" t="str">
        <f>IFERROR(__xludf.DUMMYFUNCTION("""COMPUTED_VALUE"""),"Imported from file DigiZag Codes 25Feb25.xlsx")</f>
        <v>Imported from file DigiZag Codes 25Feb25.xlsx</v>
      </c>
      <c r="F374" s="2" t="str">
        <f>IFERROR(__xludf.DUMMYFUNCTION("""COMPUTED_VALUE"""),"SGU996934")</f>
        <v>SGU996934</v>
      </c>
      <c r="G374" s="2" t="str">
        <f>IFERROR(__xludf.DUMMYFUNCTION("""COMPUTED_VALUE"""),"Kuwait")</f>
        <v>Kuwait</v>
      </c>
      <c r="H374" s="4">
        <f>IFERROR(__xludf.DUMMYFUNCTION("""COMPUTED_VALUE"""),10.92)</f>
        <v>10.92</v>
      </c>
      <c r="I374" s="3">
        <f>IFERROR(__xludf.DUMMYFUNCTION("""COMPUTED_VALUE"""),0.0)</f>
        <v>0</v>
      </c>
      <c r="J374" s="4">
        <f>IFERROR(__xludf.DUMMYFUNCTION("""COMPUTED_VALUE"""),1.092)</f>
        <v>1.092</v>
      </c>
      <c r="K374" s="2"/>
      <c r="L374" s="2" t="str">
        <f>IFERROR(__xludf.DUMMYFUNCTION("""COMPUTED_VALUE"""),"Delivered")</f>
        <v>Delivered</v>
      </c>
      <c r="M374" s="2" t="str">
        <f>IFERROR(__xludf.DUMMYFUNCTION("""COMPUTED_VALUE"""),"KD")</f>
        <v>KD</v>
      </c>
      <c r="N374" s="2" t="str">
        <f>IFERROR(__xludf.DUMMYFUNCTION("""COMPUTED_VALUE"""),"Credit, Debit, Knet")</f>
        <v>Credit, Debit, Knet</v>
      </c>
      <c r="O374" s="4">
        <f>IFERROR(__xludf.DUMMYFUNCTION("""COMPUTED_VALUE"""),0.0)</f>
        <v>0</v>
      </c>
      <c r="P374" s="2">
        <f>IFERROR(__xludf.DUMMYFUNCTION("""COMPUTED_VALUE"""),3.0)</f>
        <v>3</v>
      </c>
      <c r="Q374" s="2">
        <f>IFERROR(__xludf.DUMMYFUNCTION("""COMPUTED_VALUE"""),5.0)</f>
        <v>5</v>
      </c>
      <c r="R374" s="2">
        <f>IFERROR(__xludf.DUMMYFUNCTION("""COMPUTED_VALUE"""),2025.0)</f>
        <v>2025</v>
      </c>
      <c r="S374" s="2" t="str">
        <f>IFERROR(__xludf.DUMMYFUNCTION("""COMPUTED_VALUE"""),"Digizag")</f>
        <v>Digizag</v>
      </c>
      <c r="T374" s="2" t="str">
        <f>IFERROR(__xludf.DUMMYFUNCTION("""COMPUTED_VALUE"""),"Digizag")</f>
        <v>Digizag</v>
      </c>
      <c r="U374" s="5">
        <f>IFERROR(__xludf.DUMMYFUNCTION("""COMPUTED_VALUE"""),35.6059704)</f>
        <v>35.6059704</v>
      </c>
      <c r="V374" s="2"/>
      <c r="W374" s="2"/>
      <c r="X374" s="2"/>
      <c r="Y374" s="2"/>
      <c r="Z374" s="2"/>
    </row>
    <row r="375">
      <c r="A375" s="6">
        <f>IFERROR(__xludf.DUMMYFUNCTION("""COMPUTED_VALUE"""),45781.38922453704)</f>
        <v>45781.38922</v>
      </c>
      <c r="B375" s="2" t="str">
        <f>IFERROR(__xludf.DUMMYFUNCTION("""COMPUTED_VALUE"""),"May")</f>
        <v>May</v>
      </c>
      <c r="C375" s="3">
        <f>IFERROR(__xludf.DUMMYFUNCTION("""COMPUTED_VALUE"""),244300.0)</f>
        <v>244300</v>
      </c>
      <c r="D375" s="2" t="str">
        <f>IFERROR(__xludf.DUMMYFUNCTION("""COMPUTED_VALUE"""),"DB1")</f>
        <v>DB1</v>
      </c>
      <c r="E375" s="2" t="str">
        <f>IFERROR(__xludf.DUMMYFUNCTION("""COMPUTED_VALUE"""),"Imported from file Digizag.xlsx")</f>
        <v>Imported from file Digizag.xlsx</v>
      </c>
      <c r="F375" s="2" t="str">
        <f>IFERROR(__xludf.DUMMYFUNCTION("""COMPUTED_VALUE"""),"JKG437340")</f>
        <v>JKG437340</v>
      </c>
      <c r="G375" s="2" t="str">
        <f>IFERROR(__xludf.DUMMYFUNCTION("""COMPUTED_VALUE"""),"Kingdom of Saudi Arabia")</f>
        <v>Kingdom of Saudi Arabia</v>
      </c>
      <c r="H375" s="4">
        <f>IFERROR(__xludf.DUMMYFUNCTION("""COMPUTED_VALUE"""),220.0)</f>
        <v>220</v>
      </c>
      <c r="I375" s="3">
        <f>IFERROR(__xludf.DUMMYFUNCTION("""COMPUTED_VALUE"""),0.0)</f>
        <v>0</v>
      </c>
      <c r="J375" s="4">
        <f>IFERROR(__xludf.DUMMYFUNCTION("""COMPUTED_VALUE"""),22.0)</f>
        <v>22</v>
      </c>
      <c r="K375" s="2"/>
      <c r="L375" s="2" t="str">
        <f>IFERROR(__xludf.DUMMYFUNCTION("""COMPUTED_VALUE"""),"Processing")</f>
        <v>Processing</v>
      </c>
      <c r="M375" s="2" t="str">
        <f>IFERROR(__xludf.DUMMYFUNCTION("""COMPUTED_VALUE"""),"")</f>
        <v></v>
      </c>
      <c r="N375" s="2" t="str">
        <f>IFERROR(__xludf.DUMMYFUNCTION("""COMPUTED_VALUE"""),"Credit, Debit, Apple Pay")</f>
        <v>Credit, Debit, Apple Pay</v>
      </c>
      <c r="O375" s="4">
        <f>IFERROR(__xludf.DUMMYFUNCTION("""COMPUTED_VALUE"""),0.0)</f>
        <v>0</v>
      </c>
      <c r="P375" s="2">
        <f>IFERROR(__xludf.DUMMYFUNCTION("""COMPUTED_VALUE"""),4.0)</f>
        <v>4</v>
      </c>
      <c r="Q375" s="2">
        <f>IFERROR(__xludf.DUMMYFUNCTION("""COMPUTED_VALUE"""),5.0)</f>
        <v>5</v>
      </c>
      <c r="R375" s="2">
        <f>IFERROR(__xludf.DUMMYFUNCTION("""COMPUTED_VALUE"""),2025.0)</f>
        <v>2025</v>
      </c>
      <c r="S375" s="2" t="str">
        <f>IFERROR(__xludf.DUMMYFUNCTION("""COMPUTED_VALUE"""),"Digizag")</f>
        <v>Digizag</v>
      </c>
      <c r="T375" s="2" t="str">
        <f>IFERROR(__xludf.DUMMYFUNCTION("""COMPUTED_VALUE"""),"Digizag")</f>
        <v>Digizag</v>
      </c>
      <c r="U375" s="5">
        <f>IFERROR(__xludf.DUMMYFUNCTION("""COMPUTED_VALUE"""),58.66213012000001)</f>
        <v>58.66213012</v>
      </c>
      <c r="V375" s="2"/>
      <c r="W375" s="2"/>
      <c r="X375" s="2"/>
      <c r="Y375" s="2"/>
      <c r="Z375" s="2"/>
    </row>
    <row r="376">
      <c r="A376" s="6">
        <f>IFERROR(__xludf.DUMMYFUNCTION("""COMPUTED_VALUE"""),45781.75231481481)</f>
        <v>45781.75231</v>
      </c>
      <c r="B376" s="2" t="str">
        <f>IFERROR(__xludf.DUMMYFUNCTION("""COMPUTED_VALUE"""),"May")</f>
        <v>May</v>
      </c>
      <c r="C376" s="3">
        <f>IFERROR(__xludf.DUMMYFUNCTION("""COMPUTED_VALUE"""),213960.0)</f>
        <v>213960</v>
      </c>
      <c r="D376" s="2" t="str">
        <f>IFERROR(__xludf.DUMMYFUNCTION("""COMPUTED_VALUE"""),"DB3")</f>
        <v>DB3</v>
      </c>
      <c r="E376" s="2" t="str">
        <f>IFERROR(__xludf.DUMMYFUNCTION("""COMPUTED_VALUE"""),"Imported from file Digizag.xlsx")</f>
        <v>Imported from file Digizag.xlsx</v>
      </c>
      <c r="F376" s="2" t="str">
        <f>IFERROR(__xludf.DUMMYFUNCTION("""COMPUTED_VALUE"""),"YTV429369")</f>
        <v>YTV429369</v>
      </c>
      <c r="G376" s="2" t="str">
        <f>IFERROR(__xludf.DUMMYFUNCTION("""COMPUTED_VALUE"""),"UAE")</f>
        <v>UAE</v>
      </c>
      <c r="H376" s="4">
        <f>IFERROR(__xludf.DUMMYFUNCTION("""COMPUTED_VALUE"""),164.82)</f>
        <v>164.82</v>
      </c>
      <c r="I376" s="3">
        <f>IFERROR(__xludf.DUMMYFUNCTION("""COMPUTED_VALUE"""),0.0)</f>
        <v>0</v>
      </c>
      <c r="J376" s="4">
        <f>IFERROR(__xludf.DUMMYFUNCTION("""COMPUTED_VALUE"""),16.46)</f>
        <v>16.46</v>
      </c>
      <c r="K376" s="2"/>
      <c r="L376" s="2" t="str">
        <f>IFERROR(__xludf.DUMMYFUNCTION("""COMPUTED_VALUE"""),"Processing")</f>
        <v>Processing</v>
      </c>
      <c r="M376" s="2" t="str">
        <f>IFERROR(__xludf.DUMMYFUNCTION("""COMPUTED_VALUE"""),"")</f>
        <v></v>
      </c>
      <c r="N376" s="2" t="str">
        <f>IFERROR(__xludf.DUMMYFUNCTION("""COMPUTED_VALUE"""),"Tamara: split in 3, interest-free")</f>
        <v>Tamara: split in 3, interest-free</v>
      </c>
      <c r="O376" s="4">
        <f>IFERROR(__xludf.DUMMYFUNCTION("""COMPUTED_VALUE"""),0.0)</f>
        <v>0</v>
      </c>
      <c r="P376" s="2">
        <f>IFERROR(__xludf.DUMMYFUNCTION("""COMPUTED_VALUE"""),4.0)</f>
        <v>4</v>
      </c>
      <c r="Q376" s="2">
        <f>IFERROR(__xludf.DUMMYFUNCTION("""COMPUTED_VALUE"""),5.0)</f>
        <v>5</v>
      </c>
      <c r="R376" s="2">
        <f>IFERROR(__xludf.DUMMYFUNCTION("""COMPUTED_VALUE"""),2025.0)</f>
        <v>2025</v>
      </c>
      <c r="S376" s="2" t="str">
        <f>IFERROR(__xludf.DUMMYFUNCTION("""COMPUTED_VALUE"""),"Digizag")</f>
        <v>Digizag</v>
      </c>
      <c r="T376" s="2" t="str">
        <f>IFERROR(__xludf.DUMMYFUNCTION("""COMPUTED_VALUE"""),"Digizag")</f>
        <v>Digizag</v>
      </c>
      <c r="U376" s="5">
        <f>IFERROR(__xludf.DUMMYFUNCTION("""COMPUTED_VALUE"""),44.879509935959994)</f>
        <v>44.87950994</v>
      </c>
      <c r="V376" s="2"/>
      <c r="W376" s="2"/>
      <c r="X376" s="2"/>
      <c r="Y376" s="2"/>
      <c r="Z376" s="2"/>
    </row>
    <row r="377">
      <c r="A377" s="6">
        <f>IFERROR(__xludf.DUMMYFUNCTION("""COMPUTED_VALUE"""),45782.42383101852)</f>
        <v>45782.42383</v>
      </c>
      <c r="B377" s="2" t="str">
        <f>IFERROR(__xludf.DUMMYFUNCTION("""COMPUTED_VALUE"""),"May")</f>
        <v>May</v>
      </c>
      <c r="C377" s="3">
        <f>IFERROR(__xludf.DUMMYFUNCTION("""COMPUTED_VALUE"""),199053.0)</f>
        <v>199053</v>
      </c>
      <c r="D377" s="2" t="str">
        <f>IFERROR(__xludf.DUMMYFUNCTION("""COMPUTED_VALUE"""),"MNN16")</f>
        <v>MNN16</v>
      </c>
      <c r="E377" s="2" t="str">
        <f>IFERROR(__xludf.DUMMYFUNCTION("""COMPUTED_VALUE"""),"Imported from file DigiZag Codes 25Feb25.xlsx")</f>
        <v>Imported from file DigiZag Codes 25Feb25.xlsx</v>
      </c>
      <c r="F377" s="2" t="str">
        <f>IFERROR(__xludf.DUMMYFUNCTION("""COMPUTED_VALUE"""),"UCQ313590")</f>
        <v>UCQ313590</v>
      </c>
      <c r="G377" s="2" t="str">
        <f>IFERROR(__xludf.DUMMYFUNCTION("""COMPUTED_VALUE"""),"Kuwait")</f>
        <v>Kuwait</v>
      </c>
      <c r="H377" s="4">
        <f>IFERROR(__xludf.DUMMYFUNCTION("""COMPUTED_VALUE"""),18.3)</f>
        <v>18.3</v>
      </c>
      <c r="I377" s="3">
        <f>IFERROR(__xludf.DUMMYFUNCTION("""COMPUTED_VALUE"""),0.0)</f>
        <v>0</v>
      </c>
      <c r="J377" s="4">
        <f>IFERROR(__xludf.DUMMYFUNCTION("""COMPUTED_VALUE"""),1.83)</f>
        <v>1.83</v>
      </c>
      <c r="K377" s="2"/>
      <c r="L377" s="2" t="str">
        <f>IFERROR(__xludf.DUMMYFUNCTION("""COMPUTED_VALUE"""),"Delivered")</f>
        <v>Delivered</v>
      </c>
      <c r="M377" s="2" t="str">
        <f>IFERROR(__xludf.DUMMYFUNCTION("""COMPUTED_VALUE"""),"KD")</f>
        <v>KD</v>
      </c>
      <c r="N377" s="2" t="str">
        <f>IFERROR(__xludf.DUMMYFUNCTION("""COMPUTED_VALUE"""),"Credit, Debit, Knet")</f>
        <v>Credit, Debit, Knet</v>
      </c>
      <c r="O377" s="4">
        <f>IFERROR(__xludf.DUMMYFUNCTION("""COMPUTED_VALUE"""),0.0)</f>
        <v>0</v>
      </c>
      <c r="P377" s="2">
        <f>IFERROR(__xludf.DUMMYFUNCTION("""COMPUTED_VALUE"""),5.0)</f>
        <v>5</v>
      </c>
      <c r="Q377" s="2">
        <f>IFERROR(__xludf.DUMMYFUNCTION("""COMPUTED_VALUE"""),5.0)</f>
        <v>5</v>
      </c>
      <c r="R377" s="2">
        <f>IFERROR(__xludf.DUMMYFUNCTION("""COMPUTED_VALUE"""),2025.0)</f>
        <v>2025</v>
      </c>
      <c r="S377" s="2" t="str">
        <f>IFERROR(__xludf.DUMMYFUNCTION("""COMPUTED_VALUE"""),"Digizag")</f>
        <v>Digizag</v>
      </c>
      <c r="T377" s="2" t="str">
        <f>IFERROR(__xludf.DUMMYFUNCTION("""COMPUTED_VALUE"""),"Digizag")</f>
        <v>Digizag</v>
      </c>
      <c r="U377" s="5">
        <f>IFERROR(__xludf.DUMMYFUNCTION("""COMPUTED_VALUE"""),59.669346)</f>
        <v>59.669346</v>
      </c>
      <c r="V377" s="2"/>
      <c r="W377" s="2"/>
      <c r="X377" s="2"/>
      <c r="Y377" s="2"/>
      <c r="Z377" s="2"/>
    </row>
    <row r="378">
      <c r="A378" s="6">
        <f>IFERROR(__xludf.DUMMYFUNCTION("""COMPUTED_VALUE"""),45782.53292824074)</f>
        <v>45782.53293</v>
      </c>
      <c r="B378" s="2" t="str">
        <f>IFERROR(__xludf.DUMMYFUNCTION("""COMPUTED_VALUE"""),"May")</f>
        <v>May</v>
      </c>
      <c r="C378" s="3">
        <f>IFERROR(__xludf.DUMMYFUNCTION("""COMPUTED_VALUE"""),154413.0)</f>
        <v>154413</v>
      </c>
      <c r="D378" s="2" t="str">
        <f>IFERROR(__xludf.DUMMYFUNCTION("""COMPUTED_VALUE"""),"MNN16")</f>
        <v>MNN16</v>
      </c>
      <c r="E378" s="2" t="str">
        <f>IFERROR(__xludf.DUMMYFUNCTION("""COMPUTED_VALUE"""),"Imported from file DigiZag Codes 25Feb25.xlsx")</f>
        <v>Imported from file DigiZag Codes 25Feb25.xlsx</v>
      </c>
      <c r="F378" s="2" t="str">
        <f>IFERROR(__xludf.DUMMYFUNCTION("""COMPUTED_VALUE"""),"VZC935864")</f>
        <v>VZC935864</v>
      </c>
      <c r="G378" s="2" t="str">
        <f>IFERROR(__xludf.DUMMYFUNCTION("""COMPUTED_VALUE"""),"UAE")</f>
        <v>UAE</v>
      </c>
      <c r="H378" s="4">
        <f>IFERROR(__xludf.DUMMYFUNCTION("""COMPUTED_VALUE"""),196.0)</f>
        <v>196</v>
      </c>
      <c r="I378" s="3">
        <f>IFERROR(__xludf.DUMMYFUNCTION("""COMPUTED_VALUE"""),0.0)</f>
        <v>0</v>
      </c>
      <c r="J378" s="4">
        <f>IFERROR(__xludf.DUMMYFUNCTION("""COMPUTED_VALUE"""),19.6)</f>
        <v>19.6</v>
      </c>
      <c r="K378" s="2"/>
      <c r="L378" s="2" t="str">
        <f>IFERROR(__xludf.DUMMYFUNCTION("""COMPUTED_VALUE"""),"Processing")</f>
        <v>Processing</v>
      </c>
      <c r="M378" s="2" t="str">
        <f>IFERROR(__xludf.DUMMYFUNCTION("""COMPUTED_VALUE"""),"")</f>
        <v></v>
      </c>
      <c r="N378" s="2" t="str">
        <f>IFERROR(__xludf.DUMMYFUNCTION("""COMPUTED_VALUE"""),"Tamara: split in 3, interest-free")</f>
        <v>Tamara: split in 3, interest-free</v>
      </c>
      <c r="O378" s="4">
        <f>IFERROR(__xludf.DUMMYFUNCTION("""COMPUTED_VALUE"""),0.0)</f>
        <v>0</v>
      </c>
      <c r="P378" s="2">
        <f>IFERROR(__xludf.DUMMYFUNCTION("""COMPUTED_VALUE"""),5.0)</f>
        <v>5</v>
      </c>
      <c r="Q378" s="2">
        <f>IFERROR(__xludf.DUMMYFUNCTION("""COMPUTED_VALUE"""),5.0)</f>
        <v>5</v>
      </c>
      <c r="R378" s="2">
        <f>IFERROR(__xludf.DUMMYFUNCTION("""COMPUTED_VALUE"""),2025.0)</f>
        <v>2025</v>
      </c>
      <c r="S378" s="2" t="str">
        <f>IFERROR(__xludf.DUMMYFUNCTION("""COMPUTED_VALUE"""),"Digizag")</f>
        <v>Digizag</v>
      </c>
      <c r="T378" s="2" t="str">
        <f>IFERROR(__xludf.DUMMYFUNCTION("""COMPUTED_VALUE"""),"Digizag")</f>
        <v>Digizag</v>
      </c>
      <c r="U378" s="5">
        <f>IFERROR(__xludf.DUMMYFUNCTION("""COMPUTED_VALUE"""),53.369639288)</f>
        <v>53.36963929</v>
      </c>
      <c r="V378" s="2"/>
      <c r="W378" s="2"/>
      <c r="X378" s="2"/>
      <c r="Y378" s="2"/>
      <c r="Z378" s="2"/>
    </row>
    <row r="379">
      <c r="A379" s="6">
        <f>IFERROR(__xludf.DUMMYFUNCTION("""COMPUTED_VALUE"""),45783.36678240741)</f>
        <v>45783.36678</v>
      </c>
      <c r="B379" s="2" t="str">
        <f>IFERROR(__xludf.DUMMYFUNCTION("""COMPUTED_VALUE"""),"May")</f>
        <v>May</v>
      </c>
      <c r="C379" s="3">
        <f>IFERROR(__xludf.DUMMYFUNCTION("""COMPUTED_VALUE"""),731740.0)</f>
        <v>731740</v>
      </c>
      <c r="D379" s="2" t="str">
        <f>IFERROR(__xludf.DUMMYFUNCTION("""COMPUTED_VALUE"""),"DB3")</f>
        <v>DB3</v>
      </c>
      <c r="E379" s="2" t="str">
        <f>IFERROR(__xludf.DUMMYFUNCTION("""COMPUTED_VALUE"""),"Imported from file Digizag.xlsx")</f>
        <v>Imported from file Digizag.xlsx</v>
      </c>
      <c r="F379" s="2" t="str">
        <f>IFERROR(__xludf.DUMMYFUNCTION("""COMPUTED_VALUE"""),"SUB381173")</f>
        <v>SUB381173</v>
      </c>
      <c r="G379" s="2" t="str">
        <f>IFERROR(__xludf.DUMMYFUNCTION("""COMPUTED_VALUE"""),"Kingdom of Saudi Arabia")</f>
        <v>Kingdom of Saudi Arabia</v>
      </c>
      <c r="H379" s="4">
        <f>IFERROR(__xludf.DUMMYFUNCTION("""COMPUTED_VALUE"""),112.0)</f>
        <v>112</v>
      </c>
      <c r="I379" s="3">
        <f>IFERROR(__xludf.DUMMYFUNCTION("""COMPUTED_VALUE"""),0.0)</f>
        <v>0</v>
      </c>
      <c r="J379" s="4">
        <f>IFERROR(__xludf.DUMMYFUNCTION("""COMPUTED_VALUE"""),11.2)</f>
        <v>11.2</v>
      </c>
      <c r="K379" s="2"/>
      <c r="L379" s="2" t="str">
        <f>IFERROR(__xludf.DUMMYFUNCTION("""COMPUTED_VALUE"""),"Delivered")</f>
        <v>Delivered</v>
      </c>
      <c r="M379" s="2" t="str">
        <f>IFERROR(__xludf.DUMMYFUNCTION("""COMPUTED_VALUE"""),"")</f>
        <v></v>
      </c>
      <c r="N379" s="2" t="str">
        <f>IFERROR(__xludf.DUMMYFUNCTION("""COMPUTED_VALUE"""),"Credit, Debit, Apple Pay")</f>
        <v>Credit, Debit, Apple Pay</v>
      </c>
      <c r="O379" s="4">
        <f>IFERROR(__xludf.DUMMYFUNCTION("""COMPUTED_VALUE"""),0.0)</f>
        <v>0</v>
      </c>
      <c r="P379" s="2">
        <f>IFERROR(__xludf.DUMMYFUNCTION("""COMPUTED_VALUE"""),6.0)</f>
        <v>6</v>
      </c>
      <c r="Q379" s="2">
        <f>IFERROR(__xludf.DUMMYFUNCTION("""COMPUTED_VALUE"""),5.0)</f>
        <v>5</v>
      </c>
      <c r="R379" s="2">
        <f>IFERROR(__xludf.DUMMYFUNCTION("""COMPUTED_VALUE"""),2025.0)</f>
        <v>2025</v>
      </c>
      <c r="S379" s="2" t="str">
        <f>IFERROR(__xludf.DUMMYFUNCTION("""COMPUTED_VALUE"""),"Digizag")</f>
        <v>Digizag</v>
      </c>
      <c r="T379" s="2" t="str">
        <f>IFERROR(__xludf.DUMMYFUNCTION("""COMPUTED_VALUE"""),"Digizag")</f>
        <v>Digizag</v>
      </c>
      <c r="U379" s="5">
        <f>IFERROR(__xludf.DUMMYFUNCTION("""COMPUTED_VALUE"""),29.864357152000004)</f>
        <v>29.86435715</v>
      </c>
      <c r="V379" s="2"/>
      <c r="W379" s="2"/>
      <c r="X379" s="2"/>
      <c r="Y379" s="2"/>
      <c r="Z379" s="2"/>
    </row>
    <row r="380">
      <c r="A380" s="6">
        <f>IFERROR(__xludf.DUMMYFUNCTION("""COMPUTED_VALUE"""),45783.53806712963)</f>
        <v>45783.53807</v>
      </c>
      <c r="B380" s="2" t="str">
        <f>IFERROR(__xludf.DUMMYFUNCTION("""COMPUTED_VALUE"""),"May")</f>
        <v>May</v>
      </c>
      <c r="C380" s="3">
        <f>IFERROR(__xludf.DUMMYFUNCTION("""COMPUTED_VALUE"""),293797.0)</f>
        <v>293797</v>
      </c>
      <c r="D380" s="2" t="str">
        <f>IFERROR(__xludf.DUMMYFUNCTION("""COMPUTED_VALUE"""),"DB1")</f>
        <v>DB1</v>
      </c>
      <c r="E380" s="2" t="str">
        <f>IFERROR(__xludf.DUMMYFUNCTION("""COMPUTED_VALUE"""),"Imported from file Digizag.xlsx")</f>
        <v>Imported from file Digizag.xlsx</v>
      </c>
      <c r="F380" s="2" t="str">
        <f>IFERROR(__xludf.DUMMYFUNCTION("""COMPUTED_VALUE"""),"AXZ971290")</f>
        <v>AXZ971290</v>
      </c>
      <c r="G380" s="2" t="str">
        <f>IFERROR(__xludf.DUMMYFUNCTION("""COMPUTED_VALUE"""),"Kuwait")</f>
        <v>Kuwait</v>
      </c>
      <c r="H380" s="4">
        <f>IFERROR(__xludf.DUMMYFUNCTION("""COMPUTED_VALUE"""),24.85)</f>
        <v>24.85</v>
      </c>
      <c r="I380" s="3">
        <f>IFERROR(__xludf.DUMMYFUNCTION("""COMPUTED_VALUE"""),0.0)</f>
        <v>0</v>
      </c>
      <c r="J380" s="4">
        <f>IFERROR(__xludf.DUMMYFUNCTION("""COMPUTED_VALUE"""),2.485)</f>
        <v>2.485</v>
      </c>
      <c r="K380" s="2"/>
      <c r="L380" s="2" t="str">
        <f>IFERROR(__xludf.DUMMYFUNCTION("""COMPUTED_VALUE"""),"Delivered")</f>
        <v>Delivered</v>
      </c>
      <c r="M380" s="2" t="str">
        <f>IFERROR(__xludf.DUMMYFUNCTION("""COMPUTED_VALUE"""),"KD")</f>
        <v>KD</v>
      </c>
      <c r="N380" s="2" t="str">
        <f>IFERROR(__xludf.DUMMYFUNCTION("""COMPUTED_VALUE"""),"Credit, Debit, Knet")</f>
        <v>Credit, Debit, Knet</v>
      </c>
      <c r="O380" s="4">
        <f>IFERROR(__xludf.DUMMYFUNCTION("""COMPUTED_VALUE"""),0.0)</f>
        <v>0</v>
      </c>
      <c r="P380" s="2">
        <f>IFERROR(__xludf.DUMMYFUNCTION("""COMPUTED_VALUE"""),6.0)</f>
        <v>6</v>
      </c>
      <c r="Q380" s="2">
        <f>IFERROR(__xludf.DUMMYFUNCTION("""COMPUTED_VALUE"""),5.0)</f>
        <v>5</v>
      </c>
      <c r="R380" s="2">
        <f>IFERROR(__xludf.DUMMYFUNCTION("""COMPUTED_VALUE"""),2025.0)</f>
        <v>2025</v>
      </c>
      <c r="S380" s="2" t="str">
        <f>IFERROR(__xludf.DUMMYFUNCTION("""COMPUTED_VALUE"""),"Digizag")</f>
        <v>Digizag</v>
      </c>
      <c r="T380" s="2" t="str">
        <f>IFERROR(__xludf.DUMMYFUNCTION("""COMPUTED_VALUE"""),"Digizag")</f>
        <v>Digizag</v>
      </c>
      <c r="U380" s="5">
        <f>IFERROR(__xludf.DUMMYFUNCTION("""COMPUTED_VALUE"""),81.026407)</f>
        <v>81.026407</v>
      </c>
      <c r="V380" s="2"/>
      <c r="W380" s="2"/>
      <c r="X380" s="2"/>
      <c r="Y380" s="2"/>
      <c r="Z380" s="2"/>
    </row>
    <row r="381">
      <c r="A381" s="6">
        <f>IFERROR(__xludf.DUMMYFUNCTION("""COMPUTED_VALUE"""),45784.45767361111)</f>
        <v>45784.45767</v>
      </c>
      <c r="B381" s="2" t="str">
        <f>IFERROR(__xludf.DUMMYFUNCTION("""COMPUTED_VALUE"""),"May")</f>
        <v>May</v>
      </c>
      <c r="C381" s="3">
        <f>IFERROR(__xludf.DUMMYFUNCTION("""COMPUTED_VALUE"""),383684.0)</f>
        <v>383684</v>
      </c>
      <c r="D381" s="2" t="str">
        <f>IFERROR(__xludf.DUMMYFUNCTION("""COMPUTED_VALUE"""),"DB3")</f>
        <v>DB3</v>
      </c>
      <c r="E381" s="2" t="str">
        <f>IFERROR(__xludf.DUMMYFUNCTION("""COMPUTED_VALUE"""),"Imported from file Digizag.xlsx")</f>
        <v>Imported from file Digizag.xlsx</v>
      </c>
      <c r="F381" s="2" t="str">
        <f>IFERROR(__xludf.DUMMYFUNCTION("""COMPUTED_VALUE"""),"SER330456")</f>
        <v>SER330456</v>
      </c>
      <c r="G381" s="2" t="str">
        <f>IFERROR(__xludf.DUMMYFUNCTION("""COMPUTED_VALUE"""),"Kuwait")</f>
        <v>Kuwait</v>
      </c>
      <c r="H381" s="4">
        <f>IFERROR(__xludf.DUMMYFUNCTION("""COMPUTED_VALUE"""),9.5)</f>
        <v>9.5</v>
      </c>
      <c r="I381" s="3">
        <f>IFERROR(__xludf.DUMMYFUNCTION("""COMPUTED_VALUE"""),0.0)</f>
        <v>0</v>
      </c>
      <c r="J381" s="4">
        <f>IFERROR(__xludf.DUMMYFUNCTION("""COMPUTED_VALUE"""),0.95)</f>
        <v>0.95</v>
      </c>
      <c r="K381" s="2"/>
      <c r="L381" s="2" t="str">
        <f>IFERROR(__xludf.DUMMYFUNCTION("""COMPUTED_VALUE"""),"Delivered")</f>
        <v>Delivered</v>
      </c>
      <c r="M381" s="2" t="str">
        <f>IFERROR(__xludf.DUMMYFUNCTION("""COMPUTED_VALUE"""),"KD")</f>
        <v>KD</v>
      </c>
      <c r="N381" s="2" t="str">
        <f>IFERROR(__xludf.DUMMYFUNCTION("""COMPUTED_VALUE"""),"Credit, Debit, Knet")</f>
        <v>Credit, Debit, Knet</v>
      </c>
      <c r="O381" s="4">
        <f>IFERROR(__xludf.DUMMYFUNCTION("""COMPUTED_VALUE"""),0.0)</f>
        <v>0</v>
      </c>
      <c r="P381" s="2">
        <f>IFERROR(__xludf.DUMMYFUNCTION("""COMPUTED_VALUE"""),7.0)</f>
        <v>7</v>
      </c>
      <c r="Q381" s="2">
        <f>IFERROR(__xludf.DUMMYFUNCTION("""COMPUTED_VALUE"""),5.0)</f>
        <v>5</v>
      </c>
      <c r="R381" s="2">
        <f>IFERROR(__xludf.DUMMYFUNCTION("""COMPUTED_VALUE"""),2025.0)</f>
        <v>2025</v>
      </c>
      <c r="S381" s="2" t="str">
        <f>IFERROR(__xludf.DUMMYFUNCTION("""COMPUTED_VALUE"""),"Digizag")</f>
        <v>Digizag</v>
      </c>
      <c r="T381" s="2" t="str">
        <f>IFERROR(__xludf.DUMMYFUNCTION("""COMPUTED_VALUE"""),"Digizag")</f>
        <v>Digizag</v>
      </c>
      <c r="U381" s="5">
        <f>IFERROR(__xludf.DUMMYFUNCTION("""COMPUTED_VALUE"""),30.97589)</f>
        <v>30.97589</v>
      </c>
      <c r="V381" s="2"/>
      <c r="W381" s="2"/>
      <c r="X381" s="2"/>
      <c r="Y381" s="2"/>
      <c r="Z381" s="2"/>
    </row>
    <row r="382">
      <c r="A382" s="6">
        <f>IFERROR(__xludf.DUMMYFUNCTION("""COMPUTED_VALUE"""),45785.353171296294)</f>
        <v>45785.35317</v>
      </c>
      <c r="B382" s="2" t="str">
        <f>IFERROR(__xludf.DUMMYFUNCTION("""COMPUTED_VALUE"""),"May")</f>
        <v>May</v>
      </c>
      <c r="C382" s="3">
        <f>IFERROR(__xludf.DUMMYFUNCTION("""COMPUTED_VALUE"""),732778.0)</f>
        <v>732778</v>
      </c>
      <c r="D382" s="2" t="str">
        <f>IFERROR(__xludf.DUMMYFUNCTION("""COMPUTED_VALUE"""),"DB1")</f>
        <v>DB1</v>
      </c>
      <c r="E382" s="2" t="str">
        <f>IFERROR(__xludf.DUMMYFUNCTION("""COMPUTED_VALUE"""),"Imported from file Digizag.xlsx")</f>
        <v>Imported from file Digizag.xlsx</v>
      </c>
      <c r="F382" s="2" t="str">
        <f>IFERROR(__xludf.DUMMYFUNCTION("""COMPUTED_VALUE"""),"RUB625682")</f>
        <v>RUB625682</v>
      </c>
      <c r="G382" s="2" t="str">
        <f>IFERROR(__xludf.DUMMYFUNCTION("""COMPUTED_VALUE"""),"Kuwait")</f>
        <v>Kuwait</v>
      </c>
      <c r="H382" s="4">
        <f>IFERROR(__xludf.DUMMYFUNCTION("""COMPUTED_VALUE"""),7.5)</f>
        <v>7.5</v>
      </c>
      <c r="I382" s="3">
        <f>IFERROR(__xludf.DUMMYFUNCTION("""COMPUTED_VALUE"""),0.0)</f>
        <v>0</v>
      </c>
      <c r="J382" s="4">
        <f>IFERROR(__xludf.DUMMYFUNCTION("""COMPUTED_VALUE"""),0.75)</f>
        <v>0.75</v>
      </c>
      <c r="K382" s="2"/>
      <c r="L382" s="2" t="str">
        <f>IFERROR(__xludf.DUMMYFUNCTION("""COMPUTED_VALUE"""),"Delivered")</f>
        <v>Delivered</v>
      </c>
      <c r="M382" s="2" t="str">
        <f>IFERROR(__xludf.DUMMYFUNCTION("""COMPUTED_VALUE"""),"KD")</f>
        <v>KD</v>
      </c>
      <c r="N382" s="2" t="str">
        <f>IFERROR(__xludf.DUMMYFUNCTION("""COMPUTED_VALUE"""),"Credit, Debit, Knet")</f>
        <v>Credit, Debit, Knet</v>
      </c>
      <c r="O382" s="4">
        <f>IFERROR(__xludf.DUMMYFUNCTION("""COMPUTED_VALUE"""),0.0)</f>
        <v>0</v>
      </c>
      <c r="P382" s="2">
        <f>IFERROR(__xludf.DUMMYFUNCTION("""COMPUTED_VALUE"""),8.0)</f>
        <v>8</v>
      </c>
      <c r="Q382" s="2">
        <f>IFERROR(__xludf.DUMMYFUNCTION("""COMPUTED_VALUE"""),5.0)</f>
        <v>5</v>
      </c>
      <c r="R382" s="2">
        <f>IFERROR(__xludf.DUMMYFUNCTION("""COMPUTED_VALUE"""),2025.0)</f>
        <v>2025</v>
      </c>
      <c r="S382" s="2" t="str">
        <f>IFERROR(__xludf.DUMMYFUNCTION("""COMPUTED_VALUE"""),"Digizag")</f>
        <v>Digizag</v>
      </c>
      <c r="T382" s="2" t="str">
        <f>IFERROR(__xludf.DUMMYFUNCTION("""COMPUTED_VALUE"""),"Digizag")</f>
        <v>Digizag</v>
      </c>
      <c r="U382" s="5">
        <f>IFERROR(__xludf.DUMMYFUNCTION("""COMPUTED_VALUE"""),24.454649999999997)</f>
        <v>24.45465</v>
      </c>
      <c r="V382" s="2"/>
      <c r="W382" s="2"/>
      <c r="X382" s="2"/>
      <c r="Y382" s="2"/>
      <c r="Z382" s="2"/>
    </row>
    <row r="383">
      <c r="A383" s="6">
        <f>IFERROR(__xludf.DUMMYFUNCTION("""COMPUTED_VALUE"""),45785.43184027778)</f>
        <v>45785.43184</v>
      </c>
      <c r="B383" s="2" t="str">
        <f>IFERROR(__xludf.DUMMYFUNCTION("""COMPUTED_VALUE"""),"May")</f>
        <v>May</v>
      </c>
      <c r="C383" s="3">
        <f>IFERROR(__xludf.DUMMYFUNCTION("""COMPUTED_VALUE"""),732020.0)</f>
        <v>732020</v>
      </c>
      <c r="D383" s="2" t="str">
        <f>IFERROR(__xludf.DUMMYFUNCTION("""COMPUTED_VALUE"""),"MNN16")</f>
        <v>MNN16</v>
      </c>
      <c r="E383" s="2" t="str">
        <f>IFERROR(__xludf.DUMMYFUNCTION("""COMPUTED_VALUE"""),"Imported from file DigiZag Codes 25Feb25.xlsx")</f>
        <v>Imported from file DigiZag Codes 25Feb25.xlsx</v>
      </c>
      <c r="F383" s="2" t="str">
        <f>IFERROR(__xludf.DUMMYFUNCTION("""COMPUTED_VALUE"""),"GJD884657")</f>
        <v>GJD884657</v>
      </c>
      <c r="G383" s="2" t="str">
        <f>IFERROR(__xludf.DUMMYFUNCTION("""COMPUTED_VALUE"""),"UAE")</f>
        <v>UAE</v>
      </c>
      <c r="H383" s="4">
        <f>IFERROR(__xludf.DUMMYFUNCTION("""COMPUTED_VALUE"""),314.0)</f>
        <v>314</v>
      </c>
      <c r="I383" s="3">
        <f>IFERROR(__xludf.DUMMYFUNCTION("""COMPUTED_VALUE"""),0.0)</f>
        <v>0</v>
      </c>
      <c r="J383" s="4">
        <f>IFERROR(__xludf.DUMMYFUNCTION("""COMPUTED_VALUE"""),31.4)</f>
        <v>31.4</v>
      </c>
      <c r="K383" s="2"/>
      <c r="L383" s="2" t="str">
        <f>IFERROR(__xludf.DUMMYFUNCTION("""COMPUTED_VALUE"""),"Processing")</f>
        <v>Processing</v>
      </c>
      <c r="M383" s="2" t="str">
        <f>IFERROR(__xludf.DUMMYFUNCTION("""COMPUTED_VALUE"""),"")</f>
        <v></v>
      </c>
      <c r="N383" s="2" t="str">
        <f>IFERROR(__xludf.DUMMYFUNCTION("""COMPUTED_VALUE"""),"Cash")</f>
        <v>Cash</v>
      </c>
      <c r="O383" s="4">
        <f>IFERROR(__xludf.DUMMYFUNCTION("""COMPUTED_VALUE"""),0.0)</f>
        <v>0</v>
      </c>
      <c r="P383" s="2">
        <f>IFERROR(__xludf.DUMMYFUNCTION("""COMPUTED_VALUE"""),8.0)</f>
        <v>8</v>
      </c>
      <c r="Q383" s="2">
        <f>IFERROR(__xludf.DUMMYFUNCTION("""COMPUTED_VALUE"""),5.0)</f>
        <v>5</v>
      </c>
      <c r="R383" s="2">
        <f>IFERROR(__xludf.DUMMYFUNCTION("""COMPUTED_VALUE"""),2025.0)</f>
        <v>2025</v>
      </c>
      <c r="S383" s="2" t="str">
        <f>IFERROR(__xludf.DUMMYFUNCTION("""COMPUTED_VALUE"""),"Digizag")</f>
        <v>Digizag</v>
      </c>
      <c r="T383" s="2" t="str">
        <f>IFERROR(__xludf.DUMMYFUNCTION("""COMPUTED_VALUE"""),"Digizag")</f>
        <v>Digizag</v>
      </c>
      <c r="U383" s="5">
        <f>IFERROR(__xludf.DUMMYFUNCTION("""COMPUTED_VALUE"""),85.50034049199999)</f>
        <v>85.50034049</v>
      </c>
      <c r="V383" s="2"/>
      <c r="W383" s="2"/>
      <c r="X383" s="2"/>
      <c r="Y383" s="2"/>
      <c r="Z383" s="2"/>
    </row>
    <row r="384">
      <c r="A384" s="6">
        <f>IFERROR(__xludf.DUMMYFUNCTION("""COMPUTED_VALUE"""),45785.48915509259)</f>
        <v>45785.48916</v>
      </c>
      <c r="B384" s="2" t="str">
        <f>IFERROR(__xludf.DUMMYFUNCTION("""COMPUTED_VALUE"""),"May")</f>
        <v>May</v>
      </c>
      <c r="C384" s="3">
        <f>IFERROR(__xludf.DUMMYFUNCTION("""COMPUTED_VALUE"""),162041.0)</f>
        <v>162041</v>
      </c>
      <c r="D384" s="2" t="str">
        <f>IFERROR(__xludf.DUMMYFUNCTION("""COMPUTED_VALUE"""),"DB1")</f>
        <v>DB1</v>
      </c>
      <c r="E384" s="2" t="str">
        <f>IFERROR(__xludf.DUMMYFUNCTION("""COMPUTED_VALUE"""),"Imported from file Digizag.xlsx")</f>
        <v>Imported from file Digizag.xlsx</v>
      </c>
      <c r="F384" s="2" t="str">
        <f>IFERROR(__xludf.DUMMYFUNCTION("""COMPUTED_VALUE"""),"UGH726700")</f>
        <v>UGH726700</v>
      </c>
      <c r="G384" s="2" t="str">
        <f>IFERROR(__xludf.DUMMYFUNCTION("""COMPUTED_VALUE"""),"UAE")</f>
        <v>UAE</v>
      </c>
      <c r="H384" s="4">
        <f>IFERROR(__xludf.DUMMYFUNCTION("""COMPUTED_VALUE"""),229.0)</f>
        <v>229</v>
      </c>
      <c r="I384" s="3">
        <f>IFERROR(__xludf.DUMMYFUNCTION("""COMPUTED_VALUE"""),0.0)</f>
        <v>0</v>
      </c>
      <c r="J384" s="4">
        <f>IFERROR(__xludf.DUMMYFUNCTION("""COMPUTED_VALUE"""),22.9)</f>
        <v>22.9</v>
      </c>
      <c r="K384" s="2"/>
      <c r="L384" s="2" t="str">
        <f>IFERROR(__xludf.DUMMYFUNCTION("""COMPUTED_VALUE"""),"Delivered")</f>
        <v>Delivered</v>
      </c>
      <c r="M384" s="2" t="str">
        <f>IFERROR(__xludf.DUMMYFUNCTION("""COMPUTED_VALUE"""),"")</f>
        <v></v>
      </c>
      <c r="N384" s="2" t="str">
        <f>IFERROR(__xludf.DUMMYFUNCTION("""COMPUTED_VALUE"""),"Credit, Debit , Apple Pay")</f>
        <v>Credit, Debit , Apple Pay</v>
      </c>
      <c r="O384" s="4">
        <f>IFERROR(__xludf.DUMMYFUNCTION("""COMPUTED_VALUE"""),0.0)</f>
        <v>0</v>
      </c>
      <c r="P384" s="2">
        <f>IFERROR(__xludf.DUMMYFUNCTION("""COMPUTED_VALUE"""),8.0)</f>
        <v>8</v>
      </c>
      <c r="Q384" s="2">
        <f>IFERROR(__xludf.DUMMYFUNCTION("""COMPUTED_VALUE"""),5.0)</f>
        <v>5</v>
      </c>
      <c r="R384" s="2">
        <f>IFERROR(__xludf.DUMMYFUNCTION("""COMPUTED_VALUE"""),2025.0)</f>
        <v>2025</v>
      </c>
      <c r="S384" s="2" t="str">
        <f>IFERROR(__xludf.DUMMYFUNCTION("""COMPUTED_VALUE"""),"Digizag")</f>
        <v>Digizag</v>
      </c>
      <c r="T384" s="2" t="str">
        <f>IFERROR(__xludf.DUMMYFUNCTION("""COMPUTED_VALUE"""),"Digizag")</f>
        <v>Digizag</v>
      </c>
      <c r="U384" s="5">
        <f>IFERROR(__xludf.DUMMYFUNCTION("""COMPUTED_VALUE"""),62.355343862)</f>
        <v>62.35534386</v>
      </c>
      <c r="V384" s="2"/>
      <c r="W384" s="2"/>
      <c r="X384" s="2"/>
      <c r="Y384" s="2"/>
      <c r="Z384" s="2"/>
    </row>
    <row r="385">
      <c r="A385" s="6">
        <f>IFERROR(__xludf.DUMMYFUNCTION("""COMPUTED_VALUE"""),45785.494629629626)</f>
        <v>45785.49463</v>
      </c>
      <c r="B385" s="2" t="str">
        <f>IFERROR(__xludf.DUMMYFUNCTION("""COMPUTED_VALUE"""),"May")</f>
        <v>May</v>
      </c>
      <c r="C385" s="3">
        <f>IFERROR(__xludf.DUMMYFUNCTION("""COMPUTED_VALUE"""),664978.0)</f>
        <v>664978</v>
      </c>
      <c r="D385" s="2" t="str">
        <f>IFERROR(__xludf.DUMMYFUNCTION("""COMPUTED_VALUE"""),"DB1")</f>
        <v>DB1</v>
      </c>
      <c r="E385" s="2" t="str">
        <f>IFERROR(__xludf.DUMMYFUNCTION("""COMPUTED_VALUE"""),"Imported from file Digizag.xlsx")</f>
        <v>Imported from file Digizag.xlsx</v>
      </c>
      <c r="F385" s="2" t="str">
        <f>IFERROR(__xludf.DUMMYFUNCTION("""COMPUTED_VALUE"""),"RPX615638")</f>
        <v>RPX615638</v>
      </c>
      <c r="G385" s="2" t="str">
        <f>IFERROR(__xludf.DUMMYFUNCTION("""COMPUTED_VALUE"""),"Kuwait")</f>
        <v>Kuwait</v>
      </c>
      <c r="H385" s="4">
        <f>IFERROR(__xludf.DUMMYFUNCTION("""COMPUTED_VALUE"""),13.7)</f>
        <v>13.7</v>
      </c>
      <c r="I385" s="3">
        <f>IFERROR(__xludf.DUMMYFUNCTION("""COMPUTED_VALUE"""),0.0)</f>
        <v>0</v>
      </c>
      <c r="J385" s="4">
        <f>IFERROR(__xludf.DUMMYFUNCTION("""COMPUTED_VALUE"""),1.37)</f>
        <v>1.37</v>
      </c>
      <c r="K385" s="2"/>
      <c r="L385" s="2" t="str">
        <f>IFERROR(__xludf.DUMMYFUNCTION("""COMPUTED_VALUE"""),"Delivered")</f>
        <v>Delivered</v>
      </c>
      <c r="M385" s="2" t="str">
        <f>IFERROR(__xludf.DUMMYFUNCTION("""COMPUTED_VALUE"""),"KD")</f>
        <v>KD</v>
      </c>
      <c r="N385" s="2" t="str">
        <f>IFERROR(__xludf.DUMMYFUNCTION("""COMPUTED_VALUE"""),"Credit, Debit, Knet")</f>
        <v>Credit, Debit, Knet</v>
      </c>
      <c r="O385" s="4">
        <f>IFERROR(__xludf.DUMMYFUNCTION("""COMPUTED_VALUE"""),0.0)</f>
        <v>0</v>
      </c>
      <c r="P385" s="2">
        <f>IFERROR(__xludf.DUMMYFUNCTION("""COMPUTED_VALUE"""),8.0)</f>
        <v>8</v>
      </c>
      <c r="Q385" s="2">
        <f>IFERROR(__xludf.DUMMYFUNCTION("""COMPUTED_VALUE"""),5.0)</f>
        <v>5</v>
      </c>
      <c r="R385" s="2">
        <f>IFERROR(__xludf.DUMMYFUNCTION("""COMPUTED_VALUE"""),2025.0)</f>
        <v>2025</v>
      </c>
      <c r="S385" s="2" t="str">
        <f>IFERROR(__xludf.DUMMYFUNCTION("""COMPUTED_VALUE"""),"Digizag")</f>
        <v>Digizag</v>
      </c>
      <c r="T385" s="2" t="str">
        <f>IFERROR(__xludf.DUMMYFUNCTION("""COMPUTED_VALUE"""),"Digizag")</f>
        <v>Digizag</v>
      </c>
      <c r="U385" s="5">
        <f>IFERROR(__xludf.DUMMYFUNCTION("""COMPUTED_VALUE"""),44.670494)</f>
        <v>44.670494</v>
      </c>
      <c r="V385" s="2"/>
      <c r="W385" s="2"/>
      <c r="X385" s="2"/>
      <c r="Y385" s="2"/>
      <c r="Z385" s="2"/>
    </row>
    <row r="386">
      <c r="A386" s="6">
        <f>IFERROR(__xludf.DUMMYFUNCTION("""COMPUTED_VALUE"""),45785.5940162037)</f>
        <v>45785.59402</v>
      </c>
      <c r="B386" s="2" t="str">
        <f>IFERROR(__xludf.DUMMYFUNCTION("""COMPUTED_VALUE"""),"May")</f>
        <v>May</v>
      </c>
      <c r="C386" s="3">
        <f>IFERROR(__xludf.DUMMYFUNCTION("""COMPUTED_VALUE"""),207266.0)</f>
        <v>207266</v>
      </c>
      <c r="D386" s="2" t="str">
        <f>IFERROR(__xludf.DUMMYFUNCTION("""COMPUTED_VALUE"""),"MNN16")</f>
        <v>MNN16</v>
      </c>
      <c r="E386" s="2" t="str">
        <f>IFERROR(__xludf.DUMMYFUNCTION("""COMPUTED_VALUE"""),"Imported from file DigiZag Codes 25Feb25.xlsx")</f>
        <v>Imported from file DigiZag Codes 25Feb25.xlsx</v>
      </c>
      <c r="F386" s="2" t="str">
        <f>IFERROR(__xludf.DUMMYFUNCTION("""COMPUTED_VALUE"""),"CYZ890372")</f>
        <v>CYZ890372</v>
      </c>
      <c r="G386" s="2" t="str">
        <f>IFERROR(__xludf.DUMMYFUNCTION("""COMPUTED_VALUE"""),"UAE")</f>
        <v>UAE</v>
      </c>
      <c r="H386" s="4">
        <f>IFERROR(__xludf.DUMMYFUNCTION("""COMPUTED_VALUE"""),385.57)</f>
        <v>385.57</v>
      </c>
      <c r="I386" s="3">
        <f>IFERROR(__xludf.DUMMYFUNCTION("""COMPUTED_VALUE"""),0.0)</f>
        <v>0</v>
      </c>
      <c r="J386" s="4">
        <f>IFERROR(__xludf.DUMMYFUNCTION("""COMPUTED_VALUE"""),38.55)</f>
        <v>38.55</v>
      </c>
      <c r="K386" s="2"/>
      <c r="L386" s="2" t="str">
        <f>IFERROR(__xludf.DUMMYFUNCTION("""COMPUTED_VALUE"""),"Processing")</f>
        <v>Processing</v>
      </c>
      <c r="M386" s="2" t="str">
        <f>IFERROR(__xludf.DUMMYFUNCTION("""COMPUTED_VALUE"""),"")</f>
        <v></v>
      </c>
      <c r="N386" s="2" t="str">
        <f>IFERROR(__xludf.DUMMYFUNCTION("""COMPUTED_VALUE"""),"Credit, Debit , Apple Pay")</f>
        <v>Credit, Debit , Apple Pay</v>
      </c>
      <c r="O386" s="4">
        <f>IFERROR(__xludf.DUMMYFUNCTION("""COMPUTED_VALUE"""),0.0)</f>
        <v>0</v>
      </c>
      <c r="P386" s="2">
        <f>IFERROR(__xludf.DUMMYFUNCTION("""COMPUTED_VALUE"""),8.0)</f>
        <v>8</v>
      </c>
      <c r="Q386" s="2">
        <f>IFERROR(__xludf.DUMMYFUNCTION("""COMPUTED_VALUE"""),5.0)</f>
        <v>5</v>
      </c>
      <c r="R386" s="2">
        <f>IFERROR(__xludf.DUMMYFUNCTION("""COMPUTED_VALUE"""),2025.0)</f>
        <v>2025</v>
      </c>
      <c r="S386" s="2" t="str">
        <f>IFERROR(__xludf.DUMMYFUNCTION("""COMPUTED_VALUE"""),"Digizag")</f>
        <v>Digizag</v>
      </c>
      <c r="T386" s="2" t="str">
        <f>IFERROR(__xludf.DUMMYFUNCTION("""COMPUTED_VALUE"""),"Digizag")</f>
        <v>Digizag</v>
      </c>
      <c r="U386" s="5">
        <f>IFERROR(__xludf.DUMMYFUNCTION("""COMPUTED_VALUE"""),104.98842765446)</f>
        <v>104.9884277</v>
      </c>
      <c r="V386" s="2"/>
      <c r="W386" s="2"/>
      <c r="X386" s="2"/>
      <c r="Y386" s="2"/>
      <c r="Z386" s="2"/>
    </row>
    <row r="387">
      <c r="A387" s="6">
        <f>IFERROR(__xludf.DUMMYFUNCTION("""COMPUTED_VALUE"""),45785.67372685185)</f>
        <v>45785.67373</v>
      </c>
      <c r="B387" s="2" t="str">
        <f>IFERROR(__xludf.DUMMYFUNCTION("""COMPUTED_VALUE"""),"May")</f>
        <v>May</v>
      </c>
      <c r="C387" s="3">
        <f>IFERROR(__xludf.DUMMYFUNCTION("""COMPUTED_VALUE"""),733101.0)</f>
        <v>733101</v>
      </c>
      <c r="D387" s="2" t="str">
        <f>IFERROR(__xludf.DUMMYFUNCTION("""COMPUTED_VALUE"""),"MNN16")</f>
        <v>MNN16</v>
      </c>
      <c r="E387" s="2" t="str">
        <f>IFERROR(__xludf.DUMMYFUNCTION("""COMPUTED_VALUE"""),"Imported from file DigiZag Codes 25Feb25.xlsx")</f>
        <v>Imported from file DigiZag Codes 25Feb25.xlsx</v>
      </c>
      <c r="F387" s="2" t="str">
        <f>IFERROR(__xludf.DUMMYFUNCTION("""COMPUTED_VALUE"""),"HHR521311")</f>
        <v>HHR521311</v>
      </c>
      <c r="G387" s="2" t="str">
        <f>IFERROR(__xludf.DUMMYFUNCTION("""COMPUTED_VALUE"""),"UAE")</f>
        <v>UAE</v>
      </c>
      <c r="H387" s="4">
        <f>IFERROR(__xludf.DUMMYFUNCTION("""COMPUTED_VALUE"""),142.0)</f>
        <v>142</v>
      </c>
      <c r="I387" s="3">
        <f>IFERROR(__xludf.DUMMYFUNCTION("""COMPUTED_VALUE"""),0.0)</f>
        <v>0</v>
      </c>
      <c r="J387" s="4">
        <f>IFERROR(__xludf.DUMMYFUNCTION("""COMPUTED_VALUE"""),14.2)</f>
        <v>14.2</v>
      </c>
      <c r="K387" s="2"/>
      <c r="L387" s="2" t="str">
        <f>IFERROR(__xludf.DUMMYFUNCTION("""COMPUTED_VALUE"""),"Processing")</f>
        <v>Processing</v>
      </c>
      <c r="M387" s="2" t="str">
        <f>IFERROR(__xludf.DUMMYFUNCTION("""COMPUTED_VALUE"""),"")</f>
        <v></v>
      </c>
      <c r="N387" s="2" t="str">
        <f>IFERROR(__xludf.DUMMYFUNCTION("""COMPUTED_VALUE"""),"Cash")</f>
        <v>Cash</v>
      </c>
      <c r="O387" s="4">
        <f>IFERROR(__xludf.DUMMYFUNCTION("""COMPUTED_VALUE"""),0.0)</f>
        <v>0</v>
      </c>
      <c r="P387" s="2">
        <f>IFERROR(__xludf.DUMMYFUNCTION("""COMPUTED_VALUE"""),8.0)</f>
        <v>8</v>
      </c>
      <c r="Q387" s="2">
        <f>IFERROR(__xludf.DUMMYFUNCTION("""COMPUTED_VALUE"""),5.0)</f>
        <v>5</v>
      </c>
      <c r="R387" s="2">
        <f>IFERROR(__xludf.DUMMYFUNCTION("""COMPUTED_VALUE"""),2025.0)</f>
        <v>2025</v>
      </c>
      <c r="S387" s="2" t="str">
        <f>IFERROR(__xludf.DUMMYFUNCTION("""COMPUTED_VALUE"""),"Digizag")</f>
        <v>Digizag</v>
      </c>
      <c r="T387" s="2" t="str">
        <f>IFERROR(__xludf.DUMMYFUNCTION("""COMPUTED_VALUE"""),"Digizag")</f>
        <v>Digizag</v>
      </c>
      <c r="U387" s="5">
        <f>IFERROR(__xludf.DUMMYFUNCTION("""COMPUTED_VALUE"""),38.665759076)</f>
        <v>38.66575908</v>
      </c>
      <c r="V387" s="2"/>
      <c r="W387" s="2"/>
      <c r="X387" s="2"/>
      <c r="Y387" s="2"/>
      <c r="Z387" s="2"/>
    </row>
    <row r="388">
      <c r="A388" s="6">
        <f>IFERROR(__xludf.DUMMYFUNCTION("""COMPUTED_VALUE"""),45785.72844907407)</f>
        <v>45785.72845</v>
      </c>
      <c r="B388" s="2" t="str">
        <f>IFERROR(__xludf.DUMMYFUNCTION("""COMPUTED_VALUE"""),"May")</f>
        <v>May</v>
      </c>
      <c r="C388" s="3">
        <f>IFERROR(__xludf.DUMMYFUNCTION("""COMPUTED_VALUE"""),733160.0)</f>
        <v>733160</v>
      </c>
      <c r="D388" s="2" t="str">
        <f>IFERROR(__xludf.DUMMYFUNCTION("""COMPUTED_VALUE"""),"MNN16")</f>
        <v>MNN16</v>
      </c>
      <c r="E388" s="2" t="str">
        <f>IFERROR(__xludf.DUMMYFUNCTION("""COMPUTED_VALUE"""),"Imported from file DigiZag Bidding Codes.xlsx")</f>
        <v>Imported from file DigiZag Bidding Codes.xlsx</v>
      </c>
      <c r="F388" s="2" t="str">
        <f>IFERROR(__xludf.DUMMYFUNCTION("""COMPUTED_VALUE"""),"UVX839032")</f>
        <v>UVX839032</v>
      </c>
      <c r="G388" s="2" t="str">
        <f>IFERROR(__xludf.DUMMYFUNCTION("""COMPUTED_VALUE"""),"Kingdom of Saudi Arabia")</f>
        <v>Kingdom of Saudi Arabia</v>
      </c>
      <c r="H388" s="4">
        <f>IFERROR(__xludf.DUMMYFUNCTION("""COMPUTED_VALUE"""),129.0)</f>
        <v>129</v>
      </c>
      <c r="I388" s="3">
        <f>IFERROR(__xludf.DUMMYFUNCTION("""COMPUTED_VALUE"""),0.0)</f>
        <v>0</v>
      </c>
      <c r="J388" s="4">
        <f>IFERROR(__xludf.DUMMYFUNCTION("""COMPUTED_VALUE"""),12.9)</f>
        <v>12.9</v>
      </c>
      <c r="K388" s="2"/>
      <c r="L388" s="2" t="str">
        <f>IFERROR(__xludf.DUMMYFUNCTION("""COMPUTED_VALUE"""),"Processing")</f>
        <v>Processing</v>
      </c>
      <c r="M388" s="2" t="str">
        <f>IFERROR(__xludf.DUMMYFUNCTION("""COMPUTED_VALUE"""),"")</f>
        <v></v>
      </c>
      <c r="N388" s="2" t="str">
        <f>IFERROR(__xludf.DUMMYFUNCTION("""COMPUTED_VALUE"""),"Cash")</f>
        <v>Cash</v>
      </c>
      <c r="O388" s="4">
        <f>IFERROR(__xludf.DUMMYFUNCTION("""COMPUTED_VALUE"""),0.0)</f>
        <v>0</v>
      </c>
      <c r="P388" s="2">
        <f>IFERROR(__xludf.DUMMYFUNCTION("""COMPUTED_VALUE"""),8.0)</f>
        <v>8</v>
      </c>
      <c r="Q388" s="2">
        <f>IFERROR(__xludf.DUMMYFUNCTION("""COMPUTED_VALUE"""),5.0)</f>
        <v>5</v>
      </c>
      <c r="R388" s="2">
        <f>IFERROR(__xludf.DUMMYFUNCTION("""COMPUTED_VALUE"""),2025.0)</f>
        <v>2025</v>
      </c>
      <c r="S388" s="2" t="str">
        <f>IFERROR(__xludf.DUMMYFUNCTION("""COMPUTED_VALUE"""),"Digizag")</f>
        <v>Digizag</v>
      </c>
      <c r="T388" s="2" t="str">
        <f>IFERROR(__xludf.DUMMYFUNCTION("""COMPUTED_VALUE"""),"Digizag")</f>
        <v>Digizag</v>
      </c>
      <c r="U388" s="5">
        <f>IFERROR(__xludf.DUMMYFUNCTION("""COMPUTED_VALUE"""),34.397339934)</f>
        <v>34.39733993</v>
      </c>
      <c r="V388" s="2"/>
      <c r="W388" s="2"/>
      <c r="X388" s="2"/>
      <c r="Y388" s="2"/>
      <c r="Z388" s="2"/>
    </row>
    <row r="389">
      <c r="A389" s="6">
        <f>IFERROR(__xludf.DUMMYFUNCTION("""COMPUTED_VALUE"""),45785.75342592593)</f>
        <v>45785.75343</v>
      </c>
      <c r="B389" s="2" t="str">
        <f>IFERROR(__xludf.DUMMYFUNCTION("""COMPUTED_VALUE"""),"May")</f>
        <v>May</v>
      </c>
      <c r="C389" s="3">
        <f>IFERROR(__xludf.DUMMYFUNCTION("""COMPUTED_VALUE"""),582172.0)</f>
        <v>582172</v>
      </c>
      <c r="D389" s="2" t="str">
        <f>IFERROR(__xludf.DUMMYFUNCTION("""COMPUTED_VALUE"""),"DB3")</f>
        <v>DB3</v>
      </c>
      <c r="E389" s="2" t="str">
        <f>IFERROR(__xludf.DUMMYFUNCTION("""COMPUTED_VALUE"""),"Imported from file Digizag.xlsx")</f>
        <v>Imported from file Digizag.xlsx</v>
      </c>
      <c r="F389" s="2" t="str">
        <f>IFERROR(__xludf.DUMMYFUNCTION("""COMPUTED_VALUE"""),"JQZ864706")</f>
        <v>JQZ864706</v>
      </c>
      <c r="G389" s="2" t="str">
        <f>IFERROR(__xludf.DUMMYFUNCTION("""COMPUTED_VALUE"""),"Kuwait")</f>
        <v>Kuwait</v>
      </c>
      <c r="H389" s="4">
        <f>IFERROR(__xludf.DUMMYFUNCTION("""COMPUTED_VALUE"""),17.9)</f>
        <v>17.9</v>
      </c>
      <c r="I389" s="3">
        <f>IFERROR(__xludf.DUMMYFUNCTION("""COMPUTED_VALUE"""),0.0)</f>
        <v>0</v>
      </c>
      <c r="J389" s="4">
        <f>IFERROR(__xludf.DUMMYFUNCTION("""COMPUTED_VALUE"""),1.79)</f>
        <v>1.79</v>
      </c>
      <c r="K389" s="2"/>
      <c r="L389" s="2" t="str">
        <f>IFERROR(__xludf.DUMMYFUNCTION("""COMPUTED_VALUE"""),"Processing")</f>
        <v>Processing</v>
      </c>
      <c r="M389" s="2" t="str">
        <f>IFERROR(__xludf.DUMMYFUNCTION("""COMPUTED_VALUE"""),"KD")</f>
        <v>KD</v>
      </c>
      <c r="N389" s="2" t="str">
        <f>IFERROR(__xludf.DUMMYFUNCTION("""COMPUTED_VALUE"""),"Credit, Debit, Knet")</f>
        <v>Credit, Debit, Knet</v>
      </c>
      <c r="O389" s="4">
        <f>IFERROR(__xludf.DUMMYFUNCTION("""COMPUTED_VALUE"""),0.0)</f>
        <v>0</v>
      </c>
      <c r="P389" s="2">
        <f>IFERROR(__xludf.DUMMYFUNCTION("""COMPUTED_VALUE"""),8.0)</f>
        <v>8</v>
      </c>
      <c r="Q389" s="2">
        <f>IFERROR(__xludf.DUMMYFUNCTION("""COMPUTED_VALUE"""),5.0)</f>
        <v>5</v>
      </c>
      <c r="R389" s="2">
        <f>IFERROR(__xludf.DUMMYFUNCTION("""COMPUTED_VALUE"""),2025.0)</f>
        <v>2025</v>
      </c>
      <c r="S389" s="2" t="str">
        <f>IFERROR(__xludf.DUMMYFUNCTION("""COMPUTED_VALUE"""),"Digizag")</f>
        <v>Digizag</v>
      </c>
      <c r="T389" s="2" t="str">
        <f>IFERROR(__xludf.DUMMYFUNCTION("""COMPUTED_VALUE"""),"Digizag")</f>
        <v>Digizag</v>
      </c>
      <c r="U389" s="5">
        <f>IFERROR(__xludf.DUMMYFUNCTION("""COMPUTED_VALUE"""),58.365097999999996)</f>
        <v>58.365098</v>
      </c>
      <c r="V389" s="2"/>
      <c r="W389" s="2"/>
      <c r="X389" s="2"/>
      <c r="Y389" s="2"/>
      <c r="Z389" s="2"/>
    </row>
    <row r="390">
      <c r="A390" s="6">
        <f>IFERROR(__xludf.DUMMYFUNCTION("""COMPUTED_VALUE"""),45785.80238425926)</f>
        <v>45785.80238</v>
      </c>
      <c r="B390" s="2" t="str">
        <f>IFERROR(__xludf.DUMMYFUNCTION("""COMPUTED_VALUE"""),"May")</f>
        <v>May</v>
      </c>
      <c r="C390" s="3">
        <f>IFERROR(__xludf.DUMMYFUNCTION("""COMPUTED_VALUE"""),449596.0)</f>
        <v>449596</v>
      </c>
      <c r="D390" s="2" t="str">
        <f>IFERROR(__xludf.DUMMYFUNCTION("""COMPUTED_VALUE"""),"DB3")</f>
        <v>DB3</v>
      </c>
      <c r="E390" s="2" t="str">
        <f>IFERROR(__xludf.DUMMYFUNCTION("""COMPUTED_VALUE"""),"Imported from file Digizag.xlsx")</f>
        <v>Imported from file Digizag.xlsx</v>
      </c>
      <c r="F390" s="2" t="str">
        <f>IFERROR(__xludf.DUMMYFUNCTION("""COMPUTED_VALUE"""),"RWQ462070")</f>
        <v>RWQ462070</v>
      </c>
      <c r="G390" s="2" t="str">
        <f>IFERROR(__xludf.DUMMYFUNCTION("""COMPUTED_VALUE"""),"Kuwait")</f>
        <v>Kuwait</v>
      </c>
      <c r="H390" s="4">
        <f>IFERROR(__xludf.DUMMYFUNCTION("""COMPUTED_VALUE"""),15.95)</f>
        <v>15.95</v>
      </c>
      <c r="I390" s="3">
        <f>IFERROR(__xludf.DUMMYFUNCTION("""COMPUTED_VALUE"""),0.0)</f>
        <v>0</v>
      </c>
      <c r="J390" s="4">
        <f>IFERROR(__xludf.DUMMYFUNCTION("""COMPUTED_VALUE"""),1.595)</f>
        <v>1.595</v>
      </c>
      <c r="K390" s="2"/>
      <c r="L390" s="2" t="str">
        <f>IFERROR(__xludf.DUMMYFUNCTION("""COMPUTED_VALUE"""),"Processing")</f>
        <v>Processing</v>
      </c>
      <c r="M390" s="2" t="str">
        <f>IFERROR(__xludf.DUMMYFUNCTION("""COMPUTED_VALUE"""),"KD")</f>
        <v>KD</v>
      </c>
      <c r="N390" s="2" t="str">
        <f>IFERROR(__xludf.DUMMYFUNCTION("""COMPUTED_VALUE"""),"Credit, Debit, Knet")</f>
        <v>Credit, Debit, Knet</v>
      </c>
      <c r="O390" s="4">
        <f>IFERROR(__xludf.DUMMYFUNCTION("""COMPUTED_VALUE"""),0.0)</f>
        <v>0</v>
      </c>
      <c r="P390" s="2">
        <f>IFERROR(__xludf.DUMMYFUNCTION("""COMPUTED_VALUE"""),8.0)</f>
        <v>8</v>
      </c>
      <c r="Q390" s="2">
        <f>IFERROR(__xludf.DUMMYFUNCTION("""COMPUTED_VALUE"""),5.0)</f>
        <v>5</v>
      </c>
      <c r="R390" s="2">
        <f>IFERROR(__xludf.DUMMYFUNCTION("""COMPUTED_VALUE"""),2025.0)</f>
        <v>2025</v>
      </c>
      <c r="S390" s="2" t="str">
        <f>IFERROR(__xludf.DUMMYFUNCTION("""COMPUTED_VALUE"""),"Digizag")</f>
        <v>Digizag</v>
      </c>
      <c r="T390" s="2" t="str">
        <f>IFERROR(__xludf.DUMMYFUNCTION("""COMPUTED_VALUE"""),"Digizag")</f>
        <v>Digizag</v>
      </c>
      <c r="U390" s="5">
        <f>IFERROR(__xludf.DUMMYFUNCTION("""COMPUTED_VALUE"""),52.006888999999994)</f>
        <v>52.006889</v>
      </c>
      <c r="V390" s="2"/>
      <c r="W390" s="2"/>
      <c r="X390" s="2"/>
      <c r="Y390" s="2"/>
      <c r="Z390" s="2"/>
    </row>
    <row r="391">
      <c r="A391" s="6">
        <f>IFERROR(__xludf.DUMMYFUNCTION("""COMPUTED_VALUE"""),45786.39849537037)</f>
        <v>45786.3985</v>
      </c>
      <c r="B391" s="2" t="str">
        <f>IFERROR(__xludf.DUMMYFUNCTION("""COMPUTED_VALUE"""),"May")</f>
        <v>May</v>
      </c>
      <c r="C391" s="3">
        <f>IFERROR(__xludf.DUMMYFUNCTION("""COMPUTED_VALUE"""),733434.0)</f>
        <v>733434</v>
      </c>
      <c r="D391" s="2" t="str">
        <f>IFERROR(__xludf.DUMMYFUNCTION("""COMPUTED_VALUE"""),"MNN15")</f>
        <v>MNN15</v>
      </c>
      <c r="E391" s="2" t="str">
        <f>IFERROR(__xludf.DUMMYFUNCTION("""COMPUTED_VALUE"""),"Imported from file DigiZag Codes 25Feb25.xlsx")</f>
        <v>Imported from file DigiZag Codes 25Feb25.xlsx</v>
      </c>
      <c r="F391" s="2" t="str">
        <f>IFERROR(__xludf.DUMMYFUNCTION("""COMPUTED_VALUE"""),"JLP596271")</f>
        <v>JLP596271</v>
      </c>
      <c r="G391" s="2" t="str">
        <f>IFERROR(__xludf.DUMMYFUNCTION("""COMPUTED_VALUE"""),"UAE")</f>
        <v>UAE</v>
      </c>
      <c r="H391" s="4">
        <f>IFERROR(__xludf.DUMMYFUNCTION("""COMPUTED_VALUE"""),258.0)</f>
        <v>258</v>
      </c>
      <c r="I391" s="3">
        <f>IFERROR(__xludf.DUMMYFUNCTION("""COMPUTED_VALUE"""),0.0)</f>
        <v>0</v>
      </c>
      <c r="J391" s="4">
        <f>IFERROR(__xludf.DUMMYFUNCTION("""COMPUTED_VALUE"""),25.8)</f>
        <v>25.8</v>
      </c>
      <c r="K391" s="2"/>
      <c r="L391" s="2" t="str">
        <f>IFERROR(__xludf.DUMMYFUNCTION("""COMPUTED_VALUE"""),"Processing")</f>
        <v>Processing</v>
      </c>
      <c r="M391" s="2" t="str">
        <f>IFERROR(__xludf.DUMMYFUNCTION("""COMPUTED_VALUE"""),"")</f>
        <v></v>
      </c>
      <c r="N391" s="2" t="str">
        <f>IFERROR(__xludf.DUMMYFUNCTION("""COMPUTED_VALUE"""),"Credit, Debit , Apple Pay")</f>
        <v>Credit, Debit , Apple Pay</v>
      </c>
      <c r="O391" s="4">
        <f>IFERROR(__xludf.DUMMYFUNCTION("""COMPUTED_VALUE"""),0.0)</f>
        <v>0</v>
      </c>
      <c r="P391" s="2">
        <f>IFERROR(__xludf.DUMMYFUNCTION("""COMPUTED_VALUE"""),9.0)</f>
        <v>9</v>
      </c>
      <c r="Q391" s="2">
        <f>IFERROR(__xludf.DUMMYFUNCTION("""COMPUTED_VALUE"""),5.0)</f>
        <v>5</v>
      </c>
      <c r="R391" s="2">
        <f>IFERROR(__xludf.DUMMYFUNCTION("""COMPUTED_VALUE"""),2025.0)</f>
        <v>2025</v>
      </c>
      <c r="S391" s="2" t="str">
        <f>IFERROR(__xludf.DUMMYFUNCTION("""COMPUTED_VALUE"""),"Digizag")</f>
        <v>Digizag</v>
      </c>
      <c r="T391" s="2" t="str">
        <f>IFERROR(__xludf.DUMMYFUNCTION("""COMPUTED_VALUE"""),"Digizag")</f>
        <v>Digizag</v>
      </c>
      <c r="U391" s="5">
        <f>IFERROR(__xludf.DUMMYFUNCTION("""COMPUTED_VALUE"""),70.251872124)</f>
        <v>70.25187212</v>
      </c>
      <c r="V391" s="2"/>
      <c r="W391" s="2"/>
      <c r="X391" s="2"/>
      <c r="Y391" s="2"/>
      <c r="Z391" s="2"/>
    </row>
    <row r="392">
      <c r="A392" s="6">
        <f>IFERROR(__xludf.DUMMYFUNCTION("""COMPUTED_VALUE"""),45786.466157407405)</f>
        <v>45786.46616</v>
      </c>
      <c r="B392" s="2" t="str">
        <f>IFERROR(__xludf.DUMMYFUNCTION("""COMPUTED_VALUE"""),"May")</f>
        <v>May</v>
      </c>
      <c r="C392" s="3">
        <f>IFERROR(__xludf.DUMMYFUNCTION("""COMPUTED_VALUE"""),353069.0)</f>
        <v>353069</v>
      </c>
      <c r="D392" s="2" t="str">
        <f>IFERROR(__xludf.DUMMYFUNCTION("""COMPUTED_VALUE"""),"MNN16")</f>
        <v>MNN16</v>
      </c>
      <c r="E392" s="2" t="str">
        <f>IFERROR(__xludf.DUMMYFUNCTION("""COMPUTED_VALUE"""),"Imported from file DigiZag Codes 25Feb25.xlsx")</f>
        <v>Imported from file DigiZag Codes 25Feb25.xlsx</v>
      </c>
      <c r="F392" s="2" t="str">
        <f>IFERROR(__xludf.DUMMYFUNCTION("""COMPUTED_VALUE"""),"GGX283928")</f>
        <v>GGX283928</v>
      </c>
      <c r="G392" s="2" t="str">
        <f>IFERROR(__xludf.DUMMYFUNCTION("""COMPUTED_VALUE"""),"UAE")</f>
        <v>UAE</v>
      </c>
      <c r="H392" s="4">
        <f>IFERROR(__xludf.DUMMYFUNCTION("""COMPUTED_VALUE"""),178.0)</f>
        <v>178</v>
      </c>
      <c r="I392" s="3">
        <f>IFERROR(__xludf.DUMMYFUNCTION("""COMPUTED_VALUE"""),0.0)</f>
        <v>0</v>
      </c>
      <c r="J392" s="4">
        <f>IFERROR(__xludf.DUMMYFUNCTION("""COMPUTED_VALUE"""),17.8)</f>
        <v>17.8</v>
      </c>
      <c r="K392" s="2"/>
      <c r="L392" s="2" t="str">
        <f>IFERROR(__xludf.DUMMYFUNCTION("""COMPUTED_VALUE"""),"Delivered")</f>
        <v>Delivered</v>
      </c>
      <c r="M392" s="2" t="str">
        <f>IFERROR(__xludf.DUMMYFUNCTION("""COMPUTED_VALUE"""),"")</f>
        <v></v>
      </c>
      <c r="N392" s="2" t="str">
        <f>IFERROR(__xludf.DUMMYFUNCTION("""COMPUTED_VALUE"""),"Credit, Debit , Apple Pay")</f>
        <v>Credit, Debit , Apple Pay</v>
      </c>
      <c r="O392" s="4">
        <f>IFERROR(__xludf.DUMMYFUNCTION("""COMPUTED_VALUE"""),0.0)</f>
        <v>0</v>
      </c>
      <c r="P392" s="2">
        <f>IFERROR(__xludf.DUMMYFUNCTION("""COMPUTED_VALUE"""),9.0)</f>
        <v>9</v>
      </c>
      <c r="Q392" s="2">
        <f>IFERROR(__xludf.DUMMYFUNCTION("""COMPUTED_VALUE"""),5.0)</f>
        <v>5</v>
      </c>
      <c r="R392" s="2">
        <f>IFERROR(__xludf.DUMMYFUNCTION("""COMPUTED_VALUE"""),2025.0)</f>
        <v>2025</v>
      </c>
      <c r="S392" s="2" t="str">
        <f>IFERROR(__xludf.DUMMYFUNCTION("""COMPUTED_VALUE"""),"Digizag")</f>
        <v>Digizag</v>
      </c>
      <c r="T392" s="2" t="str">
        <f>IFERROR(__xludf.DUMMYFUNCTION("""COMPUTED_VALUE"""),"Digizag")</f>
        <v>Digizag</v>
      </c>
      <c r="U392" s="5">
        <f>IFERROR(__xludf.DUMMYFUNCTION("""COMPUTED_VALUE"""),48.468345884)</f>
        <v>48.46834588</v>
      </c>
      <c r="V392" s="2"/>
      <c r="W392" s="2"/>
      <c r="X392" s="2"/>
      <c r="Y392" s="2"/>
      <c r="Z392" s="2"/>
    </row>
    <row r="393">
      <c r="A393" s="6">
        <f>IFERROR(__xludf.DUMMYFUNCTION("""COMPUTED_VALUE"""),45787.054456018515)</f>
        <v>45787.05446</v>
      </c>
      <c r="B393" s="2" t="str">
        <f>IFERROR(__xludf.DUMMYFUNCTION("""COMPUTED_VALUE"""),"May")</f>
        <v>May</v>
      </c>
      <c r="C393" s="3">
        <f>IFERROR(__xludf.DUMMYFUNCTION("""COMPUTED_VALUE"""),733986.0)</f>
        <v>733986</v>
      </c>
      <c r="D393" s="2" t="str">
        <f>IFERROR(__xludf.DUMMYFUNCTION("""COMPUTED_VALUE"""),"DB1")</f>
        <v>DB1</v>
      </c>
      <c r="E393" s="2" t="str">
        <f>IFERROR(__xludf.DUMMYFUNCTION("""COMPUTED_VALUE"""),"Imported from file Digizag.xlsx")</f>
        <v>Imported from file Digizag.xlsx</v>
      </c>
      <c r="F393" s="2" t="str">
        <f>IFERROR(__xludf.DUMMYFUNCTION("""COMPUTED_VALUE"""),"YEC708131")</f>
        <v>YEC708131</v>
      </c>
      <c r="G393" s="2" t="str">
        <f>IFERROR(__xludf.DUMMYFUNCTION("""COMPUTED_VALUE"""),"Kingdom of Saudi Arabia")</f>
        <v>Kingdom of Saudi Arabia</v>
      </c>
      <c r="H393" s="4">
        <f>IFERROR(__xludf.DUMMYFUNCTION("""COMPUTED_VALUE"""),124.88)</f>
        <v>124.88</v>
      </c>
      <c r="I393" s="3">
        <f>IFERROR(__xludf.DUMMYFUNCTION("""COMPUTED_VALUE"""),0.0)</f>
        <v>0</v>
      </c>
      <c r="J393" s="4">
        <f>IFERROR(__xludf.DUMMYFUNCTION("""COMPUTED_VALUE"""),12.48)</f>
        <v>12.48</v>
      </c>
      <c r="K393" s="2"/>
      <c r="L393" s="2" t="str">
        <f>IFERROR(__xludf.DUMMYFUNCTION("""COMPUTED_VALUE"""),"Delivered")</f>
        <v>Delivered</v>
      </c>
      <c r="M393" s="2" t="str">
        <f>IFERROR(__xludf.DUMMYFUNCTION("""COMPUTED_VALUE"""),"")</f>
        <v></v>
      </c>
      <c r="N393" s="2" t="str">
        <f>IFERROR(__xludf.DUMMYFUNCTION("""COMPUTED_VALUE"""),"Pay in 4. No interest, no fees")</f>
        <v>Pay in 4. No interest, no fees</v>
      </c>
      <c r="O393" s="4">
        <f>IFERROR(__xludf.DUMMYFUNCTION("""COMPUTED_VALUE"""),0.0)</f>
        <v>0</v>
      </c>
      <c r="P393" s="2">
        <f>IFERROR(__xludf.DUMMYFUNCTION("""COMPUTED_VALUE"""),10.0)</f>
        <v>10</v>
      </c>
      <c r="Q393" s="2">
        <f>IFERROR(__xludf.DUMMYFUNCTION("""COMPUTED_VALUE"""),5.0)</f>
        <v>5</v>
      </c>
      <c r="R393" s="2">
        <f>IFERROR(__xludf.DUMMYFUNCTION("""COMPUTED_VALUE"""),2025.0)</f>
        <v>2025</v>
      </c>
      <c r="S393" s="2" t="str">
        <f>IFERROR(__xludf.DUMMYFUNCTION("""COMPUTED_VALUE"""),"Digizag")</f>
        <v>Digizag</v>
      </c>
      <c r="T393" s="2" t="str">
        <f>IFERROR(__xludf.DUMMYFUNCTION("""COMPUTED_VALUE"""),"Digizag")</f>
        <v>Digizag</v>
      </c>
      <c r="U393" s="5">
        <f>IFERROR(__xludf.DUMMYFUNCTION("""COMPUTED_VALUE"""),33.298758224480004)</f>
        <v>33.29875822</v>
      </c>
      <c r="V393" s="2"/>
      <c r="W393" s="2"/>
      <c r="X393" s="2"/>
      <c r="Y393" s="2"/>
      <c r="Z393" s="2"/>
    </row>
    <row r="394">
      <c r="A394" s="6">
        <f>IFERROR(__xludf.DUMMYFUNCTION("""COMPUTED_VALUE"""),45787.63421296296)</f>
        <v>45787.63421</v>
      </c>
      <c r="B394" s="2" t="str">
        <f>IFERROR(__xludf.DUMMYFUNCTION("""COMPUTED_VALUE"""),"May")</f>
        <v>May</v>
      </c>
      <c r="C394" s="3">
        <f>IFERROR(__xludf.DUMMYFUNCTION("""COMPUTED_VALUE"""),426644.0)</f>
        <v>426644</v>
      </c>
      <c r="D394" s="2" t="str">
        <f>IFERROR(__xludf.DUMMYFUNCTION("""COMPUTED_VALUE"""),"NAA10")</f>
        <v>NAA10</v>
      </c>
      <c r="E394" s="2" t="str">
        <f>IFERROR(__xludf.DUMMYFUNCTION("""COMPUTED_VALUE"""),"Imported from file DigiZag Bidding Codes.xlsx")</f>
        <v>Imported from file DigiZag Bidding Codes.xlsx</v>
      </c>
      <c r="F394" s="2" t="str">
        <f>IFERROR(__xludf.DUMMYFUNCTION("""COMPUTED_VALUE"""),"THU120206")</f>
        <v>THU120206</v>
      </c>
      <c r="G394" s="2" t="str">
        <f>IFERROR(__xludf.DUMMYFUNCTION("""COMPUTED_VALUE"""),"Kingdom of Saudi Arabia")</f>
        <v>Kingdom of Saudi Arabia</v>
      </c>
      <c r="H394" s="4">
        <f>IFERROR(__xludf.DUMMYFUNCTION("""COMPUTED_VALUE"""),181.12)</f>
        <v>181.12</v>
      </c>
      <c r="I394" s="3">
        <f>IFERROR(__xludf.DUMMYFUNCTION("""COMPUTED_VALUE"""),0.0)</f>
        <v>0</v>
      </c>
      <c r="J394" s="4">
        <f>IFERROR(__xludf.DUMMYFUNCTION("""COMPUTED_VALUE"""),18.11)</f>
        <v>18.11</v>
      </c>
      <c r="K394" s="2"/>
      <c r="L394" s="2" t="str">
        <f>IFERROR(__xludf.DUMMYFUNCTION("""COMPUTED_VALUE"""),"Processing")</f>
        <v>Processing</v>
      </c>
      <c r="M394" s="2" t="str">
        <f>IFERROR(__xludf.DUMMYFUNCTION("""COMPUTED_VALUE"""),"")</f>
        <v></v>
      </c>
      <c r="N394" s="2" t="str">
        <f>IFERROR(__xludf.DUMMYFUNCTION("""COMPUTED_VALUE"""),"Credit, Debit, Apple Pay")</f>
        <v>Credit, Debit, Apple Pay</v>
      </c>
      <c r="O394" s="4">
        <f>IFERROR(__xludf.DUMMYFUNCTION("""COMPUTED_VALUE"""),0.0)</f>
        <v>0</v>
      </c>
      <c r="P394" s="2">
        <f>IFERROR(__xludf.DUMMYFUNCTION("""COMPUTED_VALUE"""),10.0)</f>
        <v>10</v>
      </c>
      <c r="Q394" s="2">
        <f>IFERROR(__xludf.DUMMYFUNCTION("""COMPUTED_VALUE"""),5.0)</f>
        <v>5</v>
      </c>
      <c r="R394" s="2">
        <f>IFERROR(__xludf.DUMMYFUNCTION("""COMPUTED_VALUE"""),2025.0)</f>
        <v>2025</v>
      </c>
      <c r="S394" s="2" t="str">
        <f>IFERROR(__xludf.DUMMYFUNCTION("""COMPUTED_VALUE"""),"Digizag")</f>
        <v>Digizag</v>
      </c>
      <c r="T394" s="2" t="str">
        <f>IFERROR(__xludf.DUMMYFUNCTION("""COMPUTED_VALUE"""),"Digizag")</f>
        <v>Digizag</v>
      </c>
      <c r="U394" s="5">
        <f>IFERROR(__xludf.DUMMYFUNCTION("""COMPUTED_VALUE"""),48.294931851520005)</f>
        <v>48.29493185</v>
      </c>
      <c r="V394" s="2"/>
      <c r="W394" s="2"/>
      <c r="X394" s="2"/>
      <c r="Y394" s="2"/>
      <c r="Z394" s="2"/>
    </row>
    <row r="395">
      <c r="A395" s="6">
        <f>IFERROR(__xludf.DUMMYFUNCTION("""COMPUTED_VALUE"""),45787.724340277775)</f>
        <v>45787.72434</v>
      </c>
      <c r="B395" s="2" t="str">
        <f>IFERROR(__xludf.DUMMYFUNCTION("""COMPUTED_VALUE"""),"May")</f>
        <v>May</v>
      </c>
      <c r="C395" s="3">
        <f>IFERROR(__xludf.DUMMYFUNCTION("""COMPUTED_VALUE"""),734402.0)</f>
        <v>734402</v>
      </c>
      <c r="D395" s="2" t="str">
        <f>IFERROR(__xludf.DUMMYFUNCTION("""COMPUTED_VALUE"""),"MNN16")</f>
        <v>MNN16</v>
      </c>
      <c r="E395" s="2" t="str">
        <f>IFERROR(__xludf.DUMMYFUNCTION("""COMPUTED_VALUE"""),"Imported from file DigiZag Codes 25Feb25.xlsx")</f>
        <v>Imported from file DigiZag Codes 25Feb25.xlsx</v>
      </c>
      <c r="F395" s="2" t="str">
        <f>IFERROR(__xludf.DUMMYFUNCTION("""COMPUTED_VALUE"""),"QUZ557810")</f>
        <v>QUZ557810</v>
      </c>
      <c r="G395" s="2" t="str">
        <f>IFERROR(__xludf.DUMMYFUNCTION("""COMPUTED_VALUE"""),"Kuwait")</f>
        <v>Kuwait</v>
      </c>
      <c r="H395" s="4">
        <f>IFERROR(__xludf.DUMMYFUNCTION("""COMPUTED_VALUE"""),5.95)</f>
        <v>5.95</v>
      </c>
      <c r="I395" s="3">
        <f>IFERROR(__xludf.DUMMYFUNCTION("""COMPUTED_VALUE"""),0.0)</f>
        <v>0</v>
      </c>
      <c r="J395" s="4">
        <f>IFERROR(__xludf.DUMMYFUNCTION("""COMPUTED_VALUE"""),0.595)</f>
        <v>0.595</v>
      </c>
      <c r="K395" s="2"/>
      <c r="L395" s="2" t="str">
        <f>IFERROR(__xludf.DUMMYFUNCTION("""COMPUTED_VALUE"""),"Processing")</f>
        <v>Processing</v>
      </c>
      <c r="M395" s="2" t="str">
        <f>IFERROR(__xludf.DUMMYFUNCTION("""COMPUTED_VALUE"""),"KD")</f>
        <v>KD</v>
      </c>
      <c r="N395" s="2" t="str">
        <f>IFERROR(__xludf.DUMMYFUNCTION("""COMPUTED_VALUE"""),"Credit, Debit, Knet")</f>
        <v>Credit, Debit, Knet</v>
      </c>
      <c r="O395" s="4">
        <f>IFERROR(__xludf.DUMMYFUNCTION("""COMPUTED_VALUE"""),0.0)</f>
        <v>0</v>
      </c>
      <c r="P395" s="2">
        <f>IFERROR(__xludf.DUMMYFUNCTION("""COMPUTED_VALUE"""),10.0)</f>
        <v>10</v>
      </c>
      <c r="Q395" s="2">
        <f>IFERROR(__xludf.DUMMYFUNCTION("""COMPUTED_VALUE"""),5.0)</f>
        <v>5</v>
      </c>
      <c r="R395" s="2">
        <f>IFERROR(__xludf.DUMMYFUNCTION("""COMPUTED_VALUE"""),2025.0)</f>
        <v>2025</v>
      </c>
      <c r="S395" s="2" t="str">
        <f>IFERROR(__xludf.DUMMYFUNCTION("""COMPUTED_VALUE"""),"Digizag")</f>
        <v>Digizag</v>
      </c>
      <c r="T395" s="2" t="str">
        <f>IFERROR(__xludf.DUMMYFUNCTION("""COMPUTED_VALUE"""),"Digizag")</f>
        <v>Digizag</v>
      </c>
      <c r="U395" s="5">
        <f>IFERROR(__xludf.DUMMYFUNCTION("""COMPUTED_VALUE"""),19.400689)</f>
        <v>19.400689</v>
      </c>
      <c r="V395" s="2"/>
      <c r="W395" s="2"/>
      <c r="X395" s="2"/>
      <c r="Y395" s="2"/>
      <c r="Z395" s="2"/>
    </row>
    <row r="396">
      <c r="A396" s="6">
        <f>IFERROR(__xludf.DUMMYFUNCTION("""COMPUTED_VALUE"""),45787.79980324074)</f>
        <v>45787.7998</v>
      </c>
      <c r="B396" s="2" t="str">
        <f>IFERROR(__xludf.DUMMYFUNCTION("""COMPUTED_VALUE"""),"May")</f>
        <v>May</v>
      </c>
      <c r="C396" s="3">
        <f>IFERROR(__xludf.DUMMYFUNCTION("""COMPUTED_VALUE"""),734446.0)</f>
        <v>734446</v>
      </c>
      <c r="D396" s="2" t="str">
        <f>IFERROR(__xludf.DUMMYFUNCTION("""COMPUTED_VALUE"""),"MNN16")</f>
        <v>MNN16</v>
      </c>
      <c r="E396" s="2" t="str">
        <f>IFERROR(__xludf.DUMMYFUNCTION("""COMPUTED_VALUE"""),"Imported from file DigiZag Bidding Codes.xlsx")</f>
        <v>Imported from file DigiZag Bidding Codes.xlsx</v>
      </c>
      <c r="F396" s="2" t="str">
        <f>IFERROR(__xludf.DUMMYFUNCTION("""COMPUTED_VALUE"""),"QKY748510")</f>
        <v>QKY748510</v>
      </c>
      <c r="G396" s="2" t="str">
        <f>IFERROR(__xludf.DUMMYFUNCTION("""COMPUTED_VALUE"""),"Kingdom of Saudi Arabia")</f>
        <v>Kingdom of Saudi Arabia</v>
      </c>
      <c r="H396" s="4">
        <f>IFERROR(__xludf.DUMMYFUNCTION("""COMPUTED_VALUE"""),142.0)</f>
        <v>142</v>
      </c>
      <c r="I396" s="3">
        <f>IFERROR(__xludf.DUMMYFUNCTION("""COMPUTED_VALUE"""),0.0)</f>
        <v>0</v>
      </c>
      <c r="J396" s="4">
        <f>IFERROR(__xludf.DUMMYFUNCTION("""COMPUTED_VALUE"""),14.2)</f>
        <v>14.2</v>
      </c>
      <c r="K396" s="2"/>
      <c r="L396" s="2" t="str">
        <f>IFERROR(__xludf.DUMMYFUNCTION("""COMPUTED_VALUE"""),"Processing")</f>
        <v>Processing</v>
      </c>
      <c r="M396" s="2" t="str">
        <f>IFERROR(__xludf.DUMMYFUNCTION("""COMPUTED_VALUE"""),"")</f>
        <v></v>
      </c>
      <c r="N396" s="2" t="str">
        <f>IFERROR(__xludf.DUMMYFUNCTION("""COMPUTED_VALUE"""),"Credit, Debit, Apple Pay")</f>
        <v>Credit, Debit, Apple Pay</v>
      </c>
      <c r="O396" s="4">
        <f>IFERROR(__xludf.DUMMYFUNCTION("""COMPUTED_VALUE"""),0.0)</f>
        <v>0</v>
      </c>
      <c r="P396" s="2">
        <f>IFERROR(__xludf.DUMMYFUNCTION("""COMPUTED_VALUE"""),10.0)</f>
        <v>10</v>
      </c>
      <c r="Q396" s="2">
        <f>IFERROR(__xludf.DUMMYFUNCTION("""COMPUTED_VALUE"""),5.0)</f>
        <v>5</v>
      </c>
      <c r="R396" s="2">
        <f>IFERROR(__xludf.DUMMYFUNCTION("""COMPUTED_VALUE"""),2025.0)</f>
        <v>2025</v>
      </c>
      <c r="S396" s="2" t="str">
        <f>IFERROR(__xludf.DUMMYFUNCTION("""COMPUTED_VALUE"""),"Digizag")</f>
        <v>Digizag</v>
      </c>
      <c r="T396" s="2" t="str">
        <f>IFERROR(__xludf.DUMMYFUNCTION("""COMPUTED_VALUE"""),"Digizag")</f>
        <v>Digizag</v>
      </c>
      <c r="U396" s="5">
        <f>IFERROR(__xludf.DUMMYFUNCTION("""COMPUTED_VALUE"""),37.863738532000006)</f>
        <v>37.86373853</v>
      </c>
      <c r="V396" s="2"/>
      <c r="W396" s="2"/>
      <c r="X396" s="2"/>
      <c r="Y396" s="2"/>
      <c r="Z396" s="2"/>
    </row>
    <row r="397">
      <c r="A397" s="6">
        <f>IFERROR(__xludf.DUMMYFUNCTION("""COMPUTED_VALUE"""),45788.27850694444)</f>
        <v>45788.27851</v>
      </c>
      <c r="B397" s="2" t="str">
        <f>IFERROR(__xludf.DUMMYFUNCTION("""COMPUTED_VALUE"""),"May")</f>
        <v>May</v>
      </c>
      <c r="C397" s="3">
        <f>IFERROR(__xludf.DUMMYFUNCTION("""COMPUTED_VALUE"""),734627.0)</f>
        <v>734627</v>
      </c>
      <c r="D397" s="2" t="str">
        <f>IFERROR(__xludf.DUMMYFUNCTION("""COMPUTED_VALUE"""),"DB3")</f>
        <v>DB3</v>
      </c>
      <c r="E397" s="2" t="str">
        <f>IFERROR(__xludf.DUMMYFUNCTION("""COMPUTED_VALUE"""),"Imported from file Digizag.xlsx")</f>
        <v>Imported from file Digizag.xlsx</v>
      </c>
      <c r="F397" s="2" t="str">
        <f>IFERROR(__xludf.DUMMYFUNCTION("""COMPUTED_VALUE"""),"LAV619820")</f>
        <v>LAV619820</v>
      </c>
      <c r="G397" s="2" t="str">
        <f>IFERROR(__xludf.DUMMYFUNCTION("""COMPUTED_VALUE"""),"Kingdom of Saudi Arabia")</f>
        <v>Kingdom of Saudi Arabia</v>
      </c>
      <c r="H397" s="4">
        <f>IFERROR(__xludf.DUMMYFUNCTION("""COMPUTED_VALUE"""),158.0)</f>
        <v>158</v>
      </c>
      <c r="I397" s="3">
        <f>IFERROR(__xludf.DUMMYFUNCTION("""COMPUTED_VALUE"""),0.0)</f>
        <v>0</v>
      </c>
      <c r="J397" s="4">
        <f>IFERROR(__xludf.DUMMYFUNCTION("""COMPUTED_VALUE"""),15.8)</f>
        <v>15.8</v>
      </c>
      <c r="K397" s="2"/>
      <c r="L397" s="2" t="str">
        <f>IFERROR(__xludf.DUMMYFUNCTION("""COMPUTED_VALUE"""),"Processing")</f>
        <v>Processing</v>
      </c>
      <c r="M397" s="2" t="str">
        <f>IFERROR(__xludf.DUMMYFUNCTION("""COMPUTED_VALUE"""),"")</f>
        <v></v>
      </c>
      <c r="N397" s="2" t="str">
        <f>IFERROR(__xludf.DUMMYFUNCTION("""COMPUTED_VALUE"""),"Pay in 4. No interest, no fees")</f>
        <v>Pay in 4. No interest, no fees</v>
      </c>
      <c r="O397" s="4">
        <f>IFERROR(__xludf.DUMMYFUNCTION("""COMPUTED_VALUE"""),0.0)</f>
        <v>0</v>
      </c>
      <c r="P397" s="2">
        <f>IFERROR(__xludf.DUMMYFUNCTION("""COMPUTED_VALUE"""),11.0)</f>
        <v>11</v>
      </c>
      <c r="Q397" s="2">
        <f>IFERROR(__xludf.DUMMYFUNCTION("""COMPUTED_VALUE"""),5.0)</f>
        <v>5</v>
      </c>
      <c r="R397" s="2">
        <f>IFERROR(__xludf.DUMMYFUNCTION("""COMPUTED_VALUE"""),2025.0)</f>
        <v>2025</v>
      </c>
      <c r="S397" s="2" t="str">
        <f>IFERROR(__xludf.DUMMYFUNCTION("""COMPUTED_VALUE"""),"Digizag")</f>
        <v>Digizag</v>
      </c>
      <c r="T397" s="2" t="str">
        <f>IFERROR(__xludf.DUMMYFUNCTION("""COMPUTED_VALUE"""),"Digizag")</f>
        <v>Digizag</v>
      </c>
      <c r="U397" s="5">
        <f>IFERROR(__xludf.DUMMYFUNCTION("""COMPUTED_VALUE"""),42.130075268000006)</f>
        <v>42.13007527</v>
      </c>
      <c r="V397" s="2"/>
      <c r="W397" s="2"/>
      <c r="X397" s="2"/>
      <c r="Y397" s="2"/>
      <c r="Z397" s="2"/>
    </row>
    <row r="398">
      <c r="A398" s="6">
        <f>IFERROR(__xludf.DUMMYFUNCTION("""COMPUTED_VALUE"""),45788.53216435185)</f>
        <v>45788.53216</v>
      </c>
      <c r="B398" s="2" t="str">
        <f>IFERROR(__xludf.DUMMYFUNCTION("""COMPUTED_VALUE"""),"May")</f>
        <v>May</v>
      </c>
      <c r="C398" s="3">
        <f>IFERROR(__xludf.DUMMYFUNCTION("""COMPUTED_VALUE"""),734747.0)</f>
        <v>734747</v>
      </c>
      <c r="D398" s="2" t="str">
        <f>IFERROR(__xludf.DUMMYFUNCTION("""COMPUTED_VALUE"""),"MNN16")</f>
        <v>MNN16</v>
      </c>
      <c r="E398" s="2" t="str">
        <f>IFERROR(__xludf.DUMMYFUNCTION("""COMPUTED_VALUE"""),"Imported from file DigiZag Bidding Codes.xlsx")</f>
        <v>Imported from file DigiZag Bidding Codes.xlsx</v>
      </c>
      <c r="F398" s="2" t="str">
        <f>IFERROR(__xludf.DUMMYFUNCTION("""COMPUTED_VALUE"""),"RMV794844")</f>
        <v>RMV794844</v>
      </c>
      <c r="G398" s="2" t="str">
        <f>IFERROR(__xludf.DUMMYFUNCTION("""COMPUTED_VALUE"""),"Kingdom of Saudi Arabia")</f>
        <v>Kingdom of Saudi Arabia</v>
      </c>
      <c r="H398" s="4">
        <f>IFERROR(__xludf.DUMMYFUNCTION("""COMPUTED_VALUE"""),270.57)</f>
        <v>270.57</v>
      </c>
      <c r="I398" s="3">
        <f>IFERROR(__xludf.DUMMYFUNCTION("""COMPUTED_VALUE"""),0.0)</f>
        <v>0</v>
      </c>
      <c r="J398" s="4">
        <f>IFERROR(__xludf.DUMMYFUNCTION("""COMPUTED_VALUE"""),27.05)</f>
        <v>27.05</v>
      </c>
      <c r="K398" s="2"/>
      <c r="L398" s="2" t="str">
        <f>IFERROR(__xludf.DUMMYFUNCTION("""COMPUTED_VALUE"""),"Delivered")</f>
        <v>Delivered</v>
      </c>
      <c r="M398" s="2" t="str">
        <f>IFERROR(__xludf.DUMMYFUNCTION("""COMPUTED_VALUE"""),"")</f>
        <v></v>
      </c>
      <c r="N398" s="2" t="str">
        <f>IFERROR(__xludf.DUMMYFUNCTION("""COMPUTED_VALUE"""),"Cash")</f>
        <v>Cash</v>
      </c>
      <c r="O398" s="4">
        <f>IFERROR(__xludf.DUMMYFUNCTION("""COMPUTED_VALUE"""),0.0)</f>
        <v>0</v>
      </c>
      <c r="P398" s="2">
        <f>IFERROR(__xludf.DUMMYFUNCTION("""COMPUTED_VALUE"""),11.0)</f>
        <v>11</v>
      </c>
      <c r="Q398" s="2">
        <f>IFERROR(__xludf.DUMMYFUNCTION("""COMPUTED_VALUE"""),5.0)</f>
        <v>5</v>
      </c>
      <c r="R398" s="2">
        <f>IFERROR(__xludf.DUMMYFUNCTION("""COMPUTED_VALUE"""),2025.0)</f>
        <v>2025</v>
      </c>
      <c r="S398" s="2" t="str">
        <f>IFERROR(__xludf.DUMMYFUNCTION("""COMPUTED_VALUE"""),"Digizag")</f>
        <v>Digizag</v>
      </c>
      <c r="T398" s="2" t="str">
        <f>IFERROR(__xludf.DUMMYFUNCTION("""COMPUTED_VALUE"""),"Digizag")</f>
        <v>Digizag</v>
      </c>
      <c r="U398" s="5">
        <f>IFERROR(__xludf.DUMMYFUNCTION("""COMPUTED_VALUE"""),72.14642066622001)</f>
        <v>72.14642067</v>
      </c>
      <c r="V398" s="2"/>
      <c r="W398" s="2"/>
      <c r="X398" s="2"/>
      <c r="Y398" s="2"/>
      <c r="Z398" s="2"/>
    </row>
    <row r="399">
      <c r="A399" s="6">
        <f>IFERROR(__xludf.DUMMYFUNCTION("""COMPUTED_VALUE"""),45788.56018518518)</f>
        <v>45788.56019</v>
      </c>
      <c r="B399" s="2" t="str">
        <f>IFERROR(__xludf.DUMMYFUNCTION("""COMPUTED_VALUE"""),"May")</f>
        <v>May</v>
      </c>
      <c r="C399" s="3">
        <f>IFERROR(__xludf.DUMMYFUNCTION("""COMPUTED_VALUE"""),734765.0)</f>
        <v>734765</v>
      </c>
      <c r="D399" s="2" t="str">
        <f>IFERROR(__xludf.DUMMYFUNCTION("""COMPUTED_VALUE"""),"MNN16")</f>
        <v>MNN16</v>
      </c>
      <c r="E399" s="2" t="str">
        <f>IFERROR(__xludf.DUMMYFUNCTION("""COMPUTED_VALUE"""),"Imported from file DigiZag Codes 25Feb25.xlsx")</f>
        <v>Imported from file DigiZag Codes 25Feb25.xlsx</v>
      </c>
      <c r="F399" s="2" t="str">
        <f>IFERROR(__xludf.DUMMYFUNCTION("""COMPUTED_VALUE"""),"MAA364551")</f>
        <v>MAA364551</v>
      </c>
      <c r="G399" s="2" t="str">
        <f>IFERROR(__xludf.DUMMYFUNCTION("""COMPUTED_VALUE"""),"UAE")</f>
        <v>UAE</v>
      </c>
      <c r="H399" s="4">
        <f>IFERROR(__xludf.DUMMYFUNCTION("""COMPUTED_VALUE"""),148.9)</f>
        <v>148.9</v>
      </c>
      <c r="I399" s="3">
        <f>IFERROR(__xludf.DUMMYFUNCTION("""COMPUTED_VALUE"""),0.0)</f>
        <v>0</v>
      </c>
      <c r="J399" s="4">
        <f>IFERROR(__xludf.DUMMYFUNCTION("""COMPUTED_VALUE"""),14.89)</f>
        <v>14.89</v>
      </c>
      <c r="K399" s="2"/>
      <c r="L399" s="2" t="str">
        <f>IFERROR(__xludf.DUMMYFUNCTION("""COMPUTED_VALUE"""),"Processing")</f>
        <v>Processing</v>
      </c>
      <c r="M399" s="2" t="str">
        <f>IFERROR(__xludf.DUMMYFUNCTION("""COMPUTED_VALUE"""),"")</f>
        <v></v>
      </c>
      <c r="N399" s="2" t="str">
        <f>IFERROR(__xludf.DUMMYFUNCTION("""COMPUTED_VALUE"""),"Tamara: split in 3, interest-free")</f>
        <v>Tamara: split in 3, interest-free</v>
      </c>
      <c r="O399" s="4">
        <f>IFERROR(__xludf.DUMMYFUNCTION("""COMPUTED_VALUE"""),0.0)</f>
        <v>0</v>
      </c>
      <c r="P399" s="2">
        <f>IFERROR(__xludf.DUMMYFUNCTION("""COMPUTED_VALUE"""),11.0)</f>
        <v>11</v>
      </c>
      <c r="Q399" s="2">
        <f>IFERROR(__xludf.DUMMYFUNCTION("""COMPUTED_VALUE"""),5.0)</f>
        <v>5</v>
      </c>
      <c r="R399" s="2">
        <f>IFERROR(__xludf.DUMMYFUNCTION("""COMPUTED_VALUE"""),2025.0)</f>
        <v>2025</v>
      </c>
      <c r="S399" s="2" t="str">
        <f>IFERROR(__xludf.DUMMYFUNCTION("""COMPUTED_VALUE"""),"Digizag")</f>
        <v>Digizag</v>
      </c>
      <c r="T399" s="2" t="str">
        <f>IFERROR(__xludf.DUMMYFUNCTION("""COMPUTED_VALUE"""),"Digizag")</f>
        <v>Digizag</v>
      </c>
      <c r="U399" s="5">
        <f>IFERROR(__xludf.DUMMYFUNCTION("""COMPUTED_VALUE"""),40.5445882142)</f>
        <v>40.54458821</v>
      </c>
      <c r="V399" s="2"/>
      <c r="W399" s="2"/>
      <c r="X399" s="2"/>
      <c r="Y399" s="2"/>
      <c r="Z399" s="2"/>
    </row>
    <row r="400">
      <c r="A400" s="6">
        <f>IFERROR(__xludf.DUMMYFUNCTION("""COMPUTED_VALUE"""),45789.6003125)</f>
        <v>45789.60031</v>
      </c>
      <c r="B400" s="2" t="str">
        <f>IFERROR(__xludf.DUMMYFUNCTION("""COMPUTED_VALUE"""),"May")</f>
        <v>May</v>
      </c>
      <c r="C400" s="3">
        <f>IFERROR(__xludf.DUMMYFUNCTION("""COMPUTED_VALUE"""),151726.0)</f>
        <v>151726</v>
      </c>
      <c r="D400" s="2" t="str">
        <f>IFERROR(__xludf.DUMMYFUNCTION("""COMPUTED_VALUE"""),"DB3")</f>
        <v>DB3</v>
      </c>
      <c r="E400" s="2" t="str">
        <f>IFERROR(__xludf.DUMMYFUNCTION("""COMPUTED_VALUE"""),"Imported from file Digizag.xlsx")</f>
        <v>Imported from file Digizag.xlsx</v>
      </c>
      <c r="F400" s="2" t="str">
        <f>IFERROR(__xludf.DUMMYFUNCTION("""COMPUTED_VALUE"""),"DUH420250")</f>
        <v>DUH420250</v>
      </c>
      <c r="G400" s="2" t="str">
        <f>IFERROR(__xludf.DUMMYFUNCTION("""COMPUTED_VALUE"""),"Kuwait")</f>
        <v>Kuwait</v>
      </c>
      <c r="H400" s="4">
        <f>IFERROR(__xludf.DUMMYFUNCTION("""COMPUTED_VALUE"""),13.354)</f>
        <v>13.354</v>
      </c>
      <c r="I400" s="3">
        <f>IFERROR(__xludf.DUMMYFUNCTION("""COMPUTED_VALUE"""),0.0)</f>
        <v>0</v>
      </c>
      <c r="J400" s="4">
        <f>IFERROR(__xludf.DUMMYFUNCTION("""COMPUTED_VALUE"""),1.335)</f>
        <v>1.335</v>
      </c>
      <c r="K400" s="2"/>
      <c r="L400" s="2" t="str">
        <f>IFERROR(__xludf.DUMMYFUNCTION("""COMPUTED_VALUE"""),"Delivered")</f>
        <v>Delivered</v>
      </c>
      <c r="M400" s="2" t="str">
        <f>IFERROR(__xludf.DUMMYFUNCTION("""COMPUTED_VALUE"""),"KD")</f>
        <v>KD</v>
      </c>
      <c r="N400" s="2" t="str">
        <f>IFERROR(__xludf.DUMMYFUNCTION("""COMPUTED_VALUE"""),"Credit, Debit, Knet")</f>
        <v>Credit, Debit, Knet</v>
      </c>
      <c r="O400" s="4">
        <f>IFERROR(__xludf.DUMMYFUNCTION("""COMPUTED_VALUE"""),0.0)</f>
        <v>0</v>
      </c>
      <c r="P400" s="2">
        <f>IFERROR(__xludf.DUMMYFUNCTION("""COMPUTED_VALUE"""),12.0)</f>
        <v>12</v>
      </c>
      <c r="Q400" s="2">
        <f>IFERROR(__xludf.DUMMYFUNCTION("""COMPUTED_VALUE"""),5.0)</f>
        <v>5</v>
      </c>
      <c r="R400" s="2">
        <f>IFERROR(__xludf.DUMMYFUNCTION("""COMPUTED_VALUE"""),2025.0)</f>
        <v>2025</v>
      </c>
      <c r="S400" s="2" t="str">
        <f>IFERROR(__xludf.DUMMYFUNCTION("""COMPUTED_VALUE"""),"Digizag")</f>
        <v>Digizag</v>
      </c>
      <c r="T400" s="2" t="str">
        <f>IFERROR(__xludf.DUMMYFUNCTION("""COMPUTED_VALUE"""),"Digizag")</f>
        <v>Digizag</v>
      </c>
      <c r="U400" s="5">
        <f>IFERROR(__xludf.DUMMYFUNCTION("""COMPUTED_VALUE"""),43.542319479999996)</f>
        <v>43.54231948</v>
      </c>
      <c r="V400" s="2"/>
      <c r="W400" s="2"/>
      <c r="X400" s="2"/>
      <c r="Y400" s="2"/>
      <c r="Z400" s="2"/>
    </row>
    <row r="401">
      <c r="A401" s="6">
        <f>IFERROR(__xludf.DUMMYFUNCTION("""COMPUTED_VALUE"""),45789.63929398148)</f>
        <v>45789.63929</v>
      </c>
      <c r="B401" s="2" t="str">
        <f>IFERROR(__xludf.DUMMYFUNCTION("""COMPUTED_VALUE"""),"May")</f>
        <v>May</v>
      </c>
      <c r="C401" s="3">
        <f>IFERROR(__xludf.DUMMYFUNCTION("""COMPUTED_VALUE"""),602316.0)</f>
        <v>602316</v>
      </c>
      <c r="D401" s="2" t="str">
        <f>IFERROR(__xludf.DUMMYFUNCTION("""COMPUTED_VALUE"""),"DB3")</f>
        <v>DB3</v>
      </c>
      <c r="E401" s="2" t="str">
        <f>IFERROR(__xludf.DUMMYFUNCTION("""COMPUTED_VALUE"""),"Imported from file Digizag.xlsx")</f>
        <v>Imported from file Digizag.xlsx</v>
      </c>
      <c r="F401" s="2" t="str">
        <f>IFERROR(__xludf.DUMMYFUNCTION("""COMPUTED_VALUE"""),"XZE615537")</f>
        <v>XZE615537</v>
      </c>
      <c r="G401" s="2" t="str">
        <f>IFERROR(__xludf.DUMMYFUNCTION("""COMPUTED_VALUE"""),"Kuwait")</f>
        <v>Kuwait</v>
      </c>
      <c r="H401" s="4">
        <f>IFERROR(__xludf.DUMMYFUNCTION("""COMPUTED_VALUE"""),9.5)</f>
        <v>9.5</v>
      </c>
      <c r="I401" s="3">
        <f>IFERROR(__xludf.DUMMYFUNCTION("""COMPUTED_VALUE"""),0.0)</f>
        <v>0</v>
      </c>
      <c r="J401" s="4">
        <f>IFERROR(__xludf.DUMMYFUNCTION("""COMPUTED_VALUE"""),0.95)</f>
        <v>0.95</v>
      </c>
      <c r="K401" s="2"/>
      <c r="L401" s="2" t="str">
        <f>IFERROR(__xludf.DUMMYFUNCTION("""COMPUTED_VALUE"""),"Delivered")</f>
        <v>Delivered</v>
      </c>
      <c r="M401" s="2" t="str">
        <f>IFERROR(__xludf.DUMMYFUNCTION("""COMPUTED_VALUE"""),"KD")</f>
        <v>KD</v>
      </c>
      <c r="N401" s="2" t="str">
        <f>IFERROR(__xludf.DUMMYFUNCTION("""COMPUTED_VALUE"""),"Credit, Debit, Knet")</f>
        <v>Credit, Debit, Knet</v>
      </c>
      <c r="O401" s="4">
        <f>IFERROR(__xludf.DUMMYFUNCTION("""COMPUTED_VALUE"""),0.0)</f>
        <v>0</v>
      </c>
      <c r="P401" s="2">
        <f>IFERROR(__xludf.DUMMYFUNCTION("""COMPUTED_VALUE"""),12.0)</f>
        <v>12</v>
      </c>
      <c r="Q401" s="2">
        <f>IFERROR(__xludf.DUMMYFUNCTION("""COMPUTED_VALUE"""),5.0)</f>
        <v>5</v>
      </c>
      <c r="R401" s="2">
        <f>IFERROR(__xludf.DUMMYFUNCTION("""COMPUTED_VALUE"""),2025.0)</f>
        <v>2025</v>
      </c>
      <c r="S401" s="2" t="str">
        <f>IFERROR(__xludf.DUMMYFUNCTION("""COMPUTED_VALUE"""),"Digizag")</f>
        <v>Digizag</v>
      </c>
      <c r="T401" s="2" t="str">
        <f>IFERROR(__xludf.DUMMYFUNCTION("""COMPUTED_VALUE"""),"Digizag")</f>
        <v>Digizag</v>
      </c>
      <c r="U401" s="5">
        <f>IFERROR(__xludf.DUMMYFUNCTION("""COMPUTED_VALUE"""),30.97589)</f>
        <v>30.97589</v>
      </c>
      <c r="V401" s="2"/>
      <c r="W401" s="2"/>
      <c r="X401" s="2"/>
      <c r="Y401" s="2"/>
      <c r="Z401" s="2"/>
    </row>
    <row r="402">
      <c r="A402" s="6">
        <f>IFERROR(__xludf.DUMMYFUNCTION("""COMPUTED_VALUE"""),45790.25157407407)</f>
        <v>45790.25157</v>
      </c>
      <c r="B402" s="2" t="str">
        <f>IFERROR(__xludf.DUMMYFUNCTION("""COMPUTED_VALUE"""),"May")</f>
        <v>May</v>
      </c>
      <c r="C402" s="3">
        <f>IFERROR(__xludf.DUMMYFUNCTION("""COMPUTED_VALUE"""),169904.0)</f>
        <v>169904</v>
      </c>
      <c r="D402" s="2" t="str">
        <f>IFERROR(__xludf.DUMMYFUNCTION("""COMPUTED_VALUE"""),"MNN16")</f>
        <v>MNN16</v>
      </c>
      <c r="E402" s="2" t="str">
        <f>IFERROR(__xludf.DUMMYFUNCTION("""COMPUTED_VALUE"""),"Imported from file DigiZag Codes 25Feb25.xlsx")</f>
        <v>Imported from file DigiZag Codes 25Feb25.xlsx</v>
      </c>
      <c r="F402" s="2" t="str">
        <f>IFERROR(__xludf.DUMMYFUNCTION("""COMPUTED_VALUE"""),"HJD865255")</f>
        <v>HJD865255</v>
      </c>
      <c r="G402" s="2" t="str">
        <f>IFERROR(__xludf.DUMMYFUNCTION("""COMPUTED_VALUE"""),"UAE")</f>
        <v>UAE</v>
      </c>
      <c r="H402" s="4">
        <f>IFERROR(__xludf.DUMMYFUNCTION("""COMPUTED_VALUE"""),94.0)</f>
        <v>94</v>
      </c>
      <c r="I402" s="3">
        <f>IFERROR(__xludf.DUMMYFUNCTION("""COMPUTED_VALUE"""),0.0)</f>
        <v>0</v>
      </c>
      <c r="J402" s="4">
        <f>IFERROR(__xludf.DUMMYFUNCTION("""COMPUTED_VALUE"""),9.4)</f>
        <v>9.4</v>
      </c>
      <c r="K402" s="2"/>
      <c r="L402" s="2" t="str">
        <f>IFERROR(__xludf.DUMMYFUNCTION("""COMPUTED_VALUE"""),"Processing")</f>
        <v>Processing</v>
      </c>
      <c r="M402" s="2" t="str">
        <f>IFERROR(__xludf.DUMMYFUNCTION("""COMPUTED_VALUE"""),"")</f>
        <v></v>
      </c>
      <c r="N402" s="2" t="str">
        <f>IFERROR(__xludf.DUMMYFUNCTION("""COMPUTED_VALUE"""),"Credit, Debit , Apple Pay")</f>
        <v>Credit, Debit , Apple Pay</v>
      </c>
      <c r="O402" s="4">
        <f>IFERROR(__xludf.DUMMYFUNCTION("""COMPUTED_VALUE"""),0.0)</f>
        <v>0</v>
      </c>
      <c r="P402" s="2">
        <f>IFERROR(__xludf.DUMMYFUNCTION("""COMPUTED_VALUE"""),13.0)</f>
        <v>13</v>
      </c>
      <c r="Q402" s="2">
        <f>IFERROR(__xludf.DUMMYFUNCTION("""COMPUTED_VALUE"""),5.0)</f>
        <v>5</v>
      </c>
      <c r="R402" s="2">
        <f>IFERROR(__xludf.DUMMYFUNCTION("""COMPUTED_VALUE"""),2025.0)</f>
        <v>2025</v>
      </c>
      <c r="S402" s="2" t="str">
        <f>IFERROR(__xludf.DUMMYFUNCTION("""COMPUTED_VALUE"""),"Digizag")</f>
        <v>Digizag</v>
      </c>
      <c r="T402" s="2" t="str">
        <f>IFERROR(__xludf.DUMMYFUNCTION("""COMPUTED_VALUE"""),"Digizag")</f>
        <v>Digizag</v>
      </c>
      <c r="U402" s="5">
        <f>IFERROR(__xludf.DUMMYFUNCTION("""COMPUTED_VALUE"""),25.595643331999998)</f>
        <v>25.59564333</v>
      </c>
      <c r="V402" s="2"/>
      <c r="W402" s="2"/>
      <c r="X402" s="2"/>
      <c r="Y402" s="2"/>
      <c r="Z402" s="2"/>
    </row>
    <row r="403">
      <c r="A403" s="6">
        <f>IFERROR(__xludf.DUMMYFUNCTION("""COMPUTED_VALUE"""),45790.59266203704)</f>
        <v>45790.59266</v>
      </c>
      <c r="B403" s="2" t="str">
        <f>IFERROR(__xludf.DUMMYFUNCTION("""COMPUTED_VALUE"""),"May")</f>
        <v>May</v>
      </c>
      <c r="C403" s="3">
        <f>IFERROR(__xludf.DUMMYFUNCTION("""COMPUTED_VALUE"""),576635.0)</f>
        <v>576635</v>
      </c>
      <c r="D403" s="2" t="str">
        <f>IFERROR(__xludf.DUMMYFUNCTION("""COMPUTED_VALUE"""),"RR22")</f>
        <v>RR22</v>
      </c>
      <c r="E403" s="2" t="str">
        <f>IFERROR(__xludf.DUMMYFUNCTION("""COMPUTED_VALUE"""),"Imported from file Digizag.xlsx")</f>
        <v>Imported from file Digizag.xlsx</v>
      </c>
      <c r="F403" s="2" t="str">
        <f>IFERROR(__xludf.DUMMYFUNCTION("""COMPUTED_VALUE"""),"URA589371")</f>
        <v>URA589371</v>
      </c>
      <c r="G403" s="2" t="str">
        <f>IFERROR(__xludf.DUMMYFUNCTION("""COMPUTED_VALUE"""),"UAE")</f>
        <v>UAE</v>
      </c>
      <c r="H403" s="4">
        <f>IFERROR(__xludf.DUMMYFUNCTION("""COMPUTED_VALUE"""),122.86)</f>
        <v>122.86</v>
      </c>
      <c r="I403" s="3">
        <f>IFERROR(__xludf.DUMMYFUNCTION("""COMPUTED_VALUE"""),0.0)</f>
        <v>0</v>
      </c>
      <c r="J403" s="4">
        <f>IFERROR(__xludf.DUMMYFUNCTION("""COMPUTED_VALUE"""),12.28)</f>
        <v>12.28</v>
      </c>
      <c r="K403" s="2"/>
      <c r="L403" s="2" t="str">
        <f>IFERROR(__xludf.DUMMYFUNCTION("""COMPUTED_VALUE"""),"Processing")</f>
        <v>Processing</v>
      </c>
      <c r="M403" s="2" t="str">
        <f>IFERROR(__xludf.DUMMYFUNCTION("""COMPUTED_VALUE"""),"")</f>
        <v></v>
      </c>
      <c r="N403" s="2" t="str">
        <f>IFERROR(__xludf.DUMMYFUNCTION("""COMPUTED_VALUE"""),"Credit, Debit , Apple Pay")</f>
        <v>Credit, Debit , Apple Pay</v>
      </c>
      <c r="O403" s="4">
        <f>IFERROR(__xludf.DUMMYFUNCTION("""COMPUTED_VALUE"""),0.0)</f>
        <v>0</v>
      </c>
      <c r="P403" s="2">
        <f>IFERROR(__xludf.DUMMYFUNCTION("""COMPUTED_VALUE"""),13.0)</f>
        <v>13</v>
      </c>
      <c r="Q403" s="2">
        <f>IFERROR(__xludf.DUMMYFUNCTION("""COMPUTED_VALUE"""),5.0)</f>
        <v>5</v>
      </c>
      <c r="R403" s="2">
        <f>IFERROR(__xludf.DUMMYFUNCTION("""COMPUTED_VALUE"""),2025.0)</f>
        <v>2025</v>
      </c>
      <c r="S403" s="2" t="str">
        <f>IFERROR(__xludf.DUMMYFUNCTION("""COMPUTED_VALUE"""),"Digizag")</f>
        <v>Digizag</v>
      </c>
      <c r="T403" s="2" t="str">
        <f>IFERROR(__xludf.DUMMYFUNCTION("""COMPUTED_VALUE"""),"Digizag")</f>
        <v>Digizag</v>
      </c>
      <c r="U403" s="5">
        <f>IFERROR(__xludf.DUMMYFUNCTION("""COMPUTED_VALUE"""),33.45405042308)</f>
        <v>33.45405042</v>
      </c>
      <c r="V403" s="2"/>
      <c r="W403" s="2"/>
      <c r="X403" s="2"/>
      <c r="Y403" s="2"/>
      <c r="Z403" s="2"/>
    </row>
    <row r="404">
      <c r="A404" s="6">
        <f>IFERROR(__xludf.DUMMYFUNCTION("""COMPUTED_VALUE"""),45790.71125)</f>
        <v>45790.71125</v>
      </c>
      <c r="B404" s="2" t="str">
        <f>IFERROR(__xludf.DUMMYFUNCTION("""COMPUTED_VALUE"""),"May")</f>
        <v>May</v>
      </c>
      <c r="C404" s="3">
        <f>IFERROR(__xludf.DUMMYFUNCTION("""COMPUTED_VALUE"""),592690.0)</f>
        <v>592690</v>
      </c>
      <c r="D404" s="2" t="str">
        <f>IFERROR(__xludf.DUMMYFUNCTION("""COMPUTED_VALUE"""),"MNN16")</f>
        <v>MNN16</v>
      </c>
      <c r="E404" s="2" t="str">
        <f>IFERROR(__xludf.DUMMYFUNCTION("""COMPUTED_VALUE"""),"Imported from file DigiZag Codes 25Feb25.xlsx")</f>
        <v>Imported from file DigiZag Codes 25Feb25.xlsx</v>
      </c>
      <c r="F404" s="2" t="str">
        <f>IFERROR(__xludf.DUMMYFUNCTION("""COMPUTED_VALUE"""),"LGA516249")</f>
        <v>LGA516249</v>
      </c>
      <c r="G404" s="2" t="str">
        <f>IFERROR(__xludf.DUMMYFUNCTION("""COMPUTED_VALUE"""),"Kuwait")</f>
        <v>Kuwait</v>
      </c>
      <c r="H404" s="4">
        <f>IFERROR(__xludf.DUMMYFUNCTION("""COMPUTED_VALUE"""),9.995)</f>
        <v>9.995</v>
      </c>
      <c r="I404" s="3">
        <f>IFERROR(__xludf.DUMMYFUNCTION("""COMPUTED_VALUE"""),0.0)</f>
        <v>0</v>
      </c>
      <c r="J404" s="4">
        <f>IFERROR(__xludf.DUMMYFUNCTION("""COMPUTED_VALUE"""),0.999)</f>
        <v>0.999</v>
      </c>
      <c r="K404" s="2"/>
      <c r="L404" s="2" t="str">
        <f>IFERROR(__xludf.DUMMYFUNCTION("""COMPUTED_VALUE"""),"Processing")</f>
        <v>Processing</v>
      </c>
      <c r="M404" s="2" t="str">
        <f>IFERROR(__xludf.DUMMYFUNCTION("""COMPUTED_VALUE"""),"KD")</f>
        <v>KD</v>
      </c>
      <c r="N404" s="2" t="str">
        <f>IFERROR(__xludf.DUMMYFUNCTION("""COMPUTED_VALUE"""),"Credit, Debit, Knet")</f>
        <v>Credit, Debit, Knet</v>
      </c>
      <c r="O404" s="4">
        <f>IFERROR(__xludf.DUMMYFUNCTION("""COMPUTED_VALUE"""),0.0)</f>
        <v>0</v>
      </c>
      <c r="P404" s="2">
        <f>IFERROR(__xludf.DUMMYFUNCTION("""COMPUTED_VALUE"""),13.0)</f>
        <v>13</v>
      </c>
      <c r="Q404" s="2">
        <f>IFERROR(__xludf.DUMMYFUNCTION("""COMPUTED_VALUE"""),5.0)</f>
        <v>5</v>
      </c>
      <c r="R404" s="2">
        <f>IFERROR(__xludf.DUMMYFUNCTION("""COMPUTED_VALUE"""),2025.0)</f>
        <v>2025</v>
      </c>
      <c r="S404" s="2" t="str">
        <f>IFERROR(__xludf.DUMMYFUNCTION("""COMPUTED_VALUE"""),"Digizag")</f>
        <v>Digizag</v>
      </c>
      <c r="T404" s="2" t="str">
        <f>IFERROR(__xludf.DUMMYFUNCTION("""COMPUTED_VALUE"""),"Digizag")</f>
        <v>Digizag</v>
      </c>
      <c r="U404" s="5">
        <f>IFERROR(__xludf.DUMMYFUNCTION("""COMPUTED_VALUE"""),32.5898969)</f>
        <v>32.5898969</v>
      </c>
      <c r="V404" s="2"/>
      <c r="W404" s="2"/>
      <c r="X404" s="2"/>
      <c r="Y404" s="2"/>
      <c r="Z404" s="2"/>
    </row>
    <row r="405">
      <c r="A405" s="6">
        <f>IFERROR(__xludf.DUMMYFUNCTION("""COMPUTED_VALUE"""),45790.758576388886)</f>
        <v>45790.75858</v>
      </c>
      <c r="B405" s="2" t="str">
        <f>IFERROR(__xludf.DUMMYFUNCTION("""COMPUTED_VALUE"""),"May")</f>
        <v>May</v>
      </c>
      <c r="C405" s="3">
        <f>IFERROR(__xludf.DUMMYFUNCTION("""COMPUTED_VALUE"""),735521.0)</f>
        <v>735521</v>
      </c>
      <c r="D405" s="2" t="str">
        <f>IFERROR(__xludf.DUMMYFUNCTION("""COMPUTED_VALUE"""),"MNN16")</f>
        <v>MNN16</v>
      </c>
      <c r="E405" s="2" t="str">
        <f>IFERROR(__xludf.DUMMYFUNCTION("""COMPUTED_VALUE"""),"Imported from file DigiZag Codes 25Feb25.xlsx")</f>
        <v>Imported from file DigiZag Codes 25Feb25.xlsx</v>
      </c>
      <c r="F405" s="2" t="str">
        <f>IFERROR(__xludf.DUMMYFUNCTION("""COMPUTED_VALUE"""),"GEZ750161")</f>
        <v>GEZ750161</v>
      </c>
      <c r="G405" s="2" t="str">
        <f>IFERROR(__xludf.DUMMYFUNCTION("""COMPUTED_VALUE"""),"Kuwait")</f>
        <v>Kuwait</v>
      </c>
      <c r="H405" s="4">
        <f>IFERROR(__xludf.DUMMYFUNCTION("""COMPUTED_VALUE"""),18.45)</f>
        <v>18.45</v>
      </c>
      <c r="I405" s="3">
        <f>IFERROR(__xludf.DUMMYFUNCTION("""COMPUTED_VALUE"""),0.0)</f>
        <v>0</v>
      </c>
      <c r="J405" s="4">
        <f>IFERROR(__xludf.DUMMYFUNCTION("""COMPUTED_VALUE"""),1.845)</f>
        <v>1.845</v>
      </c>
      <c r="K405" s="2"/>
      <c r="L405" s="2" t="str">
        <f>IFERROR(__xludf.DUMMYFUNCTION("""COMPUTED_VALUE"""),"Processing")</f>
        <v>Processing</v>
      </c>
      <c r="M405" s="2" t="str">
        <f>IFERROR(__xludf.DUMMYFUNCTION("""COMPUTED_VALUE"""),"KD")</f>
        <v>KD</v>
      </c>
      <c r="N405" s="2" t="str">
        <f>IFERROR(__xludf.DUMMYFUNCTION("""COMPUTED_VALUE"""),"Cash")</f>
        <v>Cash</v>
      </c>
      <c r="O405" s="4">
        <f>IFERROR(__xludf.DUMMYFUNCTION("""COMPUTED_VALUE"""),0.0)</f>
        <v>0</v>
      </c>
      <c r="P405" s="2">
        <f>IFERROR(__xludf.DUMMYFUNCTION("""COMPUTED_VALUE"""),13.0)</f>
        <v>13</v>
      </c>
      <c r="Q405" s="2">
        <f>IFERROR(__xludf.DUMMYFUNCTION("""COMPUTED_VALUE"""),5.0)</f>
        <v>5</v>
      </c>
      <c r="R405" s="2">
        <f>IFERROR(__xludf.DUMMYFUNCTION("""COMPUTED_VALUE"""),2025.0)</f>
        <v>2025</v>
      </c>
      <c r="S405" s="2" t="str">
        <f>IFERROR(__xludf.DUMMYFUNCTION("""COMPUTED_VALUE"""),"Digizag")</f>
        <v>Digizag</v>
      </c>
      <c r="T405" s="2" t="str">
        <f>IFERROR(__xludf.DUMMYFUNCTION("""COMPUTED_VALUE"""),"Digizag")</f>
        <v>Digizag</v>
      </c>
      <c r="U405" s="5">
        <f>IFERROR(__xludf.DUMMYFUNCTION("""COMPUTED_VALUE"""),60.158438999999994)</f>
        <v>60.158439</v>
      </c>
      <c r="V405" s="2"/>
      <c r="W405" s="2"/>
      <c r="X405" s="2"/>
      <c r="Y405" s="2"/>
      <c r="Z405" s="2"/>
    </row>
    <row r="406">
      <c r="A406" s="6">
        <f>IFERROR(__xludf.DUMMYFUNCTION("""COMPUTED_VALUE"""),45790.78142361111)</f>
        <v>45790.78142</v>
      </c>
      <c r="B406" s="2" t="str">
        <f>IFERROR(__xludf.DUMMYFUNCTION("""COMPUTED_VALUE"""),"May")</f>
        <v>May</v>
      </c>
      <c r="C406" s="3">
        <f>IFERROR(__xludf.DUMMYFUNCTION("""COMPUTED_VALUE"""),171770.0)</f>
        <v>171770</v>
      </c>
      <c r="D406" s="2" t="str">
        <f>IFERROR(__xludf.DUMMYFUNCTION("""COMPUTED_VALUE"""),"ZM22")</f>
        <v>ZM22</v>
      </c>
      <c r="E406" s="2" t="str">
        <f>IFERROR(__xludf.DUMMYFUNCTION("""COMPUTED_VALUE"""),"Imported from file Digizag.xlsx")</f>
        <v>Imported from file Digizag.xlsx</v>
      </c>
      <c r="F406" s="2" t="str">
        <f>IFERROR(__xludf.DUMMYFUNCTION("""COMPUTED_VALUE"""),"GPW117501")</f>
        <v>GPW117501</v>
      </c>
      <c r="G406" s="2" t="str">
        <f>IFERROR(__xludf.DUMMYFUNCTION("""COMPUTED_VALUE"""),"UAE")</f>
        <v>UAE</v>
      </c>
      <c r="H406" s="4">
        <f>IFERROR(__xludf.DUMMYFUNCTION("""COMPUTED_VALUE"""),170.0)</f>
        <v>170</v>
      </c>
      <c r="I406" s="3">
        <f>IFERROR(__xludf.DUMMYFUNCTION("""COMPUTED_VALUE"""),0.0)</f>
        <v>0</v>
      </c>
      <c r="J406" s="4">
        <f>IFERROR(__xludf.DUMMYFUNCTION("""COMPUTED_VALUE"""),17.0)</f>
        <v>17</v>
      </c>
      <c r="K406" s="2"/>
      <c r="L406" s="2" t="str">
        <f>IFERROR(__xludf.DUMMYFUNCTION("""COMPUTED_VALUE"""),"Processing")</f>
        <v>Processing</v>
      </c>
      <c r="M406" s="2" t="str">
        <f>IFERROR(__xludf.DUMMYFUNCTION("""COMPUTED_VALUE"""),"")</f>
        <v></v>
      </c>
      <c r="N406" s="2" t="str">
        <f>IFERROR(__xludf.DUMMYFUNCTION("""COMPUTED_VALUE"""),"Cash")</f>
        <v>Cash</v>
      </c>
      <c r="O406" s="4">
        <f>IFERROR(__xludf.DUMMYFUNCTION("""COMPUTED_VALUE"""),0.0)</f>
        <v>0</v>
      </c>
      <c r="P406" s="2">
        <f>IFERROR(__xludf.DUMMYFUNCTION("""COMPUTED_VALUE"""),13.0)</f>
        <v>13</v>
      </c>
      <c r="Q406" s="2">
        <f>IFERROR(__xludf.DUMMYFUNCTION("""COMPUTED_VALUE"""),5.0)</f>
        <v>5</v>
      </c>
      <c r="R406" s="2">
        <f>IFERROR(__xludf.DUMMYFUNCTION("""COMPUTED_VALUE"""),2025.0)</f>
        <v>2025</v>
      </c>
      <c r="S406" s="2" t="str">
        <f>IFERROR(__xludf.DUMMYFUNCTION("""COMPUTED_VALUE"""),"Digizag")</f>
        <v>Digizag</v>
      </c>
      <c r="T406" s="2" t="str">
        <f>IFERROR(__xludf.DUMMYFUNCTION("""COMPUTED_VALUE"""),"Digizag")</f>
        <v>Digizag</v>
      </c>
      <c r="U406" s="5">
        <f>IFERROR(__xludf.DUMMYFUNCTION("""COMPUTED_VALUE"""),46.289993259999996)</f>
        <v>46.28999326</v>
      </c>
      <c r="V406" s="2"/>
      <c r="W406" s="2"/>
      <c r="X406" s="2"/>
      <c r="Y406" s="2"/>
      <c r="Z406" s="2"/>
    </row>
    <row r="407">
      <c r="A407" s="6">
        <f>IFERROR(__xludf.DUMMYFUNCTION("""COMPUTED_VALUE"""),45790.8275)</f>
        <v>45790.8275</v>
      </c>
      <c r="B407" s="2" t="str">
        <f>IFERROR(__xludf.DUMMYFUNCTION("""COMPUTED_VALUE"""),"May")</f>
        <v>May</v>
      </c>
      <c r="C407" s="3">
        <f>IFERROR(__xludf.DUMMYFUNCTION("""COMPUTED_VALUE"""),611372.0)</f>
        <v>611372</v>
      </c>
      <c r="D407" s="2" t="str">
        <f>IFERROR(__xludf.DUMMYFUNCTION("""COMPUTED_VALUE"""),"ZM22")</f>
        <v>ZM22</v>
      </c>
      <c r="E407" s="2" t="str">
        <f>IFERROR(__xludf.DUMMYFUNCTION("""COMPUTED_VALUE"""),"Imported from file Digizag.xlsx")</f>
        <v>Imported from file Digizag.xlsx</v>
      </c>
      <c r="F407" s="2" t="str">
        <f>IFERROR(__xludf.DUMMYFUNCTION("""COMPUTED_VALUE"""),"NKN563577")</f>
        <v>NKN563577</v>
      </c>
      <c r="G407" s="2" t="str">
        <f>IFERROR(__xludf.DUMMYFUNCTION("""COMPUTED_VALUE"""),"UAE")</f>
        <v>UAE</v>
      </c>
      <c r="H407" s="4">
        <f>IFERROR(__xludf.DUMMYFUNCTION("""COMPUTED_VALUE"""),322.16)</f>
        <v>322.16</v>
      </c>
      <c r="I407" s="3">
        <f>IFERROR(__xludf.DUMMYFUNCTION("""COMPUTED_VALUE"""),0.0)</f>
        <v>0</v>
      </c>
      <c r="J407" s="4">
        <f>IFERROR(__xludf.DUMMYFUNCTION("""COMPUTED_VALUE"""),32.21)</f>
        <v>32.21</v>
      </c>
      <c r="K407" s="2"/>
      <c r="L407" s="2" t="str">
        <f>IFERROR(__xludf.DUMMYFUNCTION("""COMPUTED_VALUE"""),"Processing")</f>
        <v>Processing</v>
      </c>
      <c r="M407" s="2" t="str">
        <f>IFERROR(__xludf.DUMMYFUNCTION("""COMPUTED_VALUE"""),"")</f>
        <v></v>
      </c>
      <c r="N407" s="2" t="str">
        <f>IFERROR(__xludf.DUMMYFUNCTION("""COMPUTED_VALUE"""),"Credit, Debit , Apple Pay")</f>
        <v>Credit, Debit , Apple Pay</v>
      </c>
      <c r="O407" s="4">
        <f>IFERROR(__xludf.DUMMYFUNCTION("""COMPUTED_VALUE"""),0.0)</f>
        <v>0</v>
      </c>
      <c r="P407" s="2">
        <f>IFERROR(__xludf.DUMMYFUNCTION("""COMPUTED_VALUE"""),13.0)</f>
        <v>13</v>
      </c>
      <c r="Q407" s="2">
        <f>IFERROR(__xludf.DUMMYFUNCTION("""COMPUTED_VALUE"""),5.0)</f>
        <v>5</v>
      </c>
      <c r="R407" s="2">
        <f>IFERROR(__xludf.DUMMYFUNCTION("""COMPUTED_VALUE"""),2025.0)</f>
        <v>2025</v>
      </c>
      <c r="S407" s="2" t="str">
        <f>IFERROR(__xludf.DUMMYFUNCTION("""COMPUTED_VALUE"""),"Digizag")</f>
        <v>Digizag</v>
      </c>
      <c r="T407" s="2" t="str">
        <f>IFERROR(__xludf.DUMMYFUNCTION("""COMPUTED_VALUE"""),"Digizag")</f>
        <v>Digizag</v>
      </c>
      <c r="U407" s="5">
        <f>IFERROR(__xludf.DUMMYFUNCTION("""COMPUTED_VALUE"""),87.72226016848)</f>
        <v>87.72226017</v>
      </c>
      <c r="V407" s="2"/>
      <c r="W407" s="2"/>
      <c r="X407" s="2"/>
      <c r="Y407" s="2"/>
      <c r="Z407" s="2"/>
    </row>
    <row r="408">
      <c r="A408" s="6">
        <f>IFERROR(__xludf.DUMMYFUNCTION("""COMPUTED_VALUE"""),45790.925370370365)</f>
        <v>45790.92537</v>
      </c>
      <c r="B408" s="2" t="str">
        <f>IFERROR(__xludf.DUMMYFUNCTION("""COMPUTED_VALUE"""),"May")</f>
        <v>May</v>
      </c>
      <c r="C408" s="3">
        <f>IFERROR(__xludf.DUMMYFUNCTION("""COMPUTED_VALUE"""),435237.0)</f>
        <v>435237</v>
      </c>
      <c r="D408" s="2" t="str">
        <f>IFERROR(__xludf.DUMMYFUNCTION("""COMPUTED_VALUE"""),"MNN16")</f>
        <v>MNN16</v>
      </c>
      <c r="E408" s="2" t="str">
        <f>IFERROR(__xludf.DUMMYFUNCTION("""COMPUTED_VALUE"""),"Imported from file DigiZag Codes 25Feb25.xlsx")</f>
        <v>Imported from file DigiZag Codes 25Feb25.xlsx</v>
      </c>
      <c r="F408" s="2" t="str">
        <f>IFERROR(__xludf.DUMMYFUNCTION("""COMPUTED_VALUE"""),"UWN703136")</f>
        <v>UWN703136</v>
      </c>
      <c r="G408" s="2" t="str">
        <f>IFERROR(__xludf.DUMMYFUNCTION("""COMPUTED_VALUE"""),"Kuwait")</f>
        <v>Kuwait</v>
      </c>
      <c r="H408" s="4">
        <f>IFERROR(__xludf.DUMMYFUNCTION("""COMPUTED_VALUE"""),36.2)</f>
        <v>36.2</v>
      </c>
      <c r="I408" s="3">
        <f>IFERROR(__xludf.DUMMYFUNCTION("""COMPUTED_VALUE"""),0.0)</f>
        <v>0</v>
      </c>
      <c r="J408" s="4">
        <f>IFERROR(__xludf.DUMMYFUNCTION("""COMPUTED_VALUE"""),3.62)</f>
        <v>3.62</v>
      </c>
      <c r="K408" s="2"/>
      <c r="L408" s="2" t="str">
        <f>IFERROR(__xludf.DUMMYFUNCTION("""COMPUTED_VALUE"""),"Processing")</f>
        <v>Processing</v>
      </c>
      <c r="M408" s="2" t="str">
        <f>IFERROR(__xludf.DUMMYFUNCTION("""COMPUTED_VALUE"""),"KD")</f>
        <v>KD</v>
      </c>
      <c r="N408" s="2" t="str">
        <f>IFERROR(__xludf.DUMMYFUNCTION("""COMPUTED_VALUE"""),"Credit, Debit, Knet")</f>
        <v>Credit, Debit, Knet</v>
      </c>
      <c r="O408" s="4">
        <f>IFERROR(__xludf.DUMMYFUNCTION("""COMPUTED_VALUE"""),0.0)</f>
        <v>0</v>
      </c>
      <c r="P408" s="2">
        <f>IFERROR(__xludf.DUMMYFUNCTION("""COMPUTED_VALUE"""),13.0)</f>
        <v>13</v>
      </c>
      <c r="Q408" s="2">
        <f>IFERROR(__xludf.DUMMYFUNCTION("""COMPUTED_VALUE"""),5.0)</f>
        <v>5</v>
      </c>
      <c r="R408" s="2">
        <f>IFERROR(__xludf.DUMMYFUNCTION("""COMPUTED_VALUE"""),2025.0)</f>
        <v>2025</v>
      </c>
      <c r="S408" s="2" t="str">
        <f>IFERROR(__xludf.DUMMYFUNCTION("""COMPUTED_VALUE"""),"Digizag")</f>
        <v>Digizag</v>
      </c>
      <c r="T408" s="2" t="str">
        <f>IFERROR(__xludf.DUMMYFUNCTION("""COMPUTED_VALUE"""),"Digizag")</f>
        <v>Digizag</v>
      </c>
      <c r="U408" s="5">
        <f>IFERROR(__xludf.DUMMYFUNCTION("""COMPUTED_VALUE"""),118.03444400000001)</f>
        <v>118.034444</v>
      </c>
      <c r="V408" s="2"/>
      <c r="W408" s="2"/>
      <c r="X408" s="2"/>
      <c r="Y408" s="2"/>
      <c r="Z408" s="2"/>
    </row>
    <row r="409">
      <c r="A409" s="6">
        <f>IFERROR(__xludf.DUMMYFUNCTION("""COMPUTED_VALUE"""),45791.33128472222)</f>
        <v>45791.33128</v>
      </c>
      <c r="B409" s="2" t="str">
        <f>IFERROR(__xludf.DUMMYFUNCTION("""COMPUTED_VALUE"""),"May")</f>
        <v>May</v>
      </c>
      <c r="C409" s="3">
        <f>IFERROR(__xludf.DUMMYFUNCTION("""COMPUTED_VALUE"""),636801.0)</f>
        <v>636801</v>
      </c>
      <c r="D409" s="2" t="str">
        <f>IFERROR(__xludf.DUMMYFUNCTION("""COMPUTED_VALUE"""),"MNN16")</f>
        <v>MNN16</v>
      </c>
      <c r="E409" s="2" t="str">
        <f>IFERROR(__xludf.DUMMYFUNCTION("""COMPUTED_VALUE"""),"Imported from file DigiZag Codes 25Feb25.xlsx")</f>
        <v>Imported from file DigiZag Codes 25Feb25.xlsx</v>
      </c>
      <c r="F409" s="2" t="str">
        <f>IFERROR(__xludf.DUMMYFUNCTION("""COMPUTED_VALUE"""),"EYZ179013")</f>
        <v>EYZ179013</v>
      </c>
      <c r="G409" s="2" t="str">
        <f>IFERROR(__xludf.DUMMYFUNCTION("""COMPUTED_VALUE"""),"UAE")</f>
        <v>UAE</v>
      </c>
      <c r="H409" s="4">
        <f>IFERROR(__xludf.DUMMYFUNCTION("""COMPUTED_VALUE"""),327.95)</f>
        <v>327.95</v>
      </c>
      <c r="I409" s="3">
        <f>IFERROR(__xludf.DUMMYFUNCTION("""COMPUTED_VALUE"""),0.0)</f>
        <v>0</v>
      </c>
      <c r="J409" s="4">
        <f>IFERROR(__xludf.DUMMYFUNCTION("""COMPUTED_VALUE"""),32.78)</f>
        <v>32.78</v>
      </c>
      <c r="K409" s="2"/>
      <c r="L409" s="2" t="str">
        <f>IFERROR(__xludf.DUMMYFUNCTION("""COMPUTED_VALUE"""),"Processing")</f>
        <v>Processing</v>
      </c>
      <c r="M409" s="2" t="str">
        <f>IFERROR(__xludf.DUMMYFUNCTION("""COMPUTED_VALUE"""),"")</f>
        <v></v>
      </c>
      <c r="N409" s="2" t="str">
        <f>IFERROR(__xludf.DUMMYFUNCTION("""COMPUTED_VALUE"""),"Credit, Debit , Apple Pay")</f>
        <v>Credit, Debit , Apple Pay</v>
      </c>
      <c r="O409" s="4">
        <f>IFERROR(__xludf.DUMMYFUNCTION("""COMPUTED_VALUE"""),0.0)</f>
        <v>0</v>
      </c>
      <c r="P409" s="2">
        <f>IFERROR(__xludf.DUMMYFUNCTION("""COMPUTED_VALUE"""),14.0)</f>
        <v>14</v>
      </c>
      <c r="Q409" s="2">
        <f>IFERROR(__xludf.DUMMYFUNCTION("""COMPUTED_VALUE"""),5.0)</f>
        <v>5</v>
      </c>
      <c r="R409" s="2">
        <f>IFERROR(__xludf.DUMMYFUNCTION("""COMPUTED_VALUE"""),2025.0)</f>
        <v>2025</v>
      </c>
      <c r="S409" s="2" t="str">
        <f>IFERROR(__xludf.DUMMYFUNCTION("""COMPUTED_VALUE"""),"Digizag")</f>
        <v>Digizag</v>
      </c>
      <c r="T409" s="2" t="str">
        <f>IFERROR(__xludf.DUMMYFUNCTION("""COMPUTED_VALUE"""),"Digizag")</f>
        <v>Digizag</v>
      </c>
      <c r="U409" s="5">
        <f>IFERROR(__xludf.DUMMYFUNCTION("""COMPUTED_VALUE"""),89.2988428801)</f>
        <v>89.29884288</v>
      </c>
      <c r="V409" s="2"/>
      <c r="W409" s="2"/>
      <c r="X409" s="2"/>
      <c r="Y409" s="2"/>
      <c r="Z409" s="2"/>
    </row>
    <row r="410">
      <c r="A410" s="6">
        <f>IFERROR(__xludf.DUMMYFUNCTION("""COMPUTED_VALUE"""),45791.41097222222)</f>
        <v>45791.41097</v>
      </c>
      <c r="B410" s="2" t="str">
        <f>IFERROR(__xludf.DUMMYFUNCTION("""COMPUTED_VALUE"""),"May")</f>
        <v>May</v>
      </c>
      <c r="C410" s="3">
        <f>IFERROR(__xludf.DUMMYFUNCTION("""COMPUTED_VALUE"""),38837.0)</f>
        <v>38837</v>
      </c>
      <c r="D410" s="2" t="str">
        <f>IFERROR(__xludf.DUMMYFUNCTION("""COMPUTED_VALUE"""),"MNN16")</f>
        <v>MNN16</v>
      </c>
      <c r="E410" s="2" t="str">
        <f>IFERROR(__xludf.DUMMYFUNCTION("""COMPUTED_VALUE"""),"Imported from file DigiZag Bidding Codes.xlsx")</f>
        <v>Imported from file DigiZag Bidding Codes.xlsx</v>
      </c>
      <c r="F410" s="2" t="str">
        <f>IFERROR(__xludf.DUMMYFUNCTION("""COMPUTED_VALUE"""),"STX634894")</f>
        <v>STX634894</v>
      </c>
      <c r="G410" s="2" t="str">
        <f>IFERROR(__xludf.DUMMYFUNCTION("""COMPUTED_VALUE"""),"Kingdom of Saudi Arabia")</f>
        <v>Kingdom of Saudi Arabia</v>
      </c>
      <c r="H410" s="4">
        <f>IFERROR(__xludf.DUMMYFUNCTION("""COMPUTED_VALUE"""),214.3)</f>
        <v>214.3</v>
      </c>
      <c r="I410" s="3">
        <f>IFERROR(__xludf.DUMMYFUNCTION("""COMPUTED_VALUE"""),1.0)</f>
        <v>1</v>
      </c>
      <c r="J410" s="4">
        <f>IFERROR(__xludf.DUMMYFUNCTION("""COMPUTED_VALUE"""),30.0)</f>
        <v>30</v>
      </c>
      <c r="K410" s="2"/>
      <c r="L410" s="2" t="str">
        <f>IFERROR(__xludf.DUMMYFUNCTION("""COMPUTED_VALUE"""),"Partially Cancelled")</f>
        <v>Partially Cancelled</v>
      </c>
      <c r="M410" s="2" t="str">
        <f>IFERROR(__xludf.DUMMYFUNCTION("""COMPUTED_VALUE"""),"")</f>
        <v></v>
      </c>
      <c r="N410" s="2" t="str">
        <f>IFERROR(__xludf.DUMMYFUNCTION("""COMPUTED_VALUE"""),"Credit, Debit, Apple Pay")</f>
        <v>Credit, Debit, Apple Pay</v>
      </c>
      <c r="O410" s="4">
        <f>IFERROR(__xludf.DUMMYFUNCTION("""COMPUTED_VALUE"""),81.1)</f>
        <v>81.1</v>
      </c>
      <c r="P410" s="2">
        <f>IFERROR(__xludf.DUMMYFUNCTION("""COMPUTED_VALUE"""),14.0)</f>
        <v>14</v>
      </c>
      <c r="Q410" s="2">
        <f>IFERROR(__xludf.DUMMYFUNCTION("""COMPUTED_VALUE"""),5.0)</f>
        <v>5</v>
      </c>
      <c r="R410" s="2">
        <f>IFERROR(__xludf.DUMMYFUNCTION("""COMPUTED_VALUE"""),2025.0)</f>
        <v>2025</v>
      </c>
      <c r="S410" s="2" t="str">
        <f>IFERROR(__xludf.DUMMYFUNCTION("""COMPUTED_VALUE"""),"Digizag")</f>
        <v>Digizag</v>
      </c>
      <c r="T410" s="2" t="str">
        <f>IFERROR(__xludf.DUMMYFUNCTION("""COMPUTED_VALUE"""),"Digizag")</f>
        <v>Digizag</v>
      </c>
      <c r="U410" s="5">
        <f>IFERROR(__xludf.DUMMYFUNCTION("""COMPUTED_VALUE"""),57.142247657800006)</f>
        <v>57.14224766</v>
      </c>
      <c r="V410" s="2"/>
      <c r="W410" s="2"/>
      <c r="X410" s="2"/>
      <c r="Y410" s="2"/>
      <c r="Z410" s="2"/>
    </row>
    <row r="411">
      <c r="A411" s="6">
        <f>IFERROR(__xludf.DUMMYFUNCTION("""COMPUTED_VALUE"""),45791.435694444444)</f>
        <v>45791.43569</v>
      </c>
      <c r="B411" s="2" t="str">
        <f>IFERROR(__xludf.DUMMYFUNCTION("""COMPUTED_VALUE"""),"May")</f>
        <v>May</v>
      </c>
      <c r="C411" s="3">
        <f>IFERROR(__xludf.DUMMYFUNCTION("""COMPUTED_VALUE"""),64523.0)</f>
        <v>64523</v>
      </c>
      <c r="D411" s="2" t="str">
        <f>IFERROR(__xludf.DUMMYFUNCTION("""COMPUTED_VALUE"""),"DB1")</f>
        <v>DB1</v>
      </c>
      <c r="E411" s="2" t="str">
        <f>IFERROR(__xludf.DUMMYFUNCTION("""COMPUTED_VALUE"""),"Imported from file Digizag.xlsx")</f>
        <v>Imported from file Digizag.xlsx</v>
      </c>
      <c r="F411" s="2" t="str">
        <f>IFERROR(__xludf.DUMMYFUNCTION("""COMPUTED_VALUE"""),"BGE952617")</f>
        <v>BGE952617</v>
      </c>
      <c r="G411" s="2" t="str">
        <f>IFERROR(__xludf.DUMMYFUNCTION("""COMPUTED_VALUE"""),"Kingdom of Saudi Arabia")</f>
        <v>Kingdom of Saudi Arabia</v>
      </c>
      <c r="H411" s="4">
        <f>IFERROR(__xludf.DUMMYFUNCTION("""COMPUTED_VALUE"""),293.2)</f>
        <v>293.2</v>
      </c>
      <c r="I411" s="3">
        <f>IFERROR(__xludf.DUMMYFUNCTION("""COMPUTED_VALUE"""),0.0)</f>
        <v>0</v>
      </c>
      <c r="J411" s="4">
        <f>IFERROR(__xludf.DUMMYFUNCTION("""COMPUTED_VALUE"""),30.0)</f>
        <v>30</v>
      </c>
      <c r="K411" s="2"/>
      <c r="L411" s="2" t="str">
        <f>IFERROR(__xludf.DUMMYFUNCTION("""COMPUTED_VALUE"""),"Delivered")</f>
        <v>Delivered</v>
      </c>
      <c r="M411" s="2" t="str">
        <f>IFERROR(__xludf.DUMMYFUNCTION("""COMPUTED_VALUE"""),"")</f>
        <v></v>
      </c>
      <c r="N411" s="2" t="str">
        <f>IFERROR(__xludf.DUMMYFUNCTION("""COMPUTED_VALUE"""),"Credit, Debit, Apple Pay")</f>
        <v>Credit, Debit, Apple Pay</v>
      </c>
      <c r="O411" s="4">
        <f>IFERROR(__xludf.DUMMYFUNCTION("""COMPUTED_VALUE"""),0.0)</f>
        <v>0</v>
      </c>
      <c r="P411" s="2">
        <f>IFERROR(__xludf.DUMMYFUNCTION("""COMPUTED_VALUE"""),14.0)</f>
        <v>14</v>
      </c>
      <c r="Q411" s="2">
        <f>IFERROR(__xludf.DUMMYFUNCTION("""COMPUTED_VALUE"""),5.0)</f>
        <v>5</v>
      </c>
      <c r="R411" s="2">
        <f>IFERROR(__xludf.DUMMYFUNCTION("""COMPUTED_VALUE"""),2025.0)</f>
        <v>2025</v>
      </c>
      <c r="S411" s="2" t="str">
        <f>IFERROR(__xludf.DUMMYFUNCTION("""COMPUTED_VALUE"""),"Digizag")</f>
        <v>Digizag</v>
      </c>
      <c r="T411" s="2" t="str">
        <f>IFERROR(__xludf.DUMMYFUNCTION("""COMPUTED_VALUE"""),"Digizag")</f>
        <v>Digizag</v>
      </c>
      <c r="U411" s="5">
        <f>IFERROR(__xludf.DUMMYFUNCTION("""COMPUTED_VALUE"""),78.1806206872)</f>
        <v>78.18062069</v>
      </c>
      <c r="V411" s="2"/>
      <c r="W411" s="2"/>
      <c r="X411" s="2"/>
      <c r="Y411" s="2"/>
      <c r="Z411" s="2"/>
    </row>
    <row r="412">
      <c r="A412" s="6">
        <f>IFERROR(__xludf.DUMMYFUNCTION("""COMPUTED_VALUE"""),45791.44731481481)</f>
        <v>45791.44731</v>
      </c>
      <c r="B412" s="2" t="str">
        <f>IFERROR(__xludf.DUMMYFUNCTION("""COMPUTED_VALUE"""),"May")</f>
        <v>May</v>
      </c>
      <c r="C412" s="3">
        <f>IFERROR(__xludf.DUMMYFUNCTION("""COMPUTED_VALUE"""),607535.0)</f>
        <v>607535</v>
      </c>
      <c r="D412" s="2" t="str">
        <f>IFERROR(__xludf.DUMMYFUNCTION("""COMPUTED_VALUE"""),"MNN16")</f>
        <v>MNN16</v>
      </c>
      <c r="E412" s="2" t="str">
        <f>IFERROR(__xludf.DUMMYFUNCTION("""COMPUTED_VALUE"""),"Imported from file DigiZag Codes 25Feb25.xlsx")</f>
        <v>Imported from file DigiZag Codes 25Feb25.xlsx</v>
      </c>
      <c r="F412" s="2" t="str">
        <f>IFERROR(__xludf.DUMMYFUNCTION("""COMPUTED_VALUE"""),"XAR222979")</f>
        <v>XAR222979</v>
      </c>
      <c r="G412" s="2" t="str">
        <f>IFERROR(__xludf.DUMMYFUNCTION("""COMPUTED_VALUE"""),"Kuwait")</f>
        <v>Kuwait</v>
      </c>
      <c r="H412" s="4">
        <f>IFERROR(__xludf.DUMMYFUNCTION("""COMPUTED_VALUE"""),23.945)</f>
        <v>23.945</v>
      </c>
      <c r="I412" s="3">
        <f>IFERROR(__xludf.DUMMYFUNCTION("""COMPUTED_VALUE"""),0.0)</f>
        <v>0</v>
      </c>
      <c r="J412" s="4">
        <f>IFERROR(__xludf.DUMMYFUNCTION("""COMPUTED_VALUE"""),2.394)</f>
        <v>2.394</v>
      </c>
      <c r="K412" s="2"/>
      <c r="L412" s="2" t="str">
        <f>IFERROR(__xludf.DUMMYFUNCTION("""COMPUTED_VALUE"""),"Delivered")</f>
        <v>Delivered</v>
      </c>
      <c r="M412" s="2" t="str">
        <f>IFERROR(__xludf.DUMMYFUNCTION("""COMPUTED_VALUE"""),"KD")</f>
        <v>KD</v>
      </c>
      <c r="N412" s="2" t="str">
        <f>IFERROR(__xludf.DUMMYFUNCTION("""COMPUTED_VALUE"""),"Cash")</f>
        <v>Cash</v>
      </c>
      <c r="O412" s="4">
        <f>IFERROR(__xludf.DUMMYFUNCTION("""COMPUTED_VALUE"""),0.0)</f>
        <v>0</v>
      </c>
      <c r="P412" s="2">
        <f>IFERROR(__xludf.DUMMYFUNCTION("""COMPUTED_VALUE"""),14.0)</f>
        <v>14</v>
      </c>
      <c r="Q412" s="2">
        <f>IFERROR(__xludf.DUMMYFUNCTION("""COMPUTED_VALUE"""),5.0)</f>
        <v>5</v>
      </c>
      <c r="R412" s="2">
        <f>IFERROR(__xludf.DUMMYFUNCTION("""COMPUTED_VALUE"""),2025.0)</f>
        <v>2025</v>
      </c>
      <c r="S412" s="2" t="str">
        <f>IFERROR(__xludf.DUMMYFUNCTION("""COMPUTED_VALUE"""),"Digizag")</f>
        <v>Digizag</v>
      </c>
      <c r="T412" s="2" t="str">
        <f>IFERROR(__xludf.DUMMYFUNCTION("""COMPUTED_VALUE"""),"Digizag")</f>
        <v>Digizag</v>
      </c>
      <c r="U412" s="5">
        <f>IFERROR(__xludf.DUMMYFUNCTION("""COMPUTED_VALUE"""),78.0755459)</f>
        <v>78.0755459</v>
      </c>
      <c r="V412" s="2"/>
      <c r="W412" s="2"/>
      <c r="X412" s="2"/>
      <c r="Y412" s="2"/>
      <c r="Z412" s="2"/>
    </row>
    <row r="413">
      <c r="A413" s="6">
        <f>IFERROR(__xludf.DUMMYFUNCTION("""COMPUTED_VALUE"""),45791.458923611106)</f>
        <v>45791.45892</v>
      </c>
      <c r="B413" s="2" t="str">
        <f>IFERROR(__xludf.DUMMYFUNCTION("""COMPUTED_VALUE"""),"May")</f>
        <v>May</v>
      </c>
      <c r="C413" s="3">
        <f>IFERROR(__xludf.DUMMYFUNCTION("""COMPUTED_VALUE"""),131595.0)</f>
        <v>131595</v>
      </c>
      <c r="D413" s="2" t="str">
        <f>IFERROR(__xludf.DUMMYFUNCTION("""COMPUTED_VALUE"""),"MNN16")</f>
        <v>MNN16</v>
      </c>
      <c r="E413" s="2" t="str">
        <f>IFERROR(__xludf.DUMMYFUNCTION("""COMPUTED_VALUE"""),"Imported from file DigiZag Codes 25Feb25.xlsx")</f>
        <v>Imported from file DigiZag Codes 25Feb25.xlsx</v>
      </c>
      <c r="F413" s="2" t="str">
        <f>IFERROR(__xludf.DUMMYFUNCTION("""COMPUTED_VALUE"""),"NJB461845")</f>
        <v>NJB461845</v>
      </c>
      <c r="G413" s="2" t="str">
        <f>IFERROR(__xludf.DUMMYFUNCTION("""COMPUTED_VALUE"""),"Kuwait")</f>
        <v>Kuwait</v>
      </c>
      <c r="H413" s="4">
        <f>IFERROR(__xludf.DUMMYFUNCTION("""COMPUTED_VALUE"""),20.85)</f>
        <v>20.85</v>
      </c>
      <c r="I413" s="3">
        <f>IFERROR(__xludf.DUMMYFUNCTION("""COMPUTED_VALUE"""),0.0)</f>
        <v>0</v>
      </c>
      <c r="J413" s="4">
        <f>IFERROR(__xludf.DUMMYFUNCTION("""COMPUTED_VALUE"""),2.085)</f>
        <v>2.085</v>
      </c>
      <c r="K413" s="2"/>
      <c r="L413" s="2" t="str">
        <f>IFERROR(__xludf.DUMMYFUNCTION("""COMPUTED_VALUE"""),"Delivered")</f>
        <v>Delivered</v>
      </c>
      <c r="M413" s="2" t="str">
        <f>IFERROR(__xludf.DUMMYFUNCTION("""COMPUTED_VALUE"""),"KD")</f>
        <v>KD</v>
      </c>
      <c r="N413" s="2" t="str">
        <f>IFERROR(__xludf.DUMMYFUNCTION("""COMPUTED_VALUE"""),"Credit, Debit, Knet")</f>
        <v>Credit, Debit, Knet</v>
      </c>
      <c r="O413" s="4">
        <f>IFERROR(__xludf.DUMMYFUNCTION("""COMPUTED_VALUE"""),0.0)</f>
        <v>0</v>
      </c>
      <c r="P413" s="2">
        <f>IFERROR(__xludf.DUMMYFUNCTION("""COMPUTED_VALUE"""),14.0)</f>
        <v>14</v>
      </c>
      <c r="Q413" s="2">
        <f>IFERROR(__xludf.DUMMYFUNCTION("""COMPUTED_VALUE"""),5.0)</f>
        <v>5</v>
      </c>
      <c r="R413" s="2">
        <f>IFERROR(__xludf.DUMMYFUNCTION("""COMPUTED_VALUE"""),2025.0)</f>
        <v>2025</v>
      </c>
      <c r="S413" s="2" t="str">
        <f>IFERROR(__xludf.DUMMYFUNCTION("""COMPUTED_VALUE"""),"Digizag")</f>
        <v>Digizag</v>
      </c>
      <c r="T413" s="2" t="str">
        <f>IFERROR(__xludf.DUMMYFUNCTION("""COMPUTED_VALUE"""),"Digizag")</f>
        <v>Digizag</v>
      </c>
      <c r="U413" s="5">
        <f>IFERROR(__xludf.DUMMYFUNCTION("""COMPUTED_VALUE"""),67.98392700000001)</f>
        <v>67.983927</v>
      </c>
      <c r="V413" s="2"/>
      <c r="W413" s="2"/>
      <c r="X413" s="2"/>
      <c r="Y413" s="2"/>
      <c r="Z413" s="2"/>
    </row>
    <row r="414">
      <c r="A414" s="6">
        <f>IFERROR(__xludf.DUMMYFUNCTION("""COMPUTED_VALUE"""),45791.74621527777)</f>
        <v>45791.74622</v>
      </c>
      <c r="B414" s="2" t="str">
        <f>IFERROR(__xludf.DUMMYFUNCTION("""COMPUTED_VALUE"""),"May")</f>
        <v>May</v>
      </c>
      <c r="C414" s="3">
        <f>IFERROR(__xludf.DUMMYFUNCTION("""COMPUTED_VALUE"""),275937.0)</f>
        <v>275937</v>
      </c>
      <c r="D414" s="2" t="str">
        <f>IFERROR(__xludf.DUMMYFUNCTION("""COMPUTED_VALUE"""),"RR22")</f>
        <v>RR22</v>
      </c>
      <c r="E414" s="2" t="str">
        <f>IFERROR(__xludf.DUMMYFUNCTION("""COMPUTED_VALUE"""),"Imported from file Digizag.xlsx")</f>
        <v>Imported from file Digizag.xlsx</v>
      </c>
      <c r="F414" s="2" t="str">
        <f>IFERROR(__xludf.DUMMYFUNCTION("""COMPUTED_VALUE"""),"BJQ910554")</f>
        <v>BJQ910554</v>
      </c>
      <c r="G414" s="2" t="str">
        <f>IFERROR(__xludf.DUMMYFUNCTION("""COMPUTED_VALUE"""),"UAE")</f>
        <v>UAE</v>
      </c>
      <c r="H414" s="4">
        <f>IFERROR(__xludf.DUMMYFUNCTION("""COMPUTED_VALUE"""),62.0)</f>
        <v>62</v>
      </c>
      <c r="I414" s="3">
        <f>IFERROR(__xludf.DUMMYFUNCTION("""COMPUTED_VALUE"""),0.0)</f>
        <v>0</v>
      </c>
      <c r="J414" s="4">
        <f>IFERROR(__xludf.DUMMYFUNCTION("""COMPUTED_VALUE"""),6.2)</f>
        <v>6.2</v>
      </c>
      <c r="K414" s="2"/>
      <c r="L414" s="2" t="str">
        <f>IFERROR(__xludf.DUMMYFUNCTION("""COMPUTED_VALUE"""),"Processing")</f>
        <v>Processing</v>
      </c>
      <c r="M414" s="2" t="str">
        <f>IFERROR(__xludf.DUMMYFUNCTION("""COMPUTED_VALUE"""),"")</f>
        <v></v>
      </c>
      <c r="N414" s="2" t="str">
        <f>IFERROR(__xludf.DUMMYFUNCTION("""COMPUTED_VALUE"""),"Credit, Debit , Apple Pay")</f>
        <v>Credit, Debit , Apple Pay</v>
      </c>
      <c r="O414" s="4">
        <f>IFERROR(__xludf.DUMMYFUNCTION("""COMPUTED_VALUE"""),0.0)</f>
        <v>0</v>
      </c>
      <c r="P414" s="2">
        <f>IFERROR(__xludf.DUMMYFUNCTION("""COMPUTED_VALUE"""),14.0)</f>
        <v>14</v>
      </c>
      <c r="Q414" s="2">
        <f>IFERROR(__xludf.DUMMYFUNCTION("""COMPUTED_VALUE"""),5.0)</f>
        <v>5</v>
      </c>
      <c r="R414" s="2">
        <f>IFERROR(__xludf.DUMMYFUNCTION("""COMPUTED_VALUE"""),2025.0)</f>
        <v>2025</v>
      </c>
      <c r="S414" s="2" t="str">
        <f>IFERROR(__xludf.DUMMYFUNCTION("""COMPUTED_VALUE"""),"Digizag")</f>
        <v>Digizag</v>
      </c>
      <c r="T414" s="2" t="str">
        <f>IFERROR(__xludf.DUMMYFUNCTION("""COMPUTED_VALUE"""),"Digizag")</f>
        <v>Digizag</v>
      </c>
      <c r="U414" s="5">
        <f>IFERROR(__xludf.DUMMYFUNCTION("""COMPUTED_VALUE"""),16.882232836)</f>
        <v>16.88223284</v>
      </c>
      <c r="V414" s="2"/>
      <c r="W414" s="2"/>
      <c r="X414" s="2"/>
      <c r="Y414" s="2"/>
      <c r="Z414" s="2"/>
    </row>
    <row r="415">
      <c r="A415" s="6">
        <f>IFERROR(__xludf.DUMMYFUNCTION("""COMPUTED_VALUE"""),45791.747835648144)</f>
        <v>45791.74784</v>
      </c>
      <c r="B415" s="2" t="str">
        <f>IFERROR(__xludf.DUMMYFUNCTION("""COMPUTED_VALUE"""),"May")</f>
        <v>May</v>
      </c>
      <c r="C415" s="3">
        <f>IFERROR(__xludf.DUMMYFUNCTION("""COMPUTED_VALUE"""),40666.0)</f>
        <v>40666</v>
      </c>
      <c r="D415" s="2" t="str">
        <f>IFERROR(__xludf.DUMMYFUNCTION("""COMPUTED_VALUE"""),"DB3")</f>
        <v>DB3</v>
      </c>
      <c r="E415" s="2" t="str">
        <f>IFERROR(__xludf.DUMMYFUNCTION("""COMPUTED_VALUE"""),"Imported from file Digizag.xlsx")</f>
        <v>Imported from file Digizag.xlsx</v>
      </c>
      <c r="F415" s="2" t="str">
        <f>IFERROR(__xludf.DUMMYFUNCTION("""COMPUTED_VALUE"""),"QZU956687")</f>
        <v>QZU956687</v>
      </c>
      <c r="G415" s="2" t="str">
        <f>IFERROR(__xludf.DUMMYFUNCTION("""COMPUTED_VALUE"""),"Kuwait")</f>
        <v>Kuwait</v>
      </c>
      <c r="H415" s="4">
        <f>IFERROR(__xludf.DUMMYFUNCTION("""COMPUTED_VALUE"""),14.9)</f>
        <v>14.9</v>
      </c>
      <c r="I415" s="3">
        <f>IFERROR(__xludf.DUMMYFUNCTION("""COMPUTED_VALUE"""),0.0)</f>
        <v>0</v>
      </c>
      <c r="J415" s="4">
        <f>IFERROR(__xludf.DUMMYFUNCTION("""COMPUTED_VALUE"""),1.49)</f>
        <v>1.49</v>
      </c>
      <c r="K415" s="2"/>
      <c r="L415" s="2" t="str">
        <f>IFERROR(__xludf.DUMMYFUNCTION("""COMPUTED_VALUE"""),"Processing")</f>
        <v>Processing</v>
      </c>
      <c r="M415" s="2" t="str">
        <f>IFERROR(__xludf.DUMMYFUNCTION("""COMPUTED_VALUE"""),"KD")</f>
        <v>KD</v>
      </c>
      <c r="N415" s="2" t="str">
        <f>IFERROR(__xludf.DUMMYFUNCTION("""COMPUTED_VALUE"""),"Credit, Debit, Knet")</f>
        <v>Credit, Debit, Knet</v>
      </c>
      <c r="O415" s="4">
        <f>IFERROR(__xludf.DUMMYFUNCTION("""COMPUTED_VALUE"""),0.0)</f>
        <v>0</v>
      </c>
      <c r="P415" s="2">
        <f>IFERROR(__xludf.DUMMYFUNCTION("""COMPUTED_VALUE"""),14.0)</f>
        <v>14</v>
      </c>
      <c r="Q415" s="2">
        <f>IFERROR(__xludf.DUMMYFUNCTION("""COMPUTED_VALUE"""),5.0)</f>
        <v>5</v>
      </c>
      <c r="R415" s="2">
        <f>IFERROR(__xludf.DUMMYFUNCTION("""COMPUTED_VALUE"""),2025.0)</f>
        <v>2025</v>
      </c>
      <c r="S415" s="2" t="str">
        <f>IFERROR(__xludf.DUMMYFUNCTION("""COMPUTED_VALUE"""),"Digizag")</f>
        <v>Digizag</v>
      </c>
      <c r="T415" s="2" t="str">
        <f>IFERROR(__xludf.DUMMYFUNCTION("""COMPUTED_VALUE"""),"Digizag")</f>
        <v>Digizag</v>
      </c>
      <c r="U415" s="5">
        <f>IFERROR(__xludf.DUMMYFUNCTION("""COMPUTED_VALUE"""),48.583238)</f>
        <v>48.583238</v>
      </c>
      <c r="V415" s="2"/>
      <c r="W415" s="2"/>
      <c r="X415" s="2"/>
      <c r="Y415" s="2"/>
      <c r="Z415" s="2"/>
    </row>
    <row r="416">
      <c r="A416" s="6">
        <f>IFERROR(__xludf.DUMMYFUNCTION("""COMPUTED_VALUE"""),45791.87494212963)</f>
        <v>45791.87494</v>
      </c>
      <c r="B416" s="2" t="str">
        <f>IFERROR(__xludf.DUMMYFUNCTION("""COMPUTED_VALUE"""),"May")</f>
        <v>May</v>
      </c>
      <c r="C416" s="3">
        <f>IFERROR(__xludf.DUMMYFUNCTION("""COMPUTED_VALUE"""),736890.0)</f>
        <v>736890</v>
      </c>
      <c r="D416" s="2" t="str">
        <f>IFERROR(__xludf.DUMMYFUNCTION("""COMPUTED_VALUE"""),"ZM22")</f>
        <v>ZM22</v>
      </c>
      <c r="E416" s="2" t="str">
        <f>IFERROR(__xludf.DUMMYFUNCTION("""COMPUTED_VALUE"""),"Imported from file Digizag.xlsx")</f>
        <v>Imported from file Digizag.xlsx</v>
      </c>
      <c r="F416" s="2" t="str">
        <f>IFERROR(__xludf.DUMMYFUNCTION("""COMPUTED_VALUE"""),"JJL141966")</f>
        <v>JJL141966</v>
      </c>
      <c r="G416" s="2" t="str">
        <f>IFERROR(__xludf.DUMMYFUNCTION("""COMPUTED_VALUE"""),"UAE")</f>
        <v>UAE</v>
      </c>
      <c r="H416" s="4">
        <f>IFERROR(__xludf.DUMMYFUNCTION("""COMPUTED_VALUE"""),457.8)</f>
        <v>457.8</v>
      </c>
      <c r="I416" s="3">
        <f>IFERROR(__xludf.DUMMYFUNCTION("""COMPUTED_VALUE"""),0.0)</f>
        <v>0</v>
      </c>
      <c r="J416" s="4">
        <f>IFERROR(__xludf.DUMMYFUNCTION("""COMPUTED_VALUE"""),45.78)</f>
        <v>45.78</v>
      </c>
      <c r="K416" s="2"/>
      <c r="L416" s="2" t="str">
        <f>IFERROR(__xludf.DUMMYFUNCTION("""COMPUTED_VALUE"""),"Processing")</f>
        <v>Processing</v>
      </c>
      <c r="M416" s="2" t="str">
        <f>IFERROR(__xludf.DUMMYFUNCTION("""COMPUTED_VALUE"""),"")</f>
        <v></v>
      </c>
      <c r="N416" s="2" t="str">
        <f>IFERROR(__xludf.DUMMYFUNCTION("""COMPUTED_VALUE"""),"Credit, Debit , Apple Pay")</f>
        <v>Credit, Debit , Apple Pay</v>
      </c>
      <c r="O416" s="4">
        <f>IFERROR(__xludf.DUMMYFUNCTION("""COMPUTED_VALUE"""),0.0)</f>
        <v>0</v>
      </c>
      <c r="P416" s="2">
        <f>IFERROR(__xludf.DUMMYFUNCTION("""COMPUTED_VALUE"""),14.0)</f>
        <v>14</v>
      </c>
      <c r="Q416" s="2">
        <f>IFERROR(__xludf.DUMMYFUNCTION("""COMPUTED_VALUE"""),5.0)</f>
        <v>5</v>
      </c>
      <c r="R416" s="2">
        <f>IFERROR(__xludf.DUMMYFUNCTION("""COMPUTED_VALUE"""),2025.0)</f>
        <v>2025</v>
      </c>
      <c r="S416" s="2" t="str">
        <f>IFERROR(__xludf.DUMMYFUNCTION("""COMPUTED_VALUE"""),"Digizag")</f>
        <v>Digizag</v>
      </c>
      <c r="T416" s="2" t="str">
        <f>IFERROR(__xludf.DUMMYFUNCTION("""COMPUTED_VALUE"""),"Digizag")</f>
        <v>Digizag</v>
      </c>
      <c r="U416" s="5">
        <f>IFERROR(__xludf.DUMMYFUNCTION("""COMPUTED_VALUE"""),124.6562289084)</f>
        <v>124.6562289</v>
      </c>
      <c r="V416" s="2"/>
      <c r="W416" s="2"/>
      <c r="X416" s="2"/>
      <c r="Y416" s="2"/>
      <c r="Z416" s="2"/>
    </row>
    <row r="417">
      <c r="A417" s="6">
        <f>IFERROR(__xludf.DUMMYFUNCTION("""COMPUTED_VALUE"""),45792.13769675926)</f>
        <v>45792.1377</v>
      </c>
      <c r="B417" s="2" t="str">
        <f>IFERROR(__xludf.DUMMYFUNCTION("""COMPUTED_VALUE"""),"May")</f>
        <v>May</v>
      </c>
      <c r="C417" s="3">
        <f>IFERROR(__xludf.DUMMYFUNCTION("""COMPUTED_VALUE"""),736965.0)</f>
        <v>736965</v>
      </c>
      <c r="D417" s="2" t="str">
        <f>IFERROR(__xludf.DUMMYFUNCTION("""COMPUTED_VALUE"""),"ZM22")</f>
        <v>ZM22</v>
      </c>
      <c r="E417" s="2" t="str">
        <f>IFERROR(__xludf.DUMMYFUNCTION("""COMPUTED_VALUE"""),"Imported from file Digizag.xlsx")</f>
        <v>Imported from file Digizag.xlsx</v>
      </c>
      <c r="F417" s="2" t="str">
        <f>IFERROR(__xludf.DUMMYFUNCTION("""COMPUTED_VALUE"""),"AGC938491")</f>
        <v>AGC938491</v>
      </c>
      <c r="G417" s="2" t="str">
        <f>IFERROR(__xludf.DUMMYFUNCTION("""COMPUTED_VALUE"""),"UAE")</f>
        <v>UAE</v>
      </c>
      <c r="H417" s="4">
        <f>IFERROR(__xludf.DUMMYFUNCTION("""COMPUTED_VALUE"""),398.0)</f>
        <v>398</v>
      </c>
      <c r="I417" s="3">
        <f>IFERROR(__xludf.DUMMYFUNCTION("""COMPUTED_VALUE"""),0.0)</f>
        <v>0</v>
      </c>
      <c r="J417" s="4">
        <f>IFERROR(__xludf.DUMMYFUNCTION("""COMPUTED_VALUE"""),39.8)</f>
        <v>39.8</v>
      </c>
      <c r="K417" s="2"/>
      <c r="L417" s="2" t="str">
        <f>IFERROR(__xludf.DUMMYFUNCTION("""COMPUTED_VALUE"""),"Delivered")</f>
        <v>Delivered</v>
      </c>
      <c r="M417" s="2" t="str">
        <f>IFERROR(__xludf.DUMMYFUNCTION("""COMPUTED_VALUE"""),"")</f>
        <v></v>
      </c>
      <c r="N417" s="2" t="str">
        <f>IFERROR(__xludf.DUMMYFUNCTION("""COMPUTED_VALUE"""),"Credit, Debit , Apple Pay")</f>
        <v>Credit, Debit , Apple Pay</v>
      </c>
      <c r="O417" s="4">
        <f>IFERROR(__xludf.DUMMYFUNCTION("""COMPUTED_VALUE"""),0.0)</f>
        <v>0</v>
      </c>
      <c r="P417" s="2">
        <f>IFERROR(__xludf.DUMMYFUNCTION("""COMPUTED_VALUE"""),15.0)</f>
        <v>15</v>
      </c>
      <c r="Q417" s="2">
        <f>IFERROR(__xludf.DUMMYFUNCTION("""COMPUTED_VALUE"""),5.0)</f>
        <v>5</v>
      </c>
      <c r="R417" s="2">
        <f>IFERROR(__xludf.DUMMYFUNCTION("""COMPUTED_VALUE"""),2025.0)</f>
        <v>2025</v>
      </c>
      <c r="S417" s="2" t="str">
        <f>IFERROR(__xludf.DUMMYFUNCTION("""COMPUTED_VALUE"""),"Digizag")</f>
        <v>Digizag</v>
      </c>
      <c r="T417" s="2" t="str">
        <f>IFERROR(__xludf.DUMMYFUNCTION("""COMPUTED_VALUE"""),"Digizag")</f>
        <v>Digizag</v>
      </c>
      <c r="U417" s="5">
        <f>IFERROR(__xludf.DUMMYFUNCTION("""COMPUTED_VALUE"""),108.373043044)</f>
        <v>108.373043</v>
      </c>
      <c r="V417" s="2"/>
      <c r="W417" s="2"/>
      <c r="X417" s="2"/>
      <c r="Y417" s="2"/>
      <c r="Z417" s="2"/>
    </row>
    <row r="418">
      <c r="A418" s="6">
        <f>IFERROR(__xludf.DUMMYFUNCTION("""COMPUTED_VALUE"""),45792.31358796296)</f>
        <v>45792.31359</v>
      </c>
      <c r="B418" s="2" t="str">
        <f>IFERROR(__xludf.DUMMYFUNCTION("""COMPUTED_VALUE"""),"May")</f>
        <v>May</v>
      </c>
      <c r="C418" s="3">
        <f>IFERROR(__xludf.DUMMYFUNCTION("""COMPUTED_VALUE"""),353085.0)</f>
        <v>353085</v>
      </c>
      <c r="D418" s="2" t="str">
        <f>IFERROR(__xludf.DUMMYFUNCTION("""COMPUTED_VALUE"""),"ZM22")</f>
        <v>ZM22</v>
      </c>
      <c r="E418" s="2" t="str">
        <f>IFERROR(__xludf.DUMMYFUNCTION("""COMPUTED_VALUE"""),"Imported from file Digizag.xlsx")</f>
        <v>Imported from file Digizag.xlsx</v>
      </c>
      <c r="F418" s="2" t="str">
        <f>IFERROR(__xludf.DUMMYFUNCTION("""COMPUTED_VALUE"""),"RQZ563481")</f>
        <v>RQZ563481</v>
      </c>
      <c r="G418" s="2" t="str">
        <f>IFERROR(__xludf.DUMMYFUNCTION("""COMPUTED_VALUE"""),"UAE")</f>
        <v>UAE</v>
      </c>
      <c r="H418" s="4">
        <f>IFERROR(__xludf.DUMMYFUNCTION("""COMPUTED_VALUE"""),696.74)</f>
        <v>696.74</v>
      </c>
      <c r="I418" s="3">
        <f>IFERROR(__xludf.DUMMYFUNCTION("""COMPUTED_VALUE"""),0.0)</f>
        <v>0</v>
      </c>
      <c r="J418" s="4">
        <f>IFERROR(__xludf.DUMMYFUNCTION("""COMPUTED_VALUE"""),69.66)</f>
        <v>69.66</v>
      </c>
      <c r="K418" s="2"/>
      <c r="L418" s="2" t="str">
        <f>IFERROR(__xludf.DUMMYFUNCTION("""COMPUTED_VALUE"""),"Processing")</f>
        <v>Processing</v>
      </c>
      <c r="M418" s="2" t="str">
        <f>IFERROR(__xludf.DUMMYFUNCTION("""COMPUTED_VALUE"""),"")</f>
        <v></v>
      </c>
      <c r="N418" s="2" t="str">
        <f>IFERROR(__xludf.DUMMYFUNCTION("""COMPUTED_VALUE"""),"Credit, Debit , Apple Pay")</f>
        <v>Credit, Debit , Apple Pay</v>
      </c>
      <c r="O418" s="4">
        <f>IFERROR(__xludf.DUMMYFUNCTION("""COMPUTED_VALUE"""),0.0)</f>
        <v>0</v>
      </c>
      <c r="P418" s="2">
        <f>IFERROR(__xludf.DUMMYFUNCTION("""COMPUTED_VALUE"""),15.0)</f>
        <v>15</v>
      </c>
      <c r="Q418" s="2">
        <f>IFERROR(__xludf.DUMMYFUNCTION("""COMPUTED_VALUE"""),5.0)</f>
        <v>5</v>
      </c>
      <c r="R418" s="2">
        <f>IFERROR(__xludf.DUMMYFUNCTION("""COMPUTED_VALUE"""),2025.0)</f>
        <v>2025</v>
      </c>
      <c r="S418" s="2" t="str">
        <f>IFERROR(__xludf.DUMMYFUNCTION("""COMPUTED_VALUE"""),"Digizag")</f>
        <v>Digizag</v>
      </c>
      <c r="T418" s="2" t="str">
        <f>IFERROR(__xludf.DUMMYFUNCTION("""COMPUTED_VALUE"""),"Digizag")</f>
        <v>Digizag</v>
      </c>
      <c r="U418" s="5">
        <f>IFERROR(__xludf.DUMMYFUNCTION("""COMPUTED_VALUE"""),189.71817590572)</f>
        <v>189.7181759</v>
      </c>
      <c r="V418" s="2"/>
      <c r="W418" s="2"/>
      <c r="X418" s="2"/>
      <c r="Y418" s="2"/>
      <c r="Z418" s="2"/>
    </row>
    <row r="419">
      <c r="A419" s="6">
        <f>IFERROR(__xludf.DUMMYFUNCTION("""COMPUTED_VALUE"""),45792.45847222222)</f>
        <v>45792.45847</v>
      </c>
      <c r="B419" s="2" t="str">
        <f>IFERROR(__xludf.DUMMYFUNCTION("""COMPUTED_VALUE"""),"May")</f>
        <v>May</v>
      </c>
      <c r="C419" s="3">
        <f>IFERROR(__xludf.DUMMYFUNCTION("""COMPUTED_VALUE"""),104730.0)</f>
        <v>104730</v>
      </c>
      <c r="D419" s="2" t="str">
        <f>IFERROR(__xludf.DUMMYFUNCTION("""COMPUTED_VALUE"""),"RR22")</f>
        <v>RR22</v>
      </c>
      <c r="E419" s="2" t="str">
        <f>IFERROR(__xludf.DUMMYFUNCTION("""COMPUTED_VALUE"""),"Imported from file Digizag.xlsx")</f>
        <v>Imported from file Digizag.xlsx</v>
      </c>
      <c r="F419" s="2" t="str">
        <f>IFERROR(__xludf.DUMMYFUNCTION("""COMPUTED_VALUE"""),"WPJ316307")</f>
        <v>WPJ316307</v>
      </c>
      <c r="G419" s="2" t="str">
        <f>IFERROR(__xludf.DUMMYFUNCTION("""COMPUTED_VALUE"""),"UAE")</f>
        <v>UAE</v>
      </c>
      <c r="H419" s="4">
        <f>IFERROR(__xludf.DUMMYFUNCTION("""COMPUTED_VALUE"""),152.0)</f>
        <v>152</v>
      </c>
      <c r="I419" s="3">
        <f>IFERROR(__xludf.DUMMYFUNCTION("""COMPUTED_VALUE"""),0.0)</f>
        <v>0</v>
      </c>
      <c r="J419" s="4">
        <f>IFERROR(__xludf.DUMMYFUNCTION("""COMPUTED_VALUE"""),15.2)</f>
        <v>15.2</v>
      </c>
      <c r="K419" s="2"/>
      <c r="L419" s="2" t="str">
        <f>IFERROR(__xludf.DUMMYFUNCTION("""COMPUTED_VALUE"""),"Delivered")</f>
        <v>Delivered</v>
      </c>
      <c r="M419" s="2" t="str">
        <f>IFERROR(__xludf.DUMMYFUNCTION("""COMPUTED_VALUE"""),"")</f>
        <v></v>
      </c>
      <c r="N419" s="2" t="str">
        <f>IFERROR(__xludf.DUMMYFUNCTION("""COMPUTED_VALUE"""),"Credit, Debit , Apple Pay")</f>
        <v>Credit, Debit , Apple Pay</v>
      </c>
      <c r="O419" s="4">
        <f>IFERROR(__xludf.DUMMYFUNCTION("""COMPUTED_VALUE"""),0.0)</f>
        <v>0</v>
      </c>
      <c r="P419" s="2">
        <f>IFERROR(__xludf.DUMMYFUNCTION("""COMPUTED_VALUE"""),15.0)</f>
        <v>15</v>
      </c>
      <c r="Q419" s="2">
        <f>IFERROR(__xludf.DUMMYFUNCTION("""COMPUTED_VALUE"""),5.0)</f>
        <v>5</v>
      </c>
      <c r="R419" s="2">
        <f>IFERROR(__xludf.DUMMYFUNCTION("""COMPUTED_VALUE"""),2025.0)</f>
        <v>2025</v>
      </c>
      <c r="S419" s="2" t="str">
        <f>IFERROR(__xludf.DUMMYFUNCTION("""COMPUTED_VALUE"""),"Digizag")</f>
        <v>Digizag</v>
      </c>
      <c r="T419" s="2" t="str">
        <f>IFERROR(__xludf.DUMMYFUNCTION("""COMPUTED_VALUE"""),"Digizag")</f>
        <v>Digizag</v>
      </c>
      <c r="U419" s="5">
        <f>IFERROR(__xludf.DUMMYFUNCTION("""COMPUTED_VALUE"""),41.388699856)</f>
        <v>41.38869986</v>
      </c>
      <c r="V419" s="2"/>
      <c r="W419" s="2"/>
      <c r="X419" s="2"/>
      <c r="Y419" s="2"/>
      <c r="Z419" s="2"/>
    </row>
    <row r="420">
      <c r="A420" s="6">
        <f>IFERROR(__xludf.DUMMYFUNCTION("""COMPUTED_VALUE"""),45792.65965277777)</f>
        <v>45792.65965</v>
      </c>
      <c r="B420" s="2" t="str">
        <f>IFERROR(__xludf.DUMMYFUNCTION("""COMPUTED_VALUE"""),"May")</f>
        <v>May</v>
      </c>
      <c r="C420" s="3">
        <f>IFERROR(__xludf.DUMMYFUNCTION("""COMPUTED_VALUE"""),296436.0)</f>
        <v>296436</v>
      </c>
      <c r="D420" s="2" t="str">
        <f>IFERROR(__xludf.DUMMYFUNCTION("""COMPUTED_VALUE"""),"MNN16")</f>
        <v>MNN16</v>
      </c>
      <c r="E420" s="2" t="str">
        <f>IFERROR(__xludf.DUMMYFUNCTION("""COMPUTED_VALUE"""),"Imported from file DigiZag Codes 25Feb25.xlsx")</f>
        <v>Imported from file DigiZag Codes 25Feb25.xlsx</v>
      </c>
      <c r="F420" s="2" t="str">
        <f>IFERROR(__xludf.DUMMYFUNCTION("""COMPUTED_VALUE"""),"LNT511581")</f>
        <v>LNT511581</v>
      </c>
      <c r="G420" s="2" t="str">
        <f>IFERROR(__xludf.DUMMYFUNCTION("""COMPUTED_VALUE"""),"UAE")</f>
        <v>UAE</v>
      </c>
      <c r="H420" s="4">
        <f>IFERROR(__xludf.DUMMYFUNCTION("""COMPUTED_VALUE"""),67.6)</f>
        <v>67.6</v>
      </c>
      <c r="I420" s="3">
        <f>IFERROR(__xludf.DUMMYFUNCTION("""COMPUTED_VALUE"""),0.0)</f>
        <v>0</v>
      </c>
      <c r="J420" s="4">
        <f>IFERROR(__xludf.DUMMYFUNCTION("""COMPUTED_VALUE"""),6.76)</f>
        <v>6.76</v>
      </c>
      <c r="K420" s="2"/>
      <c r="L420" s="2" t="str">
        <f>IFERROR(__xludf.DUMMYFUNCTION("""COMPUTED_VALUE"""),"Processing")</f>
        <v>Processing</v>
      </c>
      <c r="M420" s="2" t="str">
        <f>IFERROR(__xludf.DUMMYFUNCTION("""COMPUTED_VALUE"""),"")</f>
        <v></v>
      </c>
      <c r="N420" s="2" t="str">
        <f>IFERROR(__xludf.DUMMYFUNCTION("""COMPUTED_VALUE"""),"Credit, Debit , Apple Pay")</f>
        <v>Credit, Debit , Apple Pay</v>
      </c>
      <c r="O420" s="4">
        <f>IFERROR(__xludf.DUMMYFUNCTION("""COMPUTED_VALUE"""),0.0)</f>
        <v>0</v>
      </c>
      <c r="P420" s="2">
        <f>IFERROR(__xludf.DUMMYFUNCTION("""COMPUTED_VALUE"""),15.0)</f>
        <v>15</v>
      </c>
      <c r="Q420" s="2">
        <f>IFERROR(__xludf.DUMMYFUNCTION("""COMPUTED_VALUE"""),5.0)</f>
        <v>5</v>
      </c>
      <c r="R420" s="2">
        <f>IFERROR(__xludf.DUMMYFUNCTION("""COMPUTED_VALUE"""),2025.0)</f>
        <v>2025</v>
      </c>
      <c r="S420" s="2" t="str">
        <f>IFERROR(__xludf.DUMMYFUNCTION("""COMPUTED_VALUE"""),"Digizag")</f>
        <v>Digizag</v>
      </c>
      <c r="T420" s="2" t="str">
        <f>IFERROR(__xludf.DUMMYFUNCTION("""COMPUTED_VALUE"""),"Digizag")</f>
        <v>Digizag</v>
      </c>
      <c r="U420" s="5">
        <f>IFERROR(__xludf.DUMMYFUNCTION("""COMPUTED_VALUE"""),18.4070796728)</f>
        <v>18.40707967</v>
      </c>
      <c r="V420" s="2"/>
      <c r="W420" s="2"/>
      <c r="X420" s="2"/>
      <c r="Y420" s="2"/>
      <c r="Z420" s="2"/>
    </row>
    <row r="421">
      <c r="A421" s="6">
        <f>IFERROR(__xludf.DUMMYFUNCTION("""COMPUTED_VALUE"""),45792.96466435185)</f>
        <v>45792.96466</v>
      </c>
      <c r="B421" s="2" t="str">
        <f>IFERROR(__xludf.DUMMYFUNCTION("""COMPUTED_VALUE"""),"May")</f>
        <v>May</v>
      </c>
      <c r="C421" s="3">
        <f>IFERROR(__xludf.DUMMYFUNCTION("""COMPUTED_VALUE"""),152222.0)</f>
        <v>152222</v>
      </c>
      <c r="D421" s="2" t="str">
        <f>IFERROR(__xludf.DUMMYFUNCTION("""COMPUTED_VALUE"""),"MNN16")</f>
        <v>MNN16</v>
      </c>
      <c r="E421" s="2" t="str">
        <f>IFERROR(__xludf.DUMMYFUNCTION("""COMPUTED_VALUE"""),"Imported from file DigiZag Codes 25Feb25.xlsx")</f>
        <v>Imported from file DigiZag Codes 25Feb25.xlsx</v>
      </c>
      <c r="F421" s="2" t="str">
        <f>IFERROR(__xludf.DUMMYFUNCTION("""COMPUTED_VALUE"""),"QGU430280")</f>
        <v>QGU430280</v>
      </c>
      <c r="G421" s="2" t="str">
        <f>IFERROR(__xludf.DUMMYFUNCTION("""COMPUTED_VALUE"""),"Kuwait")</f>
        <v>Kuwait</v>
      </c>
      <c r="H421" s="4">
        <f>IFERROR(__xludf.DUMMYFUNCTION("""COMPUTED_VALUE"""),14.5)</f>
        <v>14.5</v>
      </c>
      <c r="I421" s="3">
        <f>IFERROR(__xludf.DUMMYFUNCTION("""COMPUTED_VALUE"""),0.0)</f>
        <v>0</v>
      </c>
      <c r="J421" s="4">
        <f>IFERROR(__xludf.DUMMYFUNCTION("""COMPUTED_VALUE"""),1.45)</f>
        <v>1.45</v>
      </c>
      <c r="K421" s="2"/>
      <c r="L421" s="2" t="str">
        <f>IFERROR(__xludf.DUMMYFUNCTION("""COMPUTED_VALUE"""),"Processing")</f>
        <v>Processing</v>
      </c>
      <c r="M421" s="2" t="str">
        <f>IFERROR(__xludf.DUMMYFUNCTION("""COMPUTED_VALUE"""),"KD")</f>
        <v>KD</v>
      </c>
      <c r="N421" s="2" t="str">
        <f>IFERROR(__xludf.DUMMYFUNCTION("""COMPUTED_VALUE"""),"Credit, Debit, Knet")</f>
        <v>Credit, Debit, Knet</v>
      </c>
      <c r="O421" s="4">
        <f>IFERROR(__xludf.DUMMYFUNCTION("""COMPUTED_VALUE"""),0.0)</f>
        <v>0</v>
      </c>
      <c r="P421" s="2">
        <f>IFERROR(__xludf.DUMMYFUNCTION("""COMPUTED_VALUE"""),15.0)</f>
        <v>15</v>
      </c>
      <c r="Q421" s="2">
        <f>IFERROR(__xludf.DUMMYFUNCTION("""COMPUTED_VALUE"""),5.0)</f>
        <v>5</v>
      </c>
      <c r="R421" s="2">
        <f>IFERROR(__xludf.DUMMYFUNCTION("""COMPUTED_VALUE"""),2025.0)</f>
        <v>2025</v>
      </c>
      <c r="S421" s="2" t="str">
        <f>IFERROR(__xludf.DUMMYFUNCTION("""COMPUTED_VALUE"""),"Digizag")</f>
        <v>Digizag</v>
      </c>
      <c r="T421" s="2" t="str">
        <f>IFERROR(__xludf.DUMMYFUNCTION("""COMPUTED_VALUE"""),"Digizag")</f>
        <v>Digizag</v>
      </c>
      <c r="U421" s="5">
        <f>IFERROR(__xludf.DUMMYFUNCTION("""COMPUTED_VALUE"""),47.27899)</f>
        <v>47.27899</v>
      </c>
      <c r="V421" s="2"/>
      <c r="W421" s="2"/>
      <c r="X421" s="2"/>
      <c r="Y421" s="2"/>
      <c r="Z421" s="2"/>
    </row>
    <row r="422">
      <c r="A422" s="6">
        <f>IFERROR(__xludf.DUMMYFUNCTION("""COMPUTED_VALUE"""),45793.36898148148)</f>
        <v>45793.36898</v>
      </c>
      <c r="B422" s="2" t="str">
        <f>IFERROR(__xludf.DUMMYFUNCTION("""COMPUTED_VALUE"""),"May")</f>
        <v>May</v>
      </c>
      <c r="C422" s="3">
        <f>IFERROR(__xludf.DUMMYFUNCTION("""COMPUTED_VALUE"""),26323.0)</f>
        <v>26323</v>
      </c>
      <c r="D422" s="2" t="str">
        <f>IFERROR(__xludf.DUMMYFUNCTION("""COMPUTED_VALUE"""),"ZM22")</f>
        <v>ZM22</v>
      </c>
      <c r="E422" s="2" t="str">
        <f>IFERROR(__xludf.DUMMYFUNCTION("""COMPUTED_VALUE"""),"Imported from file Digizag.xlsx")</f>
        <v>Imported from file Digizag.xlsx</v>
      </c>
      <c r="F422" s="2" t="str">
        <f>IFERROR(__xludf.DUMMYFUNCTION("""COMPUTED_VALUE"""),"CZN410777")</f>
        <v>CZN410777</v>
      </c>
      <c r="G422" s="2" t="str">
        <f>IFERROR(__xludf.DUMMYFUNCTION("""COMPUTED_VALUE"""),"UAE")</f>
        <v>UAE</v>
      </c>
      <c r="H422" s="4">
        <f>IFERROR(__xludf.DUMMYFUNCTION("""COMPUTED_VALUE"""),349.0)</f>
        <v>349</v>
      </c>
      <c r="I422" s="3">
        <f>IFERROR(__xludf.DUMMYFUNCTION("""COMPUTED_VALUE"""),0.0)</f>
        <v>0</v>
      </c>
      <c r="J422" s="4">
        <f>IFERROR(__xludf.DUMMYFUNCTION("""COMPUTED_VALUE"""),34.9)</f>
        <v>34.9</v>
      </c>
      <c r="K422" s="2"/>
      <c r="L422" s="2" t="str">
        <f>IFERROR(__xludf.DUMMYFUNCTION("""COMPUTED_VALUE"""),"Delivered")</f>
        <v>Delivered</v>
      </c>
      <c r="M422" s="2" t="str">
        <f>IFERROR(__xludf.DUMMYFUNCTION("""COMPUTED_VALUE"""),"")</f>
        <v></v>
      </c>
      <c r="N422" s="2" t="str">
        <f>IFERROR(__xludf.DUMMYFUNCTION("""COMPUTED_VALUE"""),"Credit, Debit , Apple Pay")</f>
        <v>Credit, Debit , Apple Pay</v>
      </c>
      <c r="O422" s="4">
        <f>IFERROR(__xludf.DUMMYFUNCTION("""COMPUTED_VALUE"""),0.0)</f>
        <v>0</v>
      </c>
      <c r="P422" s="2">
        <f>IFERROR(__xludf.DUMMYFUNCTION("""COMPUTED_VALUE"""),16.0)</f>
        <v>16</v>
      </c>
      <c r="Q422" s="2">
        <f>IFERROR(__xludf.DUMMYFUNCTION("""COMPUTED_VALUE"""),5.0)</f>
        <v>5</v>
      </c>
      <c r="R422" s="2">
        <f>IFERROR(__xludf.DUMMYFUNCTION("""COMPUTED_VALUE"""),2025.0)</f>
        <v>2025</v>
      </c>
      <c r="S422" s="2" t="str">
        <f>IFERROR(__xludf.DUMMYFUNCTION("""COMPUTED_VALUE"""),"Digizag")</f>
        <v>Digizag</v>
      </c>
      <c r="T422" s="2" t="str">
        <f>IFERROR(__xludf.DUMMYFUNCTION("""COMPUTED_VALUE"""),"Digizag")</f>
        <v>Digizag</v>
      </c>
      <c r="U422" s="5">
        <f>IFERROR(__xludf.DUMMYFUNCTION("""COMPUTED_VALUE"""),95.03063322199999)</f>
        <v>95.03063322</v>
      </c>
      <c r="V422" s="2"/>
      <c r="W422" s="2"/>
      <c r="X422" s="2"/>
      <c r="Y422" s="2"/>
      <c r="Z422" s="2"/>
    </row>
    <row r="423">
      <c r="A423" s="6">
        <f>IFERROR(__xludf.DUMMYFUNCTION("""COMPUTED_VALUE"""),45793.44893518518)</f>
        <v>45793.44894</v>
      </c>
      <c r="B423" s="2" t="str">
        <f>IFERROR(__xludf.DUMMYFUNCTION("""COMPUTED_VALUE"""),"May")</f>
        <v>May</v>
      </c>
      <c r="C423" s="3">
        <f>IFERROR(__xludf.DUMMYFUNCTION("""COMPUTED_VALUE"""),462486.0)</f>
        <v>462486</v>
      </c>
      <c r="D423" s="2" t="str">
        <f>IFERROR(__xludf.DUMMYFUNCTION("""COMPUTED_VALUE"""),"DB1")</f>
        <v>DB1</v>
      </c>
      <c r="E423" s="2" t="str">
        <f>IFERROR(__xludf.DUMMYFUNCTION("""COMPUTED_VALUE"""),"Imported from file Digizag.xlsx")</f>
        <v>Imported from file Digizag.xlsx</v>
      </c>
      <c r="F423" s="2" t="str">
        <f>IFERROR(__xludf.DUMMYFUNCTION("""COMPUTED_VALUE"""),"TXM932862")</f>
        <v>TXM932862</v>
      </c>
      <c r="G423" s="2" t="str">
        <f>IFERROR(__xludf.DUMMYFUNCTION("""COMPUTED_VALUE"""),"Kuwait")</f>
        <v>Kuwait</v>
      </c>
      <c r="H423" s="4">
        <f>IFERROR(__xludf.DUMMYFUNCTION("""COMPUTED_VALUE"""),7.1)</f>
        <v>7.1</v>
      </c>
      <c r="I423" s="3">
        <f>IFERROR(__xludf.DUMMYFUNCTION("""COMPUTED_VALUE"""),0.0)</f>
        <v>0</v>
      </c>
      <c r="J423" s="4">
        <f>IFERROR(__xludf.DUMMYFUNCTION("""COMPUTED_VALUE"""),0.71)</f>
        <v>0.71</v>
      </c>
      <c r="K423" s="2"/>
      <c r="L423" s="2" t="str">
        <f>IFERROR(__xludf.DUMMYFUNCTION("""COMPUTED_VALUE"""),"Delivered")</f>
        <v>Delivered</v>
      </c>
      <c r="M423" s="2" t="str">
        <f>IFERROR(__xludf.DUMMYFUNCTION("""COMPUTED_VALUE"""),"KD")</f>
        <v>KD</v>
      </c>
      <c r="N423" s="2" t="str">
        <f>IFERROR(__xludf.DUMMYFUNCTION("""COMPUTED_VALUE"""),"Credit, Debit, Knet")</f>
        <v>Credit, Debit, Knet</v>
      </c>
      <c r="O423" s="4">
        <f>IFERROR(__xludf.DUMMYFUNCTION("""COMPUTED_VALUE"""),0.0)</f>
        <v>0</v>
      </c>
      <c r="P423" s="2">
        <f>IFERROR(__xludf.DUMMYFUNCTION("""COMPUTED_VALUE"""),16.0)</f>
        <v>16</v>
      </c>
      <c r="Q423" s="2">
        <f>IFERROR(__xludf.DUMMYFUNCTION("""COMPUTED_VALUE"""),5.0)</f>
        <v>5</v>
      </c>
      <c r="R423" s="2">
        <f>IFERROR(__xludf.DUMMYFUNCTION("""COMPUTED_VALUE"""),2025.0)</f>
        <v>2025</v>
      </c>
      <c r="S423" s="2" t="str">
        <f>IFERROR(__xludf.DUMMYFUNCTION("""COMPUTED_VALUE"""),"Digizag")</f>
        <v>Digizag</v>
      </c>
      <c r="T423" s="2" t="str">
        <f>IFERROR(__xludf.DUMMYFUNCTION("""COMPUTED_VALUE"""),"Digizag")</f>
        <v>Digizag</v>
      </c>
      <c r="U423" s="5">
        <f>IFERROR(__xludf.DUMMYFUNCTION("""COMPUTED_VALUE"""),23.150401999999996)</f>
        <v>23.150402</v>
      </c>
      <c r="V423" s="2"/>
      <c r="W423" s="2"/>
      <c r="X423" s="2"/>
      <c r="Y423" s="2"/>
      <c r="Z423" s="2"/>
    </row>
    <row r="424">
      <c r="A424" s="6">
        <f>IFERROR(__xludf.DUMMYFUNCTION("""COMPUTED_VALUE"""),45793.88864583333)</f>
        <v>45793.88865</v>
      </c>
      <c r="B424" s="2" t="str">
        <f>IFERROR(__xludf.DUMMYFUNCTION("""COMPUTED_VALUE"""),"May")</f>
        <v>May</v>
      </c>
      <c r="C424" s="3">
        <f>IFERROR(__xludf.DUMMYFUNCTION("""COMPUTED_VALUE"""),129255.0)</f>
        <v>129255</v>
      </c>
      <c r="D424" s="2" t="str">
        <f>IFERROR(__xludf.DUMMYFUNCTION("""COMPUTED_VALUE"""),"MNN16")</f>
        <v>MNN16</v>
      </c>
      <c r="E424" s="2" t="str">
        <f>IFERROR(__xludf.DUMMYFUNCTION("""COMPUTED_VALUE"""),"Imported from file DigiZag Bidding Codes.xlsx")</f>
        <v>Imported from file DigiZag Bidding Codes.xlsx</v>
      </c>
      <c r="F424" s="2" t="str">
        <f>IFERROR(__xludf.DUMMYFUNCTION("""COMPUTED_VALUE"""),"NKB981340")</f>
        <v>NKB981340</v>
      </c>
      <c r="G424" s="2" t="str">
        <f>IFERROR(__xludf.DUMMYFUNCTION("""COMPUTED_VALUE"""),"Kingdom of Saudi Arabia")</f>
        <v>Kingdom of Saudi Arabia</v>
      </c>
      <c r="H424" s="4">
        <f>IFERROR(__xludf.DUMMYFUNCTION("""COMPUTED_VALUE"""),147.7)</f>
        <v>147.7</v>
      </c>
      <c r="I424" s="3">
        <f>IFERROR(__xludf.DUMMYFUNCTION("""COMPUTED_VALUE"""),0.0)</f>
        <v>0</v>
      </c>
      <c r="J424" s="4">
        <f>IFERROR(__xludf.DUMMYFUNCTION("""COMPUTED_VALUE"""),30.0)</f>
        <v>30</v>
      </c>
      <c r="K424" s="2"/>
      <c r="L424" s="2" t="str">
        <f>IFERROR(__xludf.DUMMYFUNCTION("""COMPUTED_VALUE"""),"Processing")</f>
        <v>Processing</v>
      </c>
      <c r="M424" s="2" t="str">
        <f>IFERROR(__xludf.DUMMYFUNCTION("""COMPUTED_VALUE"""),"")</f>
        <v></v>
      </c>
      <c r="N424" s="2" t="str">
        <f>IFERROR(__xludf.DUMMYFUNCTION("""COMPUTED_VALUE"""),"Credit, Debit, Apple Pay")</f>
        <v>Credit, Debit, Apple Pay</v>
      </c>
      <c r="O424" s="4">
        <f>IFERROR(__xludf.DUMMYFUNCTION("""COMPUTED_VALUE"""),0.0)</f>
        <v>0</v>
      </c>
      <c r="P424" s="2">
        <f>IFERROR(__xludf.DUMMYFUNCTION("""COMPUTED_VALUE"""),16.0)</f>
        <v>16</v>
      </c>
      <c r="Q424" s="2">
        <f>IFERROR(__xludf.DUMMYFUNCTION("""COMPUTED_VALUE"""),5.0)</f>
        <v>5</v>
      </c>
      <c r="R424" s="2">
        <f>IFERROR(__xludf.DUMMYFUNCTION("""COMPUTED_VALUE"""),2025.0)</f>
        <v>2025</v>
      </c>
      <c r="S424" s="2" t="str">
        <f>IFERROR(__xludf.DUMMYFUNCTION("""COMPUTED_VALUE"""),"Digizag")</f>
        <v>Digizag</v>
      </c>
      <c r="T424" s="2" t="str">
        <f>IFERROR(__xludf.DUMMYFUNCTION("""COMPUTED_VALUE"""),"Digizag")</f>
        <v>Digizag</v>
      </c>
      <c r="U424" s="5">
        <f>IFERROR(__xludf.DUMMYFUNCTION("""COMPUTED_VALUE"""),39.3836209942)</f>
        <v>39.38362099</v>
      </c>
      <c r="V424" s="2"/>
      <c r="W424" s="2"/>
      <c r="X424" s="2"/>
      <c r="Y424" s="2"/>
      <c r="Z424" s="2"/>
    </row>
    <row r="425">
      <c r="A425" s="6">
        <f>IFERROR(__xludf.DUMMYFUNCTION("""COMPUTED_VALUE"""),45794.360821759255)</f>
        <v>45794.36082</v>
      </c>
      <c r="B425" s="2" t="str">
        <f>IFERROR(__xludf.DUMMYFUNCTION("""COMPUTED_VALUE"""),"May")</f>
        <v>May</v>
      </c>
      <c r="C425" s="3">
        <f>IFERROR(__xludf.DUMMYFUNCTION("""COMPUTED_VALUE"""),414892.0)</f>
        <v>414892</v>
      </c>
      <c r="D425" s="2" t="str">
        <f>IFERROR(__xludf.DUMMYFUNCTION("""COMPUTED_VALUE"""),"NAA10")</f>
        <v>NAA10</v>
      </c>
      <c r="E425" s="2" t="str">
        <f>IFERROR(__xludf.DUMMYFUNCTION("""COMPUTED_VALUE"""),"Imported from file DigiZag Bidding Codes.xlsx")</f>
        <v>Imported from file DigiZag Bidding Codes.xlsx</v>
      </c>
      <c r="F425" s="2" t="str">
        <f>IFERROR(__xludf.DUMMYFUNCTION("""COMPUTED_VALUE"""),"YUP743927")</f>
        <v>YUP743927</v>
      </c>
      <c r="G425" s="2" t="str">
        <f>IFERROR(__xludf.DUMMYFUNCTION("""COMPUTED_VALUE"""),"Kingdom of Saudi Arabia")</f>
        <v>Kingdom of Saudi Arabia</v>
      </c>
      <c r="H425" s="4">
        <f>IFERROR(__xludf.DUMMYFUNCTION("""COMPUTED_VALUE"""),144.13)</f>
        <v>144.13</v>
      </c>
      <c r="I425" s="3">
        <f>IFERROR(__xludf.DUMMYFUNCTION("""COMPUTED_VALUE"""),0.0)</f>
        <v>0</v>
      </c>
      <c r="J425" s="4">
        <f>IFERROR(__xludf.DUMMYFUNCTION("""COMPUTED_VALUE"""),30.0)</f>
        <v>30</v>
      </c>
      <c r="K425" s="2"/>
      <c r="L425" s="2" t="str">
        <f>IFERROR(__xludf.DUMMYFUNCTION("""COMPUTED_VALUE"""),"Delivered")</f>
        <v>Delivered</v>
      </c>
      <c r="M425" s="2" t="str">
        <f>IFERROR(__xludf.DUMMYFUNCTION("""COMPUTED_VALUE"""),"")</f>
        <v></v>
      </c>
      <c r="N425" s="2" t="str">
        <f>IFERROR(__xludf.DUMMYFUNCTION("""COMPUTED_VALUE"""),"Credit, Debit, Apple Pay")</f>
        <v>Credit, Debit, Apple Pay</v>
      </c>
      <c r="O425" s="4">
        <f>IFERROR(__xludf.DUMMYFUNCTION("""COMPUTED_VALUE"""),0.0)</f>
        <v>0</v>
      </c>
      <c r="P425" s="2">
        <f>IFERROR(__xludf.DUMMYFUNCTION("""COMPUTED_VALUE"""),17.0)</f>
        <v>17</v>
      </c>
      <c r="Q425" s="2">
        <f>IFERROR(__xludf.DUMMYFUNCTION("""COMPUTED_VALUE"""),5.0)</f>
        <v>5</v>
      </c>
      <c r="R425" s="2">
        <f>IFERROR(__xludf.DUMMYFUNCTION("""COMPUTED_VALUE"""),2025.0)</f>
        <v>2025</v>
      </c>
      <c r="S425" s="2" t="str">
        <f>IFERROR(__xludf.DUMMYFUNCTION("""COMPUTED_VALUE"""),"Digizag")</f>
        <v>Digizag</v>
      </c>
      <c r="T425" s="2" t="str">
        <f>IFERROR(__xludf.DUMMYFUNCTION("""COMPUTED_VALUE"""),"Digizag")</f>
        <v>Digizag</v>
      </c>
      <c r="U425" s="5">
        <f>IFERROR(__xludf.DUMMYFUNCTION("""COMPUTED_VALUE"""),38.43169460998)</f>
        <v>38.43169461</v>
      </c>
      <c r="V425" s="2"/>
      <c r="W425" s="2"/>
      <c r="X425" s="2"/>
      <c r="Y425" s="2"/>
      <c r="Z425" s="2"/>
    </row>
    <row r="426">
      <c r="A426" s="6">
        <f>IFERROR(__xludf.DUMMYFUNCTION("""COMPUTED_VALUE"""),45795.15116898148)</f>
        <v>45795.15117</v>
      </c>
      <c r="B426" s="2" t="str">
        <f>IFERROR(__xludf.DUMMYFUNCTION("""COMPUTED_VALUE"""),"May")</f>
        <v>May</v>
      </c>
      <c r="C426" s="3">
        <f>IFERROR(__xludf.DUMMYFUNCTION("""COMPUTED_VALUE"""),738950.0)</f>
        <v>738950</v>
      </c>
      <c r="D426" s="2" t="str">
        <f>IFERROR(__xludf.DUMMYFUNCTION("""COMPUTED_VALUE"""),"MNN16")</f>
        <v>MNN16</v>
      </c>
      <c r="E426" s="2" t="str">
        <f>IFERROR(__xludf.DUMMYFUNCTION("""COMPUTED_VALUE"""),"Imported from file DigiZag Codes 25Feb25.xlsx")</f>
        <v>Imported from file DigiZag Codes 25Feb25.xlsx</v>
      </c>
      <c r="F426" s="2" t="str">
        <f>IFERROR(__xludf.DUMMYFUNCTION("""COMPUTED_VALUE"""),"KHX536226")</f>
        <v>KHX536226</v>
      </c>
      <c r="G426" s="2" t="str">
        <f>IFERROR(__xludf.DUMMYFUNCTION("""COMPUTED_VALUE"""),"Kuwait")</f>
        <v>Kuwait</v>
      </c>
      <c r="H426" s="4">
        <f>IFERROR(__xludf.DUMMYFUNCTION("""COMPUTED_VALUE"""),23.3)</f>
        <v>23.3</v>
      </c>
      <c r="I426" s="3">
        <f>IFERROR(__xludf.DUMMYFUNCTION("""COMPUTED_VALUE"""),0.0)</f>
        <v>0</v>
      </c>
      <c r="J426" s="4">
        <f>IFERROR(__xludf.DUMMYFUNCTION("""COMPUTED_VALUE"""),2.33)</f>
        <v>2.33</v>
      </c>
      <c r="K426" s="2"/>
      <c r="L426" s="2" t="str">
        <f>IFERROR(__xludf.DUMMYFUNCTION("""COMPUTED_VALUE"""),"Delivered")</f>
        <v>Delivered</v>
      </c>
      <c r="M426" s="2" t="str">
        <f>IFERROR(__xludf.DUMMYFUNCTION("""COMPUTED_VALUE"""),"KD")</f>
        <v>KD</v>
      </c>
      <c r="N426" s="2" t="str">
        <f>IFERROR(__xludf.DUMMYFUNCTION("""COMPUTED_VALUE"""),"Credit, Debit, Knet")</f>
        <v>Credit, Debit, Knet</v>
      </c>
      <c r="O426" s="4">
        <f>IFERROR(__xludf.DUMMYFUNCTION("""COMPUTED_VALUE"""),0.0)</f>
        <v>0</v>
      </c>
      <c r="P426" s="2">
        <f>IFERROR(__xludf.DUMMYFUNCTION("""COMPUTED_VALUE"""),18.0)</f>
        <v>18</v>
      </c>
      <c r="Q426" s="2">
        <f>IFERROR(__xludf.DUMMYFUNCTION("""COMPUTED_VALUE"""),5.0)</f>
        <v>5</v>
      </c>
      <c r="R426" s="2">
        <f>IFERROR(__xludf.DUMMYFUNCTION("""COMPUTED_VALUE"""),2025.0)</f>
        <v>2025</v>
      </c>
      <c r="S426" s="2" t="str">
        <f>IFERROR(__xludf.DUMMYFUNCTION("""COMPUTED_VALUE"""),"Digizag")</f>
        <v>Digizag</v>
      </c>
      <c r="T426" s="2" t="str">
        <f>IFERROR(__xludf.DUMMYFUNCTION("""COMPUTED_VALUE"""),"Digizag")</f>
        <v>Digizag</v>
      </c>
      <c r="U426" s="5">
        <f>IFERROR(__xludf.DUMMYFUNCTION("""COMPUTED_VALUE"""),75.972446)</f>
        <v>75.972446</v>
      </c>
      <c r="V426" s="2"/>
      <c r="W426" s="2"/>
      <c r="X426" s="2"/>
      <c r="Y426" s="2"/>
      <c r="Z426" s="2"/>
    </row>
    <row r="427">
      <c r="A427" s="6">
        <f>IFERROR(__xludf.DUMMYFUNCTION("""COMPUTED_VALUE"""),45795.23149305555)</f>
        <v>45795.23149</v>
      </c>
      <c r="B427" s="2" t="str">
        <f>IFERROR(__xludf.DUMMYFUNCTION("""COMPUTED_VALUE"""),"May")</f>
        <v>May</v>
      </c>
      <c r="C427" s="3">
        <f>IFERROR(__xludf.DUMMYFUNCTION("""COMPUTED_VALUE"""),25227.0)</f>
        <v>25227</v>
      </c>
      <c r="D427" s="2" t="str">
        <f>IFERROR(__xludf.DUMMYFUNCTION("""COMPUTED_VALUE"""),"ZM22")</f>
        <v>ZM22</v>
      </c>
      <c r="E427" s="2" t="str">
        <f>IFERROR(__xludf.DUMMYFUNCTION("""COMPUTED_VALUE"""),"Imported from file Digizag.xlsx")</f>
        <v>Imported from file Digizag.xlsx</v>
      </c>
      <c r="F427" s="2" t="str">
        <f>IFERROR(__xludf.DUMMYFUNCTION("""COMPUTED_VALUE"""),"PTX587337")</f>
        <v>PTX587337</v>
      </c>
      <c r="G427" s="2" t="str">
        <f>IFERROR(__xludf.DUMMYFUNCTION("""COMPUTED_VALUE"""),"Kuwait")</f>
        <v>Kuwait</v>
      </c>
      <c r="H427" s="4">
        <f>IFERROR(__xludf.DUMMYFUNCTION("""COMPUTED_VALUE"""),10.9)</f>
        <v>10.9</v>
      </c>
      <c r="I427" s="3">
        <f>IFERROR(__xludf.DUMMYFUNCTION("""COMPUTED_VALUE"""),0.0)</f>
        <v>0</v>
      </c>
      <c r="J427" s="4">
        <f>IFERROR(__xludf.DUMMYFUNCTION("""COMPUTED_VALUE"""),1.09)</f>
        <v>1.09</v>
      </c>
      <c r="K427" s="2"/>
      <c r="L427" s="2" t="str">
        <f>IFERROR(__xludf.DUMMYFUNCTION("""COMPUTED_VALUE"""),"Delivered")</f>
        <v>Delivered</v>
      </c>
      <c r="M427" s="2" t="str">
        <f>IFERROR(__xludf.DUMMYFUNCTION("""COMPUTED_VALUE"""),"KD")</f>
        <v>KD</v>
      </c>
      <c r="N427" s="2" t="str">
        <f>IFERROR(__xludf.DUMMYFUNCTION("""COMPUTED_VALUE"""),"Credit, Debit, Knet")</f>
        <v>Credit, Debit, Knet</v>
      </c>
      <c r="O427" s="4">
        <f>IFERROR(__xludf.DUMMYFUNCTION("""COMPUTED_VALUE"""),0.0)</f>
        <v>0</v>
      </c>
      <c r="P427" s="2">
        <f>IFERROR(__xludf.DUMMYFUNCTION("""COMPUTED_VALUE"""),18.0)</f>
        <v>18</v>
      </c>
      <c r="Q427" s="2">
        <f>IFERROR(__xludf.DUMMYFUNCTION("""COMPUTED_VALUE"""),5.0)</f>
        <v>5</v>
      </c>
      <c r="R427" s="2">
        <f>IFERROR(__xludf.DUMMYFUNCTION("""COMPUTED_VALUE"""),2025.0)</f>
        <v>2025</v>
      </c>
      <c r="S427" s="2" t="str">
        <f>IFERROR(__xludf.DUMMYFUNCTION("""COMPUTED_VALUE"""),"Digizag")</f>
        <v>Digizag</v>
      </c>
      <c r="T427" s="2" t="str">
        <f>IFERROR(__xludf.DUMMYFUNCTION("""COMPUTED_VALUE"""),"Digizag")</f>
        <v>Digizag</v>
      </c>
      <c r="U427" s="5">
        <f>IFERROR(__xludf.DUMMYFUNCTION("""COMPUTED_VALUE"""),35.540758)</f>
        <v>35.540758</v>
      </c>
      <c r="V427" s="2"/>
      <c r="W427" s="2"/>
      <c r="X427" s="2"/>
      <c r="Y427" s="2"/>
      <c r="Z427" s="2"/>
    </row>
    <row r="428">
      <c r="A428" s="6">
        <f>IFERROR(__xludf.DUMMYFUNCTION("""COMPUTED_VALUE"""),45795.29864583333)</f>
        <v>45795.29865</v>
      </c>
      <c r="B428" s="2" t="str">
        <f>IFERROR(__xludf.DUMMYFUNCTION("""COMPUTED_VALUE"""),"May")</f>
        <v>May</v>
      </c>
      <c r="C428" s="3">
        <f>IFERROR(__xludf.DUMMYFUNCTION("""COMPUTED_VALUE"""),285714.0)</f>
        <v>285714</v>
      </c>
      <c r="D428" s="2" t="str">
        <f>IFERROR(__xludf.DUMMYFUNCTION("""COMPUTED_VALUE"""),"DB1")</f>
        <v>DB1</v>
      </c>
      <c r="E428" s="2" t="str">
        <f>IFERROR(__xludf.DUMMYFUNCTION("""COMPUTED_VALUE"""),"Imported from file Digizag.xlsx")</f>
        <v>Imported from file Digizag.xlsx</v>
      </c>
      <c r="F428" s="2" t="str">
        <f>IFERROR(__xludf.DUMMYFUNCTION("""COMPUTED_VALUE"""),"GVR956812")</f>
        <v>GVR956812</v>
      </c>
      <c r="G428" s="2" t="str">
        <f>IFERROR(__xludf.DUMMYFUNCTION("""COMPUTED_VALUE"""),"UAE")</f>
        <v>UAE</v>
      </c>
      <c r="H428" s="4">
        <f>IFERROR(__xludf.DUMMYFUNCTION("""COMPUTED_VALUE"""),173.43)</f>
        <v>173.43</v>
      </c>
      <c r="I428" s="3">
        <f>IFERROR(__xludf.DUMMYFUNCTION("""COMPUTED_VALUE"""),0.0)</f>
        <v>0</v>
      </c>
      <c r="J428" s="4">
        <f>IFERROR(__xludf.DUMMYFUNCTION("""COMPUTED_VALUE"""),17.33)</f>
        <v>17.33</v>
      </c>
      <c r="K428" s="2"/>
      <c r="L428" s="2" t="str">
        <f>IFERROR(__xludf.DUMMYFUNCTION("""COMPUTED_VALUE"""),"Delivered")</f>
        <v>Delivered</v>
      </c>
      <c r="M428" s="2" t="str">
        <f>IFERROR(__xludf.DUMMYFUNCTION("""COMPUTED_VALUE"""),"")</f>
        <v></v>
      </c>
      <c r="N428" s="2" t="str">
        <f>IFERROR(__xludf.DUMMYFUNCTION("""COMPUTED_VALUE"""),"Credit, Debit , Apple Pay")</f>
        <v>Credit, Debit , Apple Pay</v>
      </c>
      <c r="O428" s="4">
        <f>IFERROR(__xludf.DUMMYFUNCTION("""COMPUTED_VALUE"""),0.0)</f>
        <v>0</v>
      </c>
      <c r="P428" s="2">
        <f>IFERROR(__xludf.DUMMYFUNCTION("""COMPUTED_VALUE"""),18.0)</f>
        <v>18</v>
      </c>
      <c r="Q428" s="2">
        <f>IFERROR(__xludf.DUMMYFUNCTION("""COMPUTED_VALUE"""),5.0)</f>
        <v>5</v>
      </c>
      <c r="R428" s="2">
        <f>IFERROR(__xludf.DUMMYFUNCTION("""COMPUTED_VALUE"""),2025.0)</f>
        <v>2025</v>
      </c>
      <c r="S428" s="2" t="str">
        <f>IFERROR(__xludf.DUMMYFUNCTION("""COMPUTED_VALUE"""),"Digizag")</f>
        <v>Digizag</v>
      </c>
      <c r="T428" s="2" t="str">
        <f>IFERROR(__xludf.DUMMYFUNCTION("""COMPUTED_VALUE"""),"Digizag")</f>
        <v>Digizag</v>
      </c>
      <c r="U428" s="5">
        <f>IFERROR(__xludf.DUMMYFUNCTION("""COMPUTED_VALUE"""),47.22396194754)</f>
        <v>47.22396195</v>
      </c>
      <c r="V428" s="2"/>
      <c r="W428" s="2"/>
      <c r="X428" s="2"/>
      <c r="Y428" s="2"/>
      <c r="Z428" s="2"/>
    </row>
    <row r="429">
      <c r="A429" s="6">
        <f>IFERROR(__xludf.DUMMYFUNCTION("""COMPUTED_VALUE"""),45795.42980324074)</f>
        <v>45795.4298</v>
      </c>
      <c r="B429" s="2" t="str">
        <f>IFERROR(__xludf.DUMMYFUNCTION("""COMPUTED_VALUE"""),"May")</f>
        <v>May</v>
      </c>
      <c r="C429" s="3">
        <f>IFERROR(__xludf.DUMMYFUNCTION("""COMPUTED_VALUE"""),526701.0)</f>
        <v>526701</v>
      </c>
      <c r="D429" s="2" t="str">
        <f>IFERROR(__xludf.DUMMYFUNCTION("""COMPUTED_VALUE"""),"DB1")</f>
        <v>DB1</v>
      </c>
      <c r="E429" s="2" t="str">
        <f>IFERROR(__xludf.DUMMYFUNCTION("""COMPUTED_VALUE"""),"Imported from file Digizag.xlsx")</f>
        <v>Imported from file Digizag.xlsx</v>
      </c>
      <c r="F429" s="2" t="str">
        <f>IFERROR(__xludf.DUMMYFUNCTION("""COMPUTED_VALUE"""),"PDD235852")</f>
        <v>PDD235852</v>
      </c>
      <c r="G429" s="2" t="str">
        <f>IFERROR(__xludf.DUMMYFUNCTION("""COMPUTED_VALUE"""),"Kuwait")</f>
        <v>Kuwait</v>
      </c>
      <c r="H429" s="4">
        <f>IFERROR(__xludf.DUMMYFUNCTION("""COMPUTED_VALUE"""),6.25)</f>
        <v>6.25</v>
      </c>
      <c r="I429" s="3">
        <f>IFERROR(__xludf.DUMMYFUNCTION("""COMPUTED_VALUE"""),0.0)</f>
        <v>0</v>
      </c>
      <c r="J429" s="4">
        <f>IFERROR(__xludf.DUMMYFUNCTION("""COMPUTED_VALUE"""),0.625)</f>
        <v>0.625</v>
      </c>
      <c r="K429" s="2"/>
      <c r="L429" s="2" t="str">
        <f>IFERROR(__xludf.DUMMYFUNCTION("""COMPUTED_VALUE"""),"Delivered")</f>
        <v>Delivered</v>
      </c>
      <c r="M429" s="2" t="str">
        <f>IFERROR(__xludf.DUMMYFUNCTION("""COMPUTED_VALUE"""),"KD")</f>
        <v>KD</v>
      </c>
      <c r="N429" s="2" t="str">
        <f>IFERROR(__xludf.DUMMYFUNCTION("""COMPUTED_VALUE"""),"Credit, Debit, Knet")</f>
        <v>Credit, Debit, Knet</v>
      </c>
      <c r="O429" s="4">
        <f>IFERROR(__xludf.DUMMYFUNCTION("""COMPUTED_VALUE"""),0.0)</f>
        <v>0</v>
      </c>
      <c r="P429" s="2">
        <f>IFERROR(__xludf.DUMMYFUNCTION("""COMPUTED_VALUE"""),18.0)</f>
        <v>18</v>
      </c>
      <c r="Q429" s="2">
        <f>IFERROR(__xludf.DUMMYFUNCTION("""COMPUTED_VALUE"""),5.0)</f>
        <v>5</v>
      </c>
      <c r="R429" s="2">
        <f>IFERROR(__xludf.DUMMYFUNCTION("""COMPUTED_VALUE"""),2025.0)</f>
        <v>2025</v>
      </c>
      <c r="S429" s="2" t="str">
        <f>IFERROR(__xludf.DUMMYFUNCTION("""COMPUTED_VALUE"""),"Digizag")</f>
        <v>Digizag</v>
      </c>
      <c r="T429" s="2" t="str">
        <f>IFERROR(__xludf.DUMMYFUNCTION("""COMPUTED_VALUE"""),"Digizag")</f>
        <v>Digizag</v>
      </c>
      <c r="U429" s="5">
        <f>IFERROR(__xludf.DUMMYFUNCTION("""COMPUTED_VALUE"""),20.378875)</f>
        <v>20.378875</v>
      </c>
      <c r="V429" s="2"/>
      <c r="W429" s="2"/>
      <c r="X429" s="2"/>
      <c r="Y429" s="2"/>
      <c r="Z429" s="2"/>
    </row>
    <row r="430">
      <c r="A430" s="6">
        <f>IFERROR(__xludf.DUMMYFUNCTION("""COMPUTED_VALUE"""),45795.52402777778)</f>
        <v>45795.52403</v>
      </c>
      <c r="B430" s="2" t="str">
        <f>IFERROR(__xludf.DUMMYFUNCTION("""COMPUTED_VALUE"""),"May")</f>
        <v>May</v>
      </c>
      <c r="C430" s="3">
        <f>IFERROR(__xludf.DUMMYFUNCTION("""COMPUTED_VALUE"""),236384.0)</f>
        <v>236384</v>
      </c>
      <c r="D430" s="2" t="str">
        <f>IFERROR(__xludf.DUMMYFUNCTION("""COMPUTED_VALUE"""),"WFR")</f>
        <v>WFR</v>
      </c>
      <c r="E430" s="2" t="str">
        <f>IFERROR(__xludf.DUMMYFUNCTION("""COMPUTED_VALUE"""),"Imported from file Digizag.xlsx")</f>
        <v>Imported from file Digizag.xlsx</v>
      </c>
      <c r="F430" s="2" t="str">
        <f>IFERROR(__xludf.DUMMYFUNCTION("""COMPUTED_VALUE"""),"EER721877")</f>
        <v>EER721877</v>
      </c>
      <c r="G430" s="2" t="str">
        <f>IFERROR(__xludf.DUMMYFUNCTION("""COMPUTED_VALUE"""),"Kuwait")</f>
        <v>Kuwait</v>
      </c>
      <c r="H430" s="4">
        <f>IFERROR(__xludf.DUMMYFUNCTION("""COMPUTED_VALUE"""),36.2)</f>
        <v>36.2</v>
      </c>
      <c r="I430" s="3">
        <f>IFERROR(__xludf.DUMMYFUNCTION("""COMPUTED_VALUE"""),0.0)</f>
        <v>0</v>
      </c>
      <c r="J430" s="4">
        <f>IFERROR(__xludf.DUMMYFUNCTION("""COMPUTED_VALUE"""),3.62)</f>
        <v>3.62</v>
      </c>
      <c r="K430" s="2"/>
      <c r="L430" s="2" t="str">
        <f>IFERROR(__xludf.DUMMYFUNCTION("""COMPUTED_VALUE"""),"Delivered")</f>
        <v>Delivered</v>
      </c>
      <c r="M430" s="2" t="str">
        <f>IFERROR(__xludf.DUMMYFUNCTION("""COMPUTED_VALUE"""),"KD")</f>
        <v>KD</v>
      </c>
      <c r="N430" s="2" t="str">
        <f>IFERROR(__xludf.DUMMYFUNCTION("""COMPUTED_VALUE"""),"Credit, Debit, Knet")</f>
        <v>Credit, Debit, Knet</v>
      </c>
      <c r="O430" s="4">
        <f>IFERROR(__xludf.DUMMYFUNCTION("""COMPUTED_VALUE"""),0.0)</f>
        <v>0</v>
      </c>
      <c r="P430" s="2">
        <f>IFERROR(__xludf.DUMMYFUNCTION("""COMPUTED_VALUE"""),18.0)</f>
        <v>18</v>
      </c>
      <c r="Q430" s="2">
        <f>IFERROR(__xludf.DUMMYFUNCTION("""COMPUTED_VALUE"""),5.0)</f>
        <v>5</v>
      </c>
      <c r="R430" s="2">
        <f>IFERROR(__xludf.DUMMYFUNCTION("""COMPUTED_VALUE"""),2025.0)</f>
        <v>2025</v>
      </c>
      <c r="S430" s="2" t="str">
        <f>IFERROR(__xludf.DUMMYFUNCTION("""COMPUTED_VALUE"""),"Digizag")</f>
        <v>Digizag</v>
      </c>
      <c r="T430" s="2" t="str">
        <f>IFERROR(__xludf.DUMMYFUNCTION("""COMPUTED_VALUE"""),"Digizag")</f>
        <v>Digizag</v>
      </c>
      <c r="U430" s="5">
        <f>IFERROR(__xludf.DUMMYFUNCTION("""COMPUTED_VALUE"""),118.03444400000001)</f>
        <v>118.034444</v>
      </c>
      <c r="V430" s="2"/>
      <c r="W430" s="2"/>
      <c r="X430" s="2"/>
      <c r="Y430" s="2"/>
      <c r="Z430" s="2"/>
    </row>
    <row r="431">
      <c r="A431" s="6">
        <f>IFERROR(__xludf.DUMMYFUNCTION("""COMPUTED_VALUE"""),45795.53355324074)</f>
        <v>45795.53355</v>
      </c>
      <c r="B431" s="2" t="str">
        <f>IFERROR(__xludf.DUMMYFUNCTION("""COMPUTED_VALUE"""),"May")</f>
        <v>May</v>
      </c>
      <c r="C431" s="3">
        <f>IFERROR(__xludf.DUMMYFUNCTION("""COMPUTED_VALUE"""),739119.0)</f>
        <v>739119</v>
      </c>
      <c r="D431" s="2" t="str">
        <f>IFERROR(__xludf.DUMMYFUNCTION("""COMPUTED_VALUE"""),"ZM22")</f>
        <v>ZM22</v>
      </c>
      <c r="E431" s="2" t="str">
        <f>IFERROR(__xludf.DUMMYFUNCTION("""COMPUTED_VALUE"""),"Imported from file Digizag.xlsx")</f>
        <v>Imported from file Digizag.xlsx</v>
      </c>
      <c r="F431" s="2" t="str">
        <f>IFERROR(__xludf.DUMMYFUNCTION("""COMPUTED_VALUE"""),"CCN482231")</f>
        <v>CCN482231</v>
      </c>
      <c r="G431" s="2" t="str">
        <f>IFERROR(__xludf.DUMMYFUNCTION("""COMPUTED_VALUE"""),"Kingdom of Saudi Arabia")</f>
        <v>Kingdom of Saudi Arabia</v>
      </c>
      <c r="H431" s="4">
        <f>IFERROR(__xludf.DUMMYFUNCTION("""COMPUTED_VALUE"""),51.3)</f>
        <v>51.3</v>
      </c>
      <c r="I431" s="3">
        <f>IFERROR(__xludf.DUMMYFUNCTION("""COMPUTED_VALUE"""),0.0)</f>
        <v>0</v>
      </c>
      <c r="J431" s="4">
        <f>IFERROR(__xludf.DUMMYFUNCTION("""COMPUTED_VALUE"""),25.65)</f>
        <v>25.65</v>
      </c>
      <c r="K431" s="2"/>
      <c r="L431" s="2" t="str">
        <f>IFERROR(__xludf.DUMMYFUNCTION("""COMPUTED_VALUE"""),"Processing")</f>
        <v>Processing</v>
      </c>
      <c r="M431" s="2" t="str">
        <f>IFERROR(__xludf.DUMMYFUNCTION("""COMPUTED_VALUE"""),"")</f>
        <v></v>
      </c>
      <c r="N431" s="2" t="str">
        <f>IFERROR(__xludf.DUMMYFUNCTION("""COMPUTED_VALUE"""),"Cash")</f>
        <v>Cash</v>
      </c>
      <c r="O431" s="4">
        <f>IFERROR(__xludf.DUMMYFUNCTION("""COMPUTED_VALUE"""),0.0)</f>
        <v>0</v>
      </c>
      <c r="P431" s="2">
        <f>IFERROR(__xludf.DUMMYFUNCTION("""COMPUTED_VALUE"""),18.0)</f>
        <v>18</v>
      </c>
      <c r="Q431" s="2">
        <f>IFERROR(__xludf.DUMMYFUNCTION("""COMPUTED_VALUE"""),5.0)</f>
        <v>5</v>
      </c>
      <c r="R431" s="2">
        <f>IFERROR(__xludf.DUMMYFUNCTION("""COMPUTED_VALUE"""),2025.0)</f>
        <v>2025</v>
      </c>
      <c r="S431" s="2" t="str">
        <f>IFERROR(__xludf.DUMMYFUNCTION("""COMPUTED_VALUE"""),"Digizag")</f>
        <v>Digizag</v>
      </c>
      <c r="T431" s="2" t="str">
        <f>IFERROR(__xludf.DUMMYFUNCTION("""COMPUTED_VALUE"""),"Digizag")</f>
        <v>Digizag</v>
      </c>
      <c r="U431" s="5">
        <f>IFERROR(__xludf.DUMMYFUNCTION("""COMPUTED_VALUE"""),13.6789421598)</f>
        <v>13.67894216</v>
      </c>
      <c r="V431" s="2"/>
      <c r="W431" s="2"/>
      <c r="X431" s="2"/>
      <c r="Y431" s="2"/>
      <c r="Z431" s="2"/>
    </row>
    <row r="432">
      <c r="A432" s="6">
        <f>IFERROR(__xludf.DUMMYFUNCTION("""COMPUTED_VALUE"""),45795.54770833333)</f>
        <v>45795.54771</v>
      </c>
      <c r="B432" s="2" t="str">
        <f>IFERROR(__xludf.DUMMYFUNCTION("""COMPUTED_VALUE"""),"May")</f>
        <v>May</v>
      </c>
      <c r="C432" s="3">
        <f>IFERROR(__xludf.DUMMYFUNCTION("""COMPUTED_VALUE"""),152222.0)</f>
        <v>152222</v>
      </c>
      <c r="D432" s="2" t="str">
        <f>IFERROR(__xludf.DUMMYFUNCTION("""COMPUTED_VALUE"""),"MNN16")</f>
        <v>MNN16</v>
      </c>
      <c r="E432" s="2" t="str">
        <f>IFERROR(__xludf.DUMMYFUNCTION("""COMPUTED_VALUE"""),"Imported from file DigiZag Codes 25Feb25.xlsx")</f>
        <v>Imported from file DigiZag Codes 25Feb25.xlsx</v>
      </c>
      <c r="F432" s="2" t="str">
        <f>IFERROR(__xludf.DUMMYFUNCTION("""COMPUTED_VALUE"""),"TCS181177")</f>
        <v>TCS181177</v>
      </c>
      <c r="G432" s="2" t="str">
        <f>IFERROR(__xludf.DUMMYFUNCTION("""COMPUTED_VALUE"""),"Kuwait")</f>
        <v>Kuwait</v>
      </c>
      <c r="H432" s="4">
        <f>IFERROR(__xludf.DUMMYFUNCTION("""COMPUTED_VALUE"""),9.95)</f>
        <v>9.95</v>
      </c>
      <c r="I432" s="3">
        <f>IFERROR(__xludf.DUMMYFUNCTION("""COMPUTED_VALUE"""),0.0)</f>
        <v>0</v>
      </c>
      <c r="J432" s="4">
        <f>IFERROR(__xludf.DUMMYFUNCTION("""COMPUTED_VALUE"""),0.995)</f>
        <v>0.995</v>
      </c>
      <c r="K432" s="2"/>
      <c r="L432" s="2" t="str">
        <f>IFERROR(__xludf.DUMMYFUNCTION("""COMPUTED_VALUE"""),"Delivered")</f>
        <v>Delivered</v>
      </c>
      <c r="M432" s="2" t="str">
        <f>IFERROR(__xludf.DUMMYFUNCTION("""COMPUTED_VALUE"""),"KD")</f>
        <v>KD</v>
      </c>
      <c r="N432" s="2" t="str">
        <f>IFERROR(__xludf.DUMMYFUNCTION("""COMPUTED_VALUE"""),"Credit, Debit, Knet")</f>
        <v>Credit, Debit, Knet</v>
      </c>
      <c r="O432" s="4">
        <f>IFERROR(__xludf.DUMMYFUNCTION("""COMPUTED_VALUE"""),0.0)</f>
        <v>0</v>
      </c>
      <c r="P432" s="2">
        <f>IFERROR(__xludf.DUMMYFUNCTION("""COMPUTED_VALUE"""),18.0)</f>
        <v>18</v>
      </c>
      <c r="Q432" s="2">
        <f>IFERROR(__xludf.DUMMYFUNCTION("""COMPUTED_VALUE"""),5.0)</f>
        <v>5</v>
      </c>
      <c r="R432" s="2">
        <f>IFERROR(__xludf.DUMMYFUNCTION("""COMPUTED_VALUE"""),2025.0)</f>
        <v>2025</v>
      </c>
      <c r="S432" s="2" t="str">
        <f>IFERROR(__xludf.DUMMYFUNCTION("""COMPUTED_VALUE"""),"Digizag")</f>
        <v>Digizag</v>
      </c>
      <c r="T432" s="2" t="str">
        <f>IFERROR(__xludf.DUMMYFUNCTION("""COMPUTED_VALUE"""),"Digizag")</f>
        <v>Digizag</v>
      </c>
      <c r="U432" s="5">
        <f>IFERROR(__xludf.DUMMYFUNCTION("""COMPUTED_VALUE"""),32.443169)</f>
        <v>32.443169</v>
      </c>
      <c r="V432" s="2"/>
      <c r="W432" s="2"/>
      <c r="X432" s="2"/>
      <c r="Y432" s="2"/>
      <c r="Z432" s="2"/>
    </row>
    <row r="433">
      <c r="A433" s="6">
        <f>IFERROR(__xludf.DUMMYFUNCTION("""COMPUTED_VALUE"""),45796.18311342593)</f>
        <v>45796.18311</v>
      </c>
      <c r="B433" s="2" t="str">
        <f>IFERROR(__xludf.DUMMYFUNCTION("""COMPUTED_VALUE"""),"May")</f>
        <v>May</v>
      </c>
      <c r="C433" s="3">
        <f>IFERROR(__xludf.DUMMYFUNCTION("""COMPUTED_VALUE"""),416477.0)</f>
        <v>416477</v>
      </c>
      <c r="D433" s="2" t="str">
        <f>IFERROR(__xludf.DUMMYFUNCTION("""COMPUTED_VALUE"""),"RR22")</f>
        <v>RR22</v>
      </c>
      <c r="E433" s="2" t="str">
        <f>IFERROR(__xludf.DUMMYFUNCTION("""COMPUTED_VALUE"""),"Imported from file Digizag.xlsx")</f>
        <v>Imported from file Digizag.xlsx</v>
      </c>
      <c r="F433" s="2" t="str">
        <f>IFERROR(__xludf.DUMMYFUNCTION("""COMPUTED_VALUE"""),"HZH445915")</f>
        <v>HZH445915</v>
      </c>
      <c r="G433" s="2" t="str">
        <f>IFERROR(__xludf.DUMMYFUNCTION("""COMPUTED_VALUE"""),"UAE")</f>
        <v>UAE</v>
      </c>
      <c r="H433" s="4">
        <f>IFERROR(__xludf.DUMMYFUNCTION("""COMPUTED_VALUE"""),168.0)</f>
        <v>168</v>
      </c>
      <c r="I433" s="3">
        <f>IFERROR(__xludf.DUMMYFUNCTION("""COMPUTED_VALUE"""),0.0)</f>
        <v>0</v>
      </c>
      <c r="J433" s="4">
        <f>IFERROR(__xludf.DUMMYFUNCTION("""COMPUTED_VALUE"""),16.8)</f>
        <v>16.8</v>
      </c>
      <c r="K433" s="2"/>
      <c r="L433" s="2" t="str">
        <f>IFERROR(__xludf.DUMMYFUNCTION("""COMPUTED_VALUE"""),"Delivered")</f>
        <v>Delivered</v>
      </c>
      <c r="M433" s="2" t="str">
        <f>IFERROR(__xludf.DUMMYFUNCTION("""COMPUTED_VALUE"""),"")</f>
        <v></v>
      </c>
      <c r="N433" s="2" t="str">
        <f>IFERROR(__xludf.DUMMYFUNCTION("""COMPUTED_VALUE"""),"Credit, Debit , Apple Pay")</f>
        <v>Credit, Debit , Apple Pay</v>
      </c>
      <c r="O433" s="4">
        <f>IFERROR(__xludf.DUMMYFUNCTION("""COMPUTED_VALUE"""),0.0)</f>
        <v>0</v>
      </c>
      <c r="P433" s="2">
        <f>IFERROR(__xludf.DUMMYFUNCTION("""COMPUTED_VALUE"""),19.0)</f>
        <v>19</v>
      </c>
      <c r="Q433" s="2">
        <f>IFERROR(__xludf.DUMMYFUNCTION("""COMPUTED_VALUE"""),5.0)</f>
        <v>5</v>
      </c>
      <c r="R433" s="2">
        <f>IFERROR(__xludf.DUMMYFUNCTION("""COMPUTED_VALUE"""),2025.0)</f>
        <v>2025</v>
      </c>
      <c r="S433" s="2" t="str">
        <f>IFERROR(__xludf.DUMMYFUNCTION("""COMPUTED_VALUE"""),"Digizag")</f>
        <v>Digizag</v>
      </c>
      <c r="T433" s="2" t="str">
        <f>IFERROR(__xludf.DUMMYFUNCTION("""COMPUTED_VALUE"""),"Digizag")</f>
        <v>Digizag</v>
      </c>
      <c r="U433" s="5">
        <f>IFERROR(__xludf.DUMMYFUNCTION("""COMPUTED_VALUE"""),45.745405104)</f>
        <v>45.7454051</v>
      </c>
      <c r="V433" s="2"/>
      <c r="W433" s="2"/>
      <c r="X433" s="2"/>
      <c r="Y433" s="2"/>
      <c r="Z433" s="2"/>
    </row>
    <row r="434">
      <c r="A434" s="6">
        <f>IFERROR(__xludf.DUMMYFUNCTION("""COMPUTED_VALUE"""),45796.20726851852)</f>
        <v>45796.20727</v>
      </c>
      <c r="B434" s="2" t="str">
        <f>IFERROR(__xludf.DUMMYFUNCTION("""COMPUTED_VALUE"""),"May")</f>
        <v>May</v>
      </c>
      <c r="C434" s="3">
        <f>IFERROR(__xludf.DUMMYFUNCTION("""COMPUTED_VALUE"""),739571.0)</f>
        <v>739571</v>
      </c>
      <c r="D434" s="2" t="str">
        <f>IFERROR(__xludf.DUMMYFUNCTION("""COMPUTED_VALUE"""),"MNN16")</f>
        <v>MNN16</v>
      </c>
      <c r="E434" s="2" t="str">
        <f>IFERROR(__xludf.DUMMYFUNCTION("""COMPUTED_VALUE"""),"Imported from file DigiZag Codes 25Feb25.xlsx")</f>
        <v>Imported from file DigiZag Codes 25Feb25.xlsx</v>
      </c>
      <c r="F434" s="2" t="str">
        <f>IFERROR(__xludf.DUMMYFUNCTION("""COMPUTED_VALUE"""),"KSE564228")</f>
        <v>KSE564228</v>
      </c>
      <c r="G434" s="2" t="str">
        <f>IFERROR(__xludf.DUMMYFUNCTION("""COMPUTED_VALUE"""),"Kuwait")</f>
        <v>Kuwait</v>
      </c>
      <c r="H434" s="4">
        <f>IFERROR(__xludf.DUMMYFUNCTION("""COMPUTED_VALUE"""),9.9)</f>
        <v>9.9</v>
      </c>
      <c r="I434" s="3">
        <f>IFERROR(__xludf.DUMMYFUNCTION("""COMPUTED_VALUE"""),0.0)</f>
        <v>0</v>
      </c>
      <c r="J434" s="4">
        <f>IFERROR(__xludf.DUMMYFUNCTION("""COMPUTED_VALUE"""),0.99)</f>
        <v>0.99</v>
      </c>
      <c r="K434" s="2"/>
      <c r="L434" s="2" t="str">
        <f>IFERROR(__xludf.DUMMYFUNCTION("""COMPUTED_VALUE"""),"Delivered")</f>
        <v>Delivered</v>
      </c>
      <c r="M434" s="2" t="str">
        <f>IFERROR(__xludf.DUMMYFUNCTION("""COMPUTED_VALUE"""),"KD")</f>
        <v>KD</v>
      </c>
      <c r="N434" s="2" t="str">
        <f>IFERROR(__xludf.DUMMYFUNCTION("""COMPUTED_VALUE"""),"Credit, Debit, Knet")</f>
        <v>Credit, Debit, Knet</v>
      </c>
      <c r="O434" s="4">
        <f>IFERROR(__xludf.DUMMYFUNCTION("""COMPUTED_VALUE"""),0.0)</f>
        <v>0</v>
      </c>
      <c r="P434" s="2">
        <f>IFERROR(__xludf.DUMMYFUNCTION("""COMPUTED_VALUE"""),19.0)</f>
        <v>19</v>
      </c>
      <c r="Q434" s="2">
        <f>IFERROR(__xludf.DUMMYFUNCTION("""COMPUTED_VALUE"""),5.0)</f>
        <v>5</v>
      </c>
      <c r="R434" s="2">
        <f>IFERROR(__xludf.DUMMYFUNCTION("""COMPUTED_VALUE"""),2025.0)</f>
        <v>2025</v>
      </c>
      <c r="S434" s="2" t="str">
        <f>IFERROR(__xludf.DUMMYFUNCTION("""COMPUTED_VALUE"""),"Digizag")</f>
        <v>Digizag</v>
      </c>
      <c r="T434" s="2" t="str">
        <f>IFERROR(__xludf.DUMMYFUNCTION("""COMPUTED_VALUE"""),"Digizag")</f>
        <v>Digizag</v>
      </c>
      <c r="U434" s="5">
        <f>IFERROR(__xludf.DUMMYFUNCTION("""COMPUTED_VALUE"""),32.280138)</f>
        <v>32.280138</v>
      </c>
      <c r="V434" s="2"/>
      <c r="W434" s="2"/>
      <c r="X434" s="2"/>
      <c r="Y434" s="2"/>
      <c r="Z434" s="2"/>
    </row>
    <row r="435">
      <c r="A435" s="6">
        <f>IFERROR(__xludf.DUMMYFUNCTION("""COMPUTED_VALUE"""),45796.46818287037)</f>
        <v>45796.46818</v>
      </c>
      <c r="B435" s="2" t="str">
        <f>IFERROR(__xludf.DUMMYFUNCTION("""COMPUTED_VALUE"""),"May")</f>
        <v>May</v>
      </c>
      <c r="C435" s="3">
        <f>IFERROR(__xludf.DUMMYFUNCTION("""COMPUTED_VALUE"""),81712.0)</f>
        <v>81712</v>
      </c>
      <c r="D435" s="2" t="str">
        <f>IFERROR(__xludf.DUMMYFUNCTION("""COMPUTED_VALUE"""),"ZM22")</f>
        <v>ZM22</v>
      </c>
      <c r="E435" s="2" t="str">
        <f>IFERROR(__xludf.DUMMYFUNCTION("""COMPUTED_VALUE"""),"Imported from file Digizag.xlsx")</f>
        <v>Imported from file Digizag.xlsx</v>
      </c>
      <c r="F435" s="2" t="str">
        <f>IFERROR(__xludf.DUMMYFUNCTION("""COMPUTED_VALUE"""),"SEZ810331")</f>
        <v>SEZ810331</v>
      </c>
      <c r="G435" s="2" t="str">
        <f>IFERROR(__xludf.DUMMYFUNCTION("""COMPUTED_VALUE"""),"UAE")</f>
        <v>UAE</v>
      </c>
      <c r="H435" s="4">
        <f>IFERROR(__xludf.DUMMYFUNCTION("""COMPUTED_VALUE"""),475.5)</f>
        <v>475.5</v>
      </c>
      <c r="I435" s="3">
        <f>IFERROR(__xludf.DUMMYFUNCTION("""COMPUTED_VALUE"""),0.0)</f>
        <v>0</v>
      </c>
      <c r="J435" s="4">
        <f>IFERROR(__xludf.DUMMYFUNCTION("""COMPUTED_VALUE"""),47.55)</f>
        <v>47.55</v>
      </c>
      <c r="K435" s="2"/>
      <c r="L435" s="2" t="str">
        <f>IFERROR(__xludf.DUMMYFUNCTION("""COMPUTED_VALUE"""),"Processing")</f>
        <v>Processing</v>
      </c>
      <c r="M435" s="2" t="str">
        <f>IFERROR(__xludf.DUMMYFUNCTION("""COMPUTED_VALUE"""),"")</f>
        <v></v>
      </c>
      <c r="N435" s="2" t="str">
        <f>IFERROR(__xludf.DUMMYFUNCTION("""COMPUTED_VALUE"""),"Cash")</f>
        <v>Cash</v>
      </c>
      <c r="O435" s="4">
        <f>IFERROR(__xludf.DUMMYFUNCTION("""COMPUTED_VALUE"""),0.0)</f>
        <v>0</v>
      </c>
      <c r="P435" s="2">
        <f>IFERROR(__xludf.DUMMYFUNCTION("""COMPUTED_VALUE"""),19.0)</f>
        <v>19</v>
      </c>
      <c r="Q435" s="2">
        <f>IFERROR(__xludf.DUMMYFUNCTION("""COMPUTED_VALUE"""),5.0)</f>
        <v>5</v>
      </c>
      <c r="R435" s="2">
        <f>IFERROR(__xludf.DUMMYFUNCTION("""COMPUTED_VALUE"""),2025.0)</f>
        <v>2025</v>
      </c>
      <c r="S435" s="2" t="str">
        <f>IFERROR(__xludf.DUMMYFUNCTION("""COMPUTED_VALUE"""),"Digizag")</f>
        <v>Digizag</v>
      </c>
      <c r="T435" s="2" t="str">
        <f>IFERROR(__xludf.DUMMYFUNCTION("""COMPUTED_VALUE"""),"Digizag")</f>
        <v>Digizag</v>
      </c>
      <c r="U435" s="5">
        <f>IFERROR(__xludf.DUMMYFUNCTION("""COMPUTED_VALUE"""),129.475834089)</f>
        <v>129.4758341</v>
      </c>
      <c r="V435" s="2"/>
      <c r="W435" s="2"/>
      <c r="X435" s="2"/>
      <c r="Y435" s="2"/>
      <c r="Z435" s="2"/>
    </row>
    <row r="436">
      <c r="A436" s="6">
        <f>IFERROR(__xludf.DUMMYFUNCTION("""COMPUTED_VALUE"""),45796.53192129629)</f>
        <v>45796.53192</v>
      </c>
      <c r="B436" s="2" t="str">
        <f>IFERROR(__xludf.DUMMYFUNCTION("""COMPUTED_VALUE"""),"May")</f>
        <v>May</v>
      </c>
      <c r="C436" s="3">
        <f>IFERROR(__xludf.DUMMYFUNCTION("""COMPUTED_VALUE"""),97833.0)</f>
        <v>97833</v>
      </c>
      <c r="D436" s="2" t="str">
        <f>IFERROR(__xludf.DUMMYFUNCTION("""COMPUTED_VALUE"""),"DB12")</f>
        <v>DB12</v>
      </c>
      <c r="E436" s="2" t="str">
        <f>IFERROR(__xludf.DUMMYFUNCTION("""COMPUTED_VALUE"""),"Imported from file Digizag.xlsx")</f>
        <v>Imported from file Digizag.xlsx</v>
      </c>
      <c r="F436" s="2" t="str">
        <f>IFERROR(__xludf.DUMMYFUNCTION("""COMPUTED_VALUE"""),"STD166575")</f>
        <v>STD166575</v>
      </c>
      <c r="G436" s="2" t="str">
        <f>IFERROR(__xludf.DUMMYFUNCTION("""COMPUTED_VALUE"""),"Kingdom of Saudi Arabia")</f>
        <v>Kingdom of Saudi Arabia</v>
      </c>
      <c r="H436" s="4">
        <f>IFERROR(__xludf.DUMMYFUNCTION("""COMPUTED_VALUE"""),85.14)</f>
        <v>85.14</v>
      </c>
      <c r="I436" s="3">
        <f>IFERROR(__xludf.DUMMYFUNCTION("""COMPUTED_VALUE"""),0.0)</f>
        <v>0</v>
      </c>
      <c r="J436" s="4">
        <f>IFERROR(__xludf.DUMMYFUNCTION("""COMPUTED_VALUE"""),30.0)</f>
        <v>30</v>
      </c>
      <c r="K436" s="2"/>
      <c r="L436" s="2" t="str">
        <f>IFERROR(__xludf.DUMMYFUNCTION("""COMPUTED_VALUE"""),"Delivered")</f>
        <v>Delivered</v>
      </c>
      <c r="M436" s="2" t="str">
        <f>IFERROR(__xludf.DUMMYFUNCTION("""COMPUTED_VALUE"""),"")</f>
        <v></v>
      </c>
      <c r="N436" s="2" t="str">
        <f>IFERROR(__xludf.DUMMYFUNCTION("""COMPUTED_VALUE"""),"Credit, Debit, Apple Pay")</f>
        <v>Credit, Debit, Apple Pay</v>
      </c>
      <c r="O436" s="4">
        <f>IFERROR(__xludf.DUMMYFUNCTION("""COMPUTED_VALUE"""),0.0)</f>
        <v>0</v>
      </c>
      <c r="P436" s="2">
        <f>IFERROR(__xludf.DUMMYFUNCTION("""COMPUTED_VALUE"""),19.0)</f>
        <v>19</v>
      </c>
      <c r="Q436" s="2">
        <f>IFERROR(__xludf.DUMMYFUNCTION("""COMPUTED_VALUE"""),5.0)</f>
        <v>5</v>
      </c>
      <c r="R436" s="2">
        <f>IFERROR(__xludf.DUMMYFUNCTION("""COMPUTED_VALUE"""),2025.0)</f>
        <v>2025</v>
      </c>
      <c r="S436" s="2" t="str">
        <f>IFERROR(__xludf.DUMMYFUNCTION("""COMPUTED_VALUE"""),"Digizag")</f>
        <v>Digizag</v>
      </c>
      <c r="T436" s="2" t="str">
        <f>IFERROR(__xludf.DUMMYFUNCTION("""COMPUTED_VALUE"""),"Digizag")</f>
        <v>Digizag</v>
      </c>
      <c r="U436" s="5">
        <f>IFERROR(__xludf.DUMMYFUNCTION("""COMPUTED_VALUE"""),22.70224435644)</f>
        <v>22.70224436</v>
      </c>
      <c r="V436" s="2"/>
      <c r="W436" s="2"/>
      <c r="X436" s="2"/>
      <c r="Y436" s="2"/>
      <c r="Z436" s="2"/>
    </row>
    <row r="437">
      <c r="A437" s="6">
        <f>IFERROR(__xludf.DUMMYFUNCTION("""COMPUTED_VALUE"""),45796.577581018515)</f>
        <v>45796.57758</v>
      </c>
      <c r="B437" s="2" t="str">
        <f>IFERROR(__xludf.DUMMYFUNCTION("""COMPUTED_VALUE"""),"May")</f>
        <v>May</v>
      </c>
      <c r="C437" s="3">
        <f>IFERROR(__xludf.DUMMYFUNCTION("""COMPUTED_VALUE"""),311193.0)</f>
        <v>311193</v>
      </c>
      <c r="D437" s="2" t="str">
        <f>IFERROR(__xludf.DUMMYFUNCTION("""COMPUTED_VALUE"""),"ZM22")</f>
        <v>ZM22</v>
      </c>
      <c r="E437" s="2" t="str">
        <f>IFERROR(__xludf.DUMMYFUNCTION("""COMPUTED_VALUE"""),"Imported from file Digizag.xlsx")</f>
        <v>Imported from file Digizag.xlsx</v>
      </c>
      <c r="F437" s="2" t="str">
        <f>IFERROR(__xludf.DUMMYFUNCTION("""COMPUTED_VALUE"""),"JTY313113")</f>
        <v>JTY313113</v>
      </c>
      <c r="G437" s="2" t="str">
        <f>IFERROR(__xludf.DUMMYFUNCTION("""COMPUTED_VALUE"""),"Kingdom of Saudi Arabia")</f>
        <v>Kingdom of Saudi Arabia</v>
      </c>
      <c r="H437" s="4">
        <f>IFERROR(__xludf.DUMMYFUNCTION("""COMPUTED_VALUE"""),116.08)</f>
        <v>116.08</v>
      </c>
      <c r="I437" s="3">
        <f>IFERROR(__xludf.DUMMYFUNCTION("""COMPUTED_VALUE"""),0.0)</f>
        <v>0</v>
      </c>
      <c r="J437" s="4">
        <f>IFERROR(__xludf.DUMMYFUNCTION("""COMPUTED_VALUE"""),30.0)</f>
        <v>30</v>
      </c>
      <c r="K437" s="2"/>
      <c r="L437" s="2" t="str">
        <f>IFERROR(__xludf.DUMMYFUNCTION("""COMPUTED_VALUE"""),"Processing")</f>
        <v>Processing</v>
      </c>
      <c r="M437" s="2" t="str">
        <f>IFERROR(__xludf.DUMMYFUNCTION("""COMPUTED_VALUE"""),"")</f>
        <v></v>
      </c>
      <c r="N437" s="2" t="str">
        <f>IFERROR(__xludf.DUMMYFUNCTION("""COMPUTED_VALUE"""),"Credit, Debit, Apple Pay")</f>
        <v>Credit, Debit, Apple Pay</v>
      </c>
      <c r="O437" s="4">
        <f>IFERROR(__xludf.DUMMYFUNCTION("""COMPUTED_VALUE"""),0.0)</f>
        <v>0</v>
      </c>
      <c r="P437" s="2">
        <f>IFERROR(__xludf.DUMMYFUNCTION("""COMPUTED_VALUE"""),19.0)</f>
        <v>19</v>
      </c>
      <c r="Q437" s="2">
        <f>IFERROR(__xludf.DUMMYFUNCTION("""COMPUTED_VALUE"""),5.0)</f>
        <v>5</v>
      </c>
      <c r="R437" s="2">
        <f>IFERROR(__xludf.DUMMYFUNCTION("""COMPUTED_VALUE"""),2025.0)</f>
        <v>2025</v>
      </c>
      <c r="S437" s="2" t="str">
        <f>IFERROR(__xludf.DUMMYFUNCTION("""COMPUTED_VALUE"""),"Digizag")</f>
        <v>Digizag</v>
      </c>
      <c r="T437" s="2" t="str">
        <f>IFERROR(__xludf.DUMMYFUNCTION("""COMPUTED_VALUE"""),"Digizag")</f>
        <v>Digizag</v>
      </c>
      <c r="U437" s="5">
        <f>IFERROR(__xludf.DUMMYFUNCTION("""COMPUTED_VALUE"""),30.952273019680003)</f>
        <v>30.95227302</v>
      </c>
      <c r="V437" s="2"/>
      <c r="W437" s="2"/>
      <c r="X437" s="2"/>
      <c r="Y437" s="2"/>
      <c r="Z437" s="2"/>
    </row>
    <row r="438">
      <c r="A438" s="6">
        <f>IFERROR(__xludf.DUMMYFUNCTION("""COMPUTED_VALUE"""),45796.655752314815)</f>
        <v>45796.65575</v>
      </c>
      <c r="B438" s="2" t="str">
        <f>IFERROR(__xludf.DUMMYFUNCTION("""COMPUTED_VALUE"""),"May")</f>
        <v>May</v>
      </c>
      <c r="C438" s="3">
        <f>IFERROR(__xludf.DUMMYFUNCTION("""COMPUTED_VALUE"""),498487.0)</f>
        <v>498487</v>
      </c>
      <c r="D438" s="2" t="str">
        <f>IFERROR(__xludf.DUMMYFUNCTION("""COMPUTED_VALUE"""),"DB1")</f>
        <v>DB1</v>
      </c>
      <c r="E438" s="2" t="str">
        <f>IFERROR(__xludf.DUMMYFUNCTION("""COMPUTED_VALUE"""),"Imported from file Digizag.xlsx")</f>
        <v>Imported from file Digizag.xlsx</v>
      </c>
      <c r="F438" s="2" t="str">
        <f>IFERROR(__xludf.DUMMYFUNCTION("""COMPUTED_VALUE"""),"MYM663713")</f>
        <v>MYM663713</v>
      </c>
      <c r="G438" s="2" t="str">
        <f>IFERROR(__xludf.DUMMYFUNCTION("""COMPUTED_VALUE"""),"Kuwait")</f>
        <v>Kuwait</v>
      </c>
      <c r="H438" s="4">
        <f>IFERROR(__xludf.DUMMYFUNCTION("""COMPUTED_VALUE"""),55.35)</f>
        <v>55.35</v>
      </c>
      <c r="I438" s="3">
        <f>IFERROR(__xludf.DUMMYFUNCTION("""COMPUTED_VALUE"""),0.0)</f>
        <v>0</v>
      </c>
      <c r="J438" s="4">
        <f>IFERROR(__xludf.DUMMYFUNCTION("""COMPUTED_VALUE"""),5.535)</f>
        <v>5.535</v>
      </c>
      <c r="K438" s="2"/>
      <c r="L438" s="2" t="str">
        <f>IFERROR(__xludf.DUMMYFUNCTION("""COMPUTED_VALUE"""),"Delivered")</f>
        <v>Delivered</v>
      </c>
      <c r="M438" s="2" t="str">
        <f>IFERROR(__xludf.DUMMYFUNCTION("""COMPUTED_VALUE"""),"KD")</f>
        <v>KD</v>
      </c>
      <c r="N438" s="2" t="str">
        <f>IFERROR(__xludf.DUMMYFUNCTION("""COMPUTED_VALUE"""),"Credit, Debit, Knet")</f>
        <v>Credit, Debit, Knet</v>
      </c>
      <c r="O438" s="4">
        <f>IFERROR(__xludf.DUMMYFUNCTION("""COMPUTED_VALUE"""),0.0)</f>
        <v>0</v>
      </c>
      <c r="P438" s="2">
        <f>IFERROR(__xludf.DUMMYFUNCTION("""COMPUTED_VALUE"""),19.0)</f>
        <v>19</v>
      </c>
      <c r="Q438" s="2">
        <f>IFERROR(__xludf.DUMMYFUNCTION("""COMPUTED_VALUE"""),5.0)</f>
        <v>5</v>
      </c>
      <c r="R438" s="2">
        <f>IFERROR(__xludf.DUMMYFUNCTION("""COMPUTED_VALUE"""),2025.0)</f>
        <v>2025</v>
      </c>
      <c r="S438" s="2" t="str">
        <f>IFERROR(__xludf.DUMMYFUNCTION("""COMPUTED_VALUE"""),"Digizag")</f>
        <v>Digizag</v>
      </c>
      <c r="T438" s="2" t="str">
        <f>IFERROR(__xludf.DUMMYFUNCTION("""COMPUTED_VALUE"""),"Digizag")</f>
        <v>Digizag</v>
      </c>
      <c r="U438" s="5">
        <f>IFERROR(__xludf.DUMMYFUNCTION("""COMPUTED_VALUE"""),180.475317)</f>
        <v>180.475317</v>
      </c>
      <c r="V438" s="2"/>
      <c r="W438" s="2"/>
      <c r="X438" s="2"/>
      <c r="Y438" s="2"/>
      <c r="Z438" s="2"/>
    </row>
    <row r="439">
      <c r="A439" s="6">
        <f>IFERROR(__xludf.DUMMYFUNCTION("""COMPUTED_VALUE"""),45796.68785879629)</f>
        <v>45796.68786</v>
      </c>
      <c r="B439" s="2" t="str">
        <f>IFERROR(__xludf.DUMMYFUNCTION("""COMPUTED_VALUE"""),"May")</f>
        <v>May</v>
      </c>
      <c r="C439" s="3">
        <f>IFERROR(__xludf.DUMMYFUNCTION("""COMPUTED_VALUE"""),739998.0)</f>
        <v>739998</v>
      </c>
      <c r="D439" s="2" t="str">
        <f>IFERROR(__xludf.DUMMYFUNCTION("""COMPUTED_VALUE"""),"MNN16")</f>
        <v>MNN16</v>
      </c>
      <c r="E439" s="2" t="str">
        <f>IFERROR(__xludf.DUMMYFUNCTION("""COMPUTED_VALUE"""),"Imported from file DigiZag Codes 25Feb25.xlsx")</f>
        <v>Imported from file DigiZag Codes 25Feb25.xlsx</v>
      </c>
      <c r="F439" s="2" t="str">
        <f>IFERROR(__xludf.DUMMYFUNCTION("""COMPUTED_VALUE"""),"DWU463093")</f>
        <v>DWU463093</v>
      </c>
      <c r="G439" s="2" t="str">
        <f>IFERROR(__xludf.DUMMYFUNCTION("""COMPUTED_VALUE"""),"Kuwait")</f>
        <v>Kuwait</v>
      </c>
      <c r="H439" s="4">
        <f>IFERROR(__xludf.DUMMYFUNCTION("""COMPUTED_VALUE"""),8.97)</f>
        <v>8.97</v>
      </c>
      <c r="I439" s="3">
        <f>IFERROR(__xludf.DUMMYFUNCTION("""COMPUTED_VALUE"""),0.0)</f>
        <v>0</v>
      </c>
      <c r="J439" s="4">
        <f>IFERROR(__xludf.DUMMYFUNCTION("""COMPUTED_VALUE"""),0.897)</f>
        <v>0.897</v>
      </c>
      <c r="K439" s="2"/>
      <c r="L439" s="2" t="str">
        <f>IFERROR(__xludf.DUMMYFUNCTION("""COMPUTED_VALUE"""),"Processing")</f>
        <v>Processing</v>
      </c>
      <c r="M439" s="2" t="str">
        <f>IFERROR(__xludf.DUMMYFUNCTION("""COMPUTED_VALUE"""),"KD")</f>
        <v>KD</v>
      </c>
      <c r="N439" s="2" t="str">
        <f>IFERROR(__xludf.DUMMYFUNCTION("""COMPUTED_VALUE"""),"Cash")</f>
        <v>Cash</v>
      </c>
      <c r="O439" s="4">
        <f>IFERROR(__xludf.DUMMYFUNCTION("""COMPUTED_VALUE"""),0.0)</f>
        <v>0</v>
      </c>
      <c r="P439" s="2">
        <f>IFERROR(__xludf.DUMMYFUNCTION("""COMPUTED_VALUE"""),19.0)</f>
        <v>19</v>
      </c>
      <c r="Q439" s="2">
        <f>IFERROR(__xludf.DUMMYFUNCTION("""COMPUTED_VALUE"""),5.0)</f>
        <v>5</v>
      </c>
      <c r="R439" s="2">
        <f>IFERROR(__xludf.DUMMYFUNCTION("""COMPUTED_VALUE"""),2025.0)</f>
        <v>2025</v>
      </c>
      <c r="S439" s="2" t="str">
        <f>IFERROR(__xludf.DUMMYFUNCTION("""COMPUTED_VALUE"""),"Digizag")</f>
        <v>Digizag</v>
      </c>
      <c r="T439" s="2" t="str">
        <f>IFERROR(__xludf.DUMMYFUNCTION("""COMPUTED_VALUE"""),"Digizag")</f>
        <v>Digizag</v>
      </c>
      <c r="U439" s="5">
        <f>IFERROR(__xludf.DUMMYFUNCTION("""COMPUTED_VALUE"""),29.2477614)</f>
        <v>29.2477614</v>
      </c>
      <c r="V439" s="2"/>
      <c r="W439" s="2"/>
      <c r="X439" s="2"/>
      <c r="Y439" s="2"/>
      <c r="Z439" s="2"/>
    </row>
    <row r="440">
      <c r="A440" s="6">
        <f>IFERROR(__xludf.DUMMYFUNCTION("""COMPUTED_VALUE"""),45796.69664351852)</f>
        <v>45796.69664</v>
      </c>
      <c r="B440" s="2" t="str">
        <f>IFERROR(__xludf.DUMMYFUNCTION("""COMPUTED_VALUE"""),"May")</f>
        <v>May</v>
      </c>
      <c r="C440" s="3">
        <f>IFERROR(__xludf.DUMMYFUNCTION("""COMPUTED_VALUE"""),730072.0)</f>
        <v>730072</v>
      </c>
      <c r="D440" s="2" t="str">
        <f>IFERROR(__xludf.DUMMYFUNCTION("""COMPUTED_VALUE"""),"ZM22")</f>
        <v>ZM22</v>
      </c>
      <c r="E440" s="2" t="str">
        <f>IFERROR(__xludf.DUMMYFUNCTION("""COMPUTED_VALUE"""),"Imported from file Digizag.xlsx")</f>
        <v>Imported from file Digizag.xlsx</v>
      </c>
      <c r="F440" s="2" t="str">
        <f>IFERROR(__xludf.DUMMYFUNCTION("""COMPUTED_VALUE"""),"PNX897478")</f>
        <v>PNX897478</v>
      </c>
      <c r="G440" s="2" t="str">
        <f>IFERROR(__xludf.DUMMYFUNCTION("""COMPUTED_VALUE"""),"UAE")</f>
        <v>UAE</v>
      </c>
      <c r="H440" s="4">
        <f>IFERROR(__xludf.DUMMYFUNCTION("""COMPUTED_VALUE"""),170.48)</f>
        <v>170.48</v>
      </c>
      <c r="I440" s="3">
        <f>IFERROR(__xludf.DUMMYFUNCTION("""COMPUTED_VALUE"""),0.0)</f>
        <v>0</v>
      </c>
      <c r="J440" s="4">
        <f>IFERROR(__xludf.DUMMYFUNCTION("""COMPUTED_VALUE"""),17.04)</f>
        <v>17.04</v>
      </c>
      <c r="K440" s="2"/>
      <c r="L440" s="2" t="str">
        <f>IFERROR(__xludf.DUMMYFUNCTION("""COMPUTED_VALUE"""),"Processing")</f>
        <v>Processing</v>
      </c>
      <c r="M440" s="2" t="str">
        <f>IFERROR(__xludf.DUMMYFUNCTION("""COMPUTED_VALUE"""),"")</f>
        <v></v>
      </c>
      <c r="N440" s="2" t="str">
        <f>IFERROR(__xludf.DUMMYFUNCTION("""COMPUTED_VALUE"""),"Credit, Debit , Apple Pay")</f>
        <v>Credit, Debit , Apple Pay</v>
      </c>
      <c r="O440" s="4">
        <f>IFERROR(__xludf.DUMMYFUNCTION("""COMPUTED_VALUE"""),0.0)</f>
        <v>0</v>
      </c>
      <c r="P440" s="2">
        <f>IFERROR(__xludf.DUMMYFUNCTION("""COMPUTED_VALUE"""),19.0)</f>
        <v>19</v>
      </c>
      <c r="Q440" s="2">
        <f>IFERROR(__xludf.DUMMYFUNCTION("""COMPUTED_VALUE"""),5.0)</f>
        <v>5</v>
      </c>
      <c r="R440" s="2">
        <f>IFERROR(__xludf.DUMMYFUNCTION("""COMPUTED_VALUE"""),2025.0)</f>
        <v>2025</v>
      </c>
      <c r="S440" s="2" t="str">
        <f>IFERROR(__xludf.DUMMYFUNCTION("""COMPUTED_VALUE"""),"Digizag")</f>
        <v>Digizag</v>
      </c>
      <c r="T440" s="2" t="str">
        <f>IFERROR(__xludf.DUMMYFUNCTION("""COMPUTED_VALUE"""),"Digizag")</f>
        <v>Digizag</v>
      </c>
      <c r="U440" s="5">
        <f>IFERROR(__xludf.DUMMYFUNCTION("""COMPUTED_VALUE"""),46.42069441744)</f>
        <v>46.42069442</v>
      </c>
      <c r="V440" s="2"/>
      <c r="W440" s="2"/>
      <c r="X440" s="2"/>
      <c r="Y440" s="2"/>
      <c r="Z440" s="2"/>
    </row>
    <row r="441">
      <c r="A441" s="6">
        <f>IFERROR(__xludf.DUMMYFUNCTION("""COMPUTED_VALUE"""),45796.70112268518)</f>
        <v>45796.70112</v>
      </c>
      <c r="B441" s="2" t="str">
        <f>IFERROR(__xludf.DUMMYFUNCTION("""COMPUTED_VALUE"""),"May")</f>
        <v>May</v>
      </c>
      <c r="C441" s="3">
        <f>IFERROR(__xludf.DUMMYFUNCTION("""COMPUTED_VALUE"""),497963.0)</f>
        <v>497963</v>
      </c>
      <c r="D441" s="2" t="str">
        <f>IFERROR(__xludf.DUMMYFUNCTION("""COMPUTED_VALUE"""),"MNN16")</f>
        <v>MNN16</v>
      </c>
      <c r="E441" s="2" t="str">
        <f>IFERROR(__xludf.DUMMYFUNCTION("""COMPUTED_VALUE"""),"Imported from file DigiZag Codes 25Feb25.xlsx")</f>
        <v>Imported from file DigiZag Codes 25Feb25.xlsx</v>
      </c>
      <c r="F441" s="2" t="str">
        <f>IFERROR(__xludf.DUMMYFUNCTION("""COMPUTED_VALUE"""),"HUW911906")</f>
        <v>HUW911906</v>
      </c>
      <c r="G441" s="2" t="str">
        <f>IFERROR(__xludf.DUMMYFUNCTION("""COMPUTED_VALUE"""),"UAE")</f>
        <v>UAE</v>
      </c>
      <c r="H441" s="4">
        <f>IFERROR(__xludf.DUMMYFUNCTION("""COMPUTED_VALUE"""),204.52)</f>
        <v>204.52</v>
      </c>
      <c r="I441" s="3">
        <f>IFERROR(__xludf.DUMMYFUNCTION("""COMPUTED_VALUE"""),0.0)</f>
        <v>0</v>
      </c>
      <c r="J441" s="4">
        <f>IFERROR(__xludf.DUMMYFUNCTION("""COMPUTED_VALUE"""),20.45)</f>
        <v>20.45</v>
      </c>
      <c r="K441" s="2"/>
      <c r="L441" s="2" t="str">
        <f>IFERROR(__xludf.DUMMYFUNCTION("""COMPUTED_VALUE"""),"Processing")</f>
        <v>Processing</v>
      </c>
      <c r="M441" s="2" t="str">
        <f>IFERROR(__xludf.DUMMYFUNCTION("""COMPUTED_VALUE"""),"")</f>
        <v></v>
      </c>
      <c r="N441" s="2" t="str">
        <f>IFERROR(__xludf.DUMMYFUNCTION("""COMPUTED_VALUE"""),"Cash")</f>
        <v>Cash</v>
      </c>
      <c r="O441" s="4">
        <f>IFERROR(__xludf.DUMMYFUNCTION("""COMPUTED_VALUE"""),0.0)</f>
        <v>0</v>
      </c>
      <c r="P441" s="2">
        <f>IFERROR(__xludf.DUMMYFUNCTION("""COMPUTED_VALUE"""),19.0)</f>
        <v>19</v>
      </c>
      <c r="Q441" s="2">
        <f>IFERROR(__xludf.DUMMYFUNCTION("""COMPUTED_VALUE"""),5.0)</f>
        <v>5</v>
      </c>
      <c r="R441" s="2">
        <f>IFERROR(__xludf.DUMMYFUNCTION("""COMPUTED_VALUE"""),2025.0)</f>
        <v>2025</v>
      </c>
      <c r="S441" s="2" t="str">
        <f>IFERROR(__xludf.DUMMYFUNCTION("""COMPUTED_VALUE"""),"Digizag")</f>
        <v>Digizag</v>
      </c>
      <c r="T441" s="2" t="str">
        <f>IFERROR(__xludf.DUMMYFUNCTION("""COMPUTED_VALUE"""),"Digizag")</f>
        <v>Digizag</v>
      </c>
      <c r="U441" s="5">
        <f>IFERROR(__xludf.DUMMYFUNCTION("""COMPUTED_VALUE"""),55.68958483256)</f>
        <v>55.68958483</v>
      </c>
      <c r="V441" s="2"/>
      <c r="W441" s="2"/>
      <c r="X441" s="2"/>
      <c r="Y441" s="2"/>
      <c r="Z441" s="2"/>
    </row>
    <row r="442">
      <c r="A442" s="6">
        <f>IFERROR(__xludf.DUMMYFUNCTION("""COMPUTED_VALUE"""),45797.04399305555)</f>
        <v>45797.04399</v>
      </c>
      <c r="B442" s="2" t="str">
        <f>IFERROR(__xludf.DUMMYFUNCTION("""COMPUTED_VALUE"""),"May")</f>
        <v>May</v>
      </c>
      <c r="C442" s="3">
        <f>IFERROR(__xludf.DUMMYFUNCTION("""COMPUTED_VALUE"""),586708.0)</f>
        <v>586708</v>
      </c>
      <c r="D442" s="2" t="str">
        <f>IFERROR(__xludf.DUMMYFUNCTION("""COMPUTED_VALUE"""),"DB1")</f>
        <v>DB1</v>
      </c>
      <c r="E442" s="2" t="str">
        <f>IFERROR(__xludf.DUMMYFUNCTION("""COMPUTED_VALUE"""),"Imported from file Digizag.xlsx")</f>
        <v>Imported from file Digizag.xlsx</v>
      </c>
      <c r="F442" s="2" t="str">
        <f>IFERROR(__xludf.DUMMYFUNCTION("""COMPUTED_VALUE"""),"QBX327746")</f>
        <v>QBX327746</v>
      </c>
      <c r="G442" s="2" t="str">
        <f>IFERROR(__xludf.DUMMYFUNCTION("""COMPUTED_VALUE"""),"Kuwait")</f>
        <v>Kuwait</v>
      </c>
      <c r="H442" s="4">
        <f>IFERROR(__xludf.DUMMYFUNCTION("""COMPUTED_VALUE"""),16.9)</f>
        <v>16.9</v>
      </c>
      <c r="I442" s="3">
        <f>IFERROR(__xludf.DUMMYFUNCTION("""COMPUTED_VALUE"""),0.0)</f>
        <v>0</v>
      </c>
      <c r="J442" s="4">
        <f>IFERROR(__xludf.DUMMYFUNCTION("""COMPUTED_VALUE"""),1.69)</f>
        <v>1.69</v>
      </c>
      <c r="K442" s="2"/>
      <c r="L442" s="2" t="str">
        <f>IFERROR(__xludf.DUMMYFUNCTION("""COMPUTED_VALUE"""),"Delivered")</f>
        <v>Delivered</v>
      </c>
      <c r="M442" s="2" t="str">
        <f>IFERROR(__xludf.DUMMYFUNCTION("""COMPUTED_VALUE"""),"KD")</f>
        <v>KD</v>
      </c>
      <c r="N442" s="2" t="str">
        <f>IFERROR(__xludf.DUMMYFUNCTION("""COMPUTED_VALUE"""),"Credit, Debit, Knet")</f>
        <v>Credit, Debit, Knet</v>
      </c>
      <c r="O442" s="4">
        <f>IFERROR(__xludf.DUMMYFUNCTION("""COMPUTED_VALUE"""),0.0)</f>
        <v>0</v>
      </c>
      <c r="P442" s="2">
        <f>IFERROR(__xludf.DUMMYFUNCTION("""COMPUTED_VALUE"""),20.0)</f>
        <v>20</v>
      </c>
      <c r="Q442" s="2">
        <f>IFERROR(__xludf.DUMMYFUNCTION("""COMPUTED_VALUE"""),5.0)</f>
        <v>5</v>
      </c>
      <c r="R442" s="2">
        <f>IFERROR(__xludf.DUMMYFUNCTION("""COMPUTED_VALUE"""),2025.0)</f>
        <v>2025</v>
      </c>
      <c r="S442" s="2" t="str">
        <f>IFERROR(__xludf.DUMMYFUNCTION("""COMPUTED_VALUE"""),"Digizag")</f>
        <v>Digizag</v>
      </c>
      <c r="T442" s="2" t="str">
        <f>IFERROR(__xludf.DUMMYFUNCTION("""COMPUTED_VALUE"""),"Digizag")</f>
        <v>Digizag</v>
      </c>
      <c r="U442" s="5">
        <f>IFERROR(__xludf.DUMMYFUNCTION("""COMPUTED_VALUE"""),55.10447799999999)</f>
        <v>55.104478</v>
      </c>
      <c r="V442" s="2"/>
      <c r="W442" s="2"/>
      <c r="X442" s="2"/>
      <c r="Y442" s="2"/>
      <c r="Z442" s="2"/>
    </row>
    <row r="443">
      <c r="A443" s="6">
        <f>IFERROR(__xludf.DUMMYFUNCTION("""COMPUTED_VALUE"""),45797.322129629625)</f>
        <v>45797.32213</v>
      </c>
      <c r="B443" s="2" t="str">
        <f>IFERROR(__xludf.DUMMYFUNCTION("""COMPUTED_VALUE"""),"May")</f>
        <v>May</v>
      </c>
      <c r="C443" s="3">
        <f>IFERROR(__xludf.DUMMYFUNCTION("""COMPUTED_VALUE"""),360451.0)</f>
        <v>360451</v>
      </c>
      <c r="D443" s="2" t="str">
        <f>IFERROR(__xludf.DUMMYFUNCTION("""COMPUTED_VALUE"""),"ZM22")</f>
        <v>ZM22</v>
      </c>
      <c r="E443" s="2" t="str">
        <f>IFERROR(__xludf.DUMMYFUNCTION("""COMPUTED_VALUE"""),"Imported from file Digizag.xlsx")</f>
        <v>Imported from file Digizag.xlsx</v>
      </c>
      <c r="F443" s="2" t="str">
        <f>IFERROR(__xludf.DUMMYFUNCTION("""COMPUTED_VALUE"""),"CVC323103")</f>
        <v>CVC323103</v>
      </c>
      <c r="G443" s="2" t="str">
        <f>IFERROR(__xludf.DUMMYFUNCTION("""COMPUTED_VALUE"""),"UAE")</f>
        <v>UAE</v>
      </c>
      <c r="H443" s="4">
        <f>IFERROR(__xludf.DUMMYFUNCTION("""COMPUTED_VALUE"""),380.0)</f>
        <v>380</v>
      </c>
      <c r="I443" s="3">
        <f>IFERROR(__xludf.DUMMYFUNCTION("""COMPUTED_VALUE"""),0.0)</f>
        <v>0</v>
      </c>
      <c r="J443" s="4">
        <f>IFERROR(__xludf.DUMMYFUNCTION("""COMPUTED_VALUE"""),38.0)</f>
        <v>38</v>
      </c>
      <c r="K443" s="2"/>
      <c r="L443" s="2" t="str">
        <f>IFERROR(__xludf.DUMMYFUNCTION("""COMPUTED_VALUE"""),"Delivered")</f>
        <v>Delivered</v>
      </c>
      <c r="M443" s="2" t="str">
        <f>IFERROR(__xludf.DUMMYFUNCTION("""COMPUTED_VALUE"""),"")</f>
        <v></v>
      </c>
      <c r="N443" s="2" t="str">
        <f>IFERROR(__xludf.DUMMYFUNCTION("""COMPUTED_VALUE"""),"Credit, Debit , Apple Pay")</f>
        <v>Credit, Debit , Apple Pay</v>
      </c>
      <c r="O443" s="4">
        <f>IFERROR(__xludf.DUMMYFUNCTION("""COMPUTED_VALUE"""),0.0)</f>
        <v>0</v>
      </c>
      <c r="P443" s="2">
        <f>IFERROR(__xludf.DUMMYFUNCTION("""COMPUTED_VALUE"""),20.0)</f>
        <v>20</v>
      </c>
      <c r="Q443" s="2">
        <f>IFERROR(__xludf.DUMMYFUNCTION("""COMPUTED_VALUE"""),5.0)</f>
        <v>5</v>
      </c>
      <c r="R443" s="2">
        <f>IFERROR(__xludf.DUMMYFUNCTION("""COMPUTED_VALUE"""),2025.0)</f>
        <v>2025</v>
      </c>
      <c r="S443" s="2" t="str">
        <f>IFERROR(__xludf.DUMMYFUNCTION("""COMPUTED_VALUE"""),"Digizag")</f>
        <v>Digizag</v>
      </c>
      <c r="T443" s="2" t="str">
        <f>IFERROR(__xludf.DUMMYFUNCTION("""COMPUTED_VALUE"""),"Digizag")</f>
        <v>Digizag</v>
      </c>
      <c r="U443" s="5">
        <f>IFERROR(__xludf.DUMMYFUNCTION("""COMPUTED_VALUE"""),103.47174964)</f>
        <v>103.4717496</v>
      </c>
      <c r="V443" s="2"/>
      <c r="W443" s="2"/>
      <c r="X443" s="2"/>
      <c r="Y443" s="2"/>
      <c r="Z443" s="2"/>
    </row>
    <row r="444">
      <c r="A444" s="6">
        <f>IFERROR(__xludf.DUMMYFUNCTION("""COMPUTED_VALUE"""),45797.34679398148)</f>
        <v>45797.34679</v>
      </c>
      <c r="B444" s="2" t="str">
        <f>IFERROR(__xludf.DUMMYFUNCTION("""COMPUTED_VALUE"""),"May")</f>
        <v>May</v>
      </c>
      <c r="C444" s="3">
        <f>IFERROR(__xludf.DUMMYFUNCTION("""COMPUTED_VALUE"""),163907.0)</f>
        <v>163907</v>
      </c>
      <c r="D444" s="2" t="str">
        <f>IFERROR(__xludf.DUMMYFUNCTION("""COMPUTED_VALUE"""),"RR22")</f>
        <v>RR22</v>
      </c>
      <c r="E444" s="2" t="str">
        <f>IFERROR(__xludf.DUMMYFUNCTION("""COMPUTED_VALUE"""),"Imported from file Digizag.xlsx")</f>
        <v>Imported from file Digizag.xlsx</v>
      </c>
      <c r="F444" s="2" t="str">
        <f>IFERROR(__xludf.DUMMYFUNCTION("""COMPUTED_VALUE"""),"VAB583038")</f>
        <v>VAB583038</v>
      </c>
      <c r="G444" s="2" t="str">
        <f>IFERROR(__xludf.DUMMYFUNCTION("""COMPUTED_VALUE"""),"UAE")</f>
        <v>UAE</v>
      </c>
      <c r="H444" s="4">
        <f>IFERROR(__xludf.DUMMYFUNCTION("""COMPUTED_VALUE"""),150.48)</f>
        <v>150.48</v>
      </c>
      <c r="I444" s="3">
        <f>IFERROR(__xludf.DUMMYFUNCTION("""COMPUTED_VALUE"""),0.0)</f>
        <v>0</v>
      </c>
      <c r="J444" s="4">
        <f>IFERROR(__xludf.DUMMYFUNCTION("""COMPUTED_VALUE"""),15.04)</f>
        <v>15.04</v>
      </c>
      <c r="K444" s="2"/>
      <c r="L444" s="2" t="str">
        <f>IFERROR(__xludf.DUMMYFUNCTION("""COMPUTED_VALUE"""),"Processing")</f>
        <v>Processing</v>
      </c>
      <c r="M444" s="2" t="str">
        <f>IFERROR(__xludf.DUMMYFUNCTION("""COMPUTED_VALUE"""),"")</f>
        <v></v>
      </c>
      <c r="N444" s="2" t="str">
        <f>IFERROR(__xludf.DUMMYFUNCTION("""COMPUTED_VALUE"""),"Credit, Debit , Apple Pay")</f>
        <v>Credit, Debit , Apple Pay</v>
      </c>
      <c r="O444" s="4">
        <f>IFERROR(__xludf.DUMMYFUNCTION("""COMPUTED_VALUE"""),0.0)</f>
        <v>0</v>
      </c>
      <c r="P444" s="2">
        <f>IFERROR(__xludf.DUMMYFUNCTION("""COMPUTED_VALUE"""),20.0)</f>
        <v>20</v>
      </c>
      <c r="Q444" s="2">
        <f>IFERROR(__xludf.DUMMYFUNCTION("""COMPUTED_VALUE"""),5.0)</f>
        <v>5</v>
      </c>
      <c r="R444" s="2">
        <f>IFERROR(__xludf.DUMMYFUNCTION("""COMPUTED_VALUE"""),2025.0)</f>
        <v>2025</v>
      </c>
      <c r="S444" s="2" t="str">
        <f>IFERROR(__xludf.DUMMYFUNCTION("""COMPUTED_VALUE"""),"Digizag")</f>
        <v>Digizag</v>
      </c>
      <c r="T444" s="2" t="str">
        <f>IFERROR(__xludf.DUMMYFUNCTION("""COMPUTED_VALUE"""),"Digizag")</f>
        <v>Digizag</v>
      </c>
      <c r="U444" s="5">
        <f>IFERROR(__xludf.DUMMYFUNCTION("""COMPUTED_VALUE"""),40.97481285744)</f>
        <v>40.97481286</v>
      </c>
      <c r="V444" s="2"/>
      <c r="W444" s="2"/>
      <c r="X444" s="2"/>
      <c r="Y444" s="2"/>
      <c r="Z444" s="2"/>
    </row>
    <row r="445">
      <c r="A445" s="6">
        <f>IFERROR(__xludf.DUMMYFUNCTION("""COMPUTED_VALUE"""),45797.506956018515)</f>
        <v>45797.50696</v>
      </c>
      <c r="B445" s="2" t="str">
        <f>IFERROR(__xludf.DUMMYFUNCTION("""COMPUTED_VALUE"""),"May")</f>
        <v>May</v>
      </c>
      <c r="C445" s="3">
        <f>IFERROR(__xludf.DUMMYFUNCTION("""COMPUTED_VALUE"""),739877.0)</f>
        <v>739877</v>
      </c>
      <c r="D445" s="2" t="str">
        <f>IFERROR(__xludf.DUMMYFUNCTION("""COMPUTED_VALUE"""),"MNN16")</f>
        <v>MNN16</v>
      </c>
      <c r="E445" s="2" t="str">
        <f>IFERROR(__xludf.DUMMYFUNCTION("""COMPUTED_VALUE"""),"Imported from file DigiZag Bidding Codes.xlsx")</f>
        <v>Imported from file DigiZag Bidding Codes.xlsx</v>
      </c>
      <c r="F445" s="2" t="str">
        <f>IFERROR(__xludf.DUMMYFUNCTION("""COMPUTED_VALUE"""),"AYG191862")</f>
        <v>AYG191862</v>
      </c>
      <c r="G445" s="2" t="str">
        <f>IFERROR(__xludf.DUMMYFUNCTION("""COMPUTED_VALUE"""),"Kingdom of Saudi Arabia")</f>
        <v>Kingdom of Saudi Arabia</v>
      </c>
      <c r="H445" s="4">
        <f>IFERROR(__xludf.DUMMYFUNCTION("""COMPUTED_VALUE"""),260.0)</f>
        <v>260</v>
      </c>
      <c r="I445" s="3">
        <f>IFERROR(__xludf.DUMMYFUNCTION("""COMPUTED_VALUE"""),0.0)</f>
        <v>0</v>
      </c>
      <c r="J445" s="4">
        <f>IFERROR(__xludf.DUMMYFUNCTION("""COMPUTED_VALUE"""),30.0)</f>
        <v>30</v>
      </c>
      <c r="K445" s="2"/>
      <c r="L445" s="2" t="str">
        <f>IFERROR(__xludf.DUMMYFUNCTION("""COMPUTED_VALUE"""),"Processing")</f>
        <v>Processing</v>
      </c>
      <c r="M445" s="2" t="str">
        <f>IFERROR(__xludf.DUMMYFUNCTION("""COMPUTED_VALUE"""),"")</f>
        <v></v>
      </c>
      <c r="N445" s="2" t="str">
        <f>IFERROR(__xludf.DUMMYFUNCTION("""COMPUTED_VALUE"""),"Credit, Debit, Apple Pay")</f>
        <v>Credit, Debit, Apple Pay</v>
      </c>
      <c r="O445" s="4">
        <f>IFERROR(__xludf.DUMMYFUNCTION("""COMPUTED_VALUE"""),0.0)</f>
        <v>0</v>
      </c>
      <c r="P445" s="2">
        <f>IFERROR(__xludf.DUMMYFUNCTION("""COMPUTED_VALUE"""),20.0)</f>
        <v>20</v>
      </c>
      <c r="Q445" s="2">
        <f>IFERROR(__xludf.DUMMYFUNCTION("""COMPUTED_VALUE"""),5.0)</f>
        <v>5</v>
      </c>
      <c r="R445" s="2">
        <f>IFERROR(__xludf.DUMMYFUNCTION("""COMPUTED_VALUE"""),2025.0)</f>
        <v>2025</v>
      </c>
      <c r="S445" s="2" t="str">
        <f>IFERROR(__xludf.DUMMYFUNCTION("""COMPUTED_VALUE"""),"Digizag")</f>
        <v>Digizag</v>
      </c>
      <c r="T445" s="2" t="str">
        <f>IFERROR(__xludf.DUMMYFUNCTION("""COMPUTED_VALUE"""),"Digizag")</f>
        <v>Digizag</v>
      </c>
      <c r="U445" s="5">
        <f>IFERROR(__xludf.DUMMYFUNCTION("""COMPUTED_VALUE"""),69.32797196000001)</f>
        <v>69.32797196</v>
      </c>
      <c r="V445" s="2"/>
      <c r="W445" s="2"/>
      <c r="X445" s="2"/>
      <c r="Y445" s="2"/>
      <c r="Z445" s="2"/>
    </row>
    <row r="446">
      <c r="A446" s="6">
        <f>IFERROR(__xludf.DUMMYFUNCTION("""COMPUTED_VALUE"""),45797.63900462963)</f>
        <v>45797.639</v>
      </c>
      <c r="B446" s="2" t="str">
        <f>IFERROR(__xludf.DUMMYFUNCTION("""COMPUTED_VALUE"""),"May")</f>
        <v>May</v>
      </c>
      <c r="C446" s="3">
        <f>IFERROR(__xludf.DUMMYFUNCTION("""COMPUTED_VALUE"""),740115.0)</f>
        <v>740115</v>
      </c>
      <c r="D446" s="2" t="str">
        <f>IFERROR(__xludf.DUMMYFUNCTION("""COMPUTED_VALUE"""),"MNN16")</f>
        <v>MNN16</v>
      </c>
      <c r="E446" s="2" t="str">
        <f>IFERROR(__xludf.DUMMYFUNCTION("""COMPUTED_VALUE"""),"Imported from file DigiZag Bidding Codes.xlsx")</f>
        <v>Imported from file DigiZag Bidding Codes.xlsx</v>
      </c>
      <c r="F446" s="2" t="str">
        <f>IFERROR(__xludf.DUMMYFUNCTION("""COMPUTED_VALUE"""),"TSM729257")</f>
        <v>TSM729257</v>
      </c>
      <c r="G446" s="2" t="str">
        <f>IFERROR(__xludf.DUMMYFUNCTION("""COMPUTED_VALUE"""),"Kingdom of Saudi Arabia")</f>
        <v>Kingdom of Saudi Arabia</v>
      </c>
      <c r="H446" s="4">
        <f>IFERROR(__xludf.DUMMYFUNCTION("""COMPUTED_VALUE"""),68.7)</f>
        <v>68.7</v>
      </c>
      <c r="I446" s="3">
        <f>IFERROR(__xludf.DUMMYFUNCTION("""COMPUTED_VALUE"""),0.0)</f>
        <v>0</v>
      </c>
      <c r="J446" s="4">
        <f>IFERROR(__xludf.DUMMYFUNCTION("""COMPUTED_VALUE"""),30.0)</f>
        <v>30</v>
      </c>
      <c r="K446" s="2"/>
      <c r="L446" s="2" t="str">
        <f>IFERROR(__xludf.DUMMYFUNCTION("""COMPUTED_VALUE"""),"Processing")</f>
        <v>Processing</v>
      </c>
      <c r="M446" s="2" t="str">
        <f>IFERROR(__xludf.DUMMYFUNCTION("""COMPUTED_VALUE"""),"")</f>
        <v></v>
      </c>
      <c r="N446" s="2" t="str">
        <f>IFERROR(__xludf.DUMMYFUNCTION("""COMPUTED_VALUE"""),"Credit, Debit, Apple Pay")</f>
        <v>Credit, Debit, Apple Pay</v>
      </c>
      <c r="O446" s="4">
        <f>IFERROR(__xludf.DUMMYFUNCTION("""COMPUTED_VALUE"""),0.0)</f>
        <v>0</v>
      </c>
      <c r="P446" s="2">
        <f>IFERROR(__xludf.DUMMYFUNCTION("""COMPUTED_VALUE"""),20.0)</f>
        <v>20</v>
      </c>
      <c r="Q446" s="2">
        <f>IFERROR(__xludf.DUMMYFUNCTION("""COMPUTED_VALUE"""),5.0)</f>
        <v>5</v>
      </c>
      <c r="R446" s="2">
        <f>IFERROR(__xludf.DUMMYFUNCTION("""COMPUTED_VALUE"""),2025.0)</f>
        <v>2025</v>
      </c>
      <c r="S446" s="2" t="str">
        <f>IFERROR(__xludf.DUMMYFUNCTION("""COMPUTED_VALUE"""),"Digizag")</f>
        <v>Digizag</v>
      </c>
      <c r="T446" s="2" t="str">
        <f>IFERROR(__xludf.DUMMYFUNCTION("""COMPUTED_VALUE"""),"Digizag")</f>
        <v>Digizag</v>
      </c>
      <c r="U446" s="5">
        <f>IFERROR(__xludf.DUMMYFUNCTION("""COMPUTED_VALUE"""),18.3185833602)</f>
        <v>18.31858336</v>
      </c>
      <c r="V446" s="2"/>
      <c r="W446" s="2"/>
      <c r="X446" s="2"/>
      <c r="Y446" s="2"/>
      <c r="Z446" s="2"/>
    </row>
    <row r="447">
      <c r="A447" s="6">
        <f>IFERROR(__xludf.DUMMYFUNCTION("""COMPUTED_VALUE"""),45797.644895833335)</f>
        <v>45797.6449</v>
      </c>
      <c r="B447" s="2" t="str">
        <f>IFERROR(__xludf.DUMMYFUNCTION("""COMPUTED_VALUE"""),"May")</f>
        <v>May</v>
      </c>
      <c r="C447" s="3">
        <f>IFERROR(__xludf.DUMMYFUNCTION("""COMPUTED_VALUE"""),740115.0)</f>
        <v>740115</v>
      </c>
      <c r="D447" s="2" t="str">
        <f>IFERROR(__xludf.DUMMYFUNCTION("""COMPUTED_VALUE"""),"MNN16")</f>
        <v>MNN16</v>
      </c>
      <c r="E447" s="2" t="str">
        <f>IFERROR(__xludf.DUMMYFUNCTION("""COMPUTED_VALUE"""),"Imported from file DigiZag Bidding Codes.xlsx")</f>
        <v>Imported from file DigiZag Bidding Codes.xlsx</v>
      </c>
      <c r="F447" s="2" t="str">
        <f>IFERROR(__xludf.DUMMYFUNCTION("""COMPUTED_VALUE"""),"ASA378701")</f>
        <v>ASA378701</v>
      </c>
      <c r="G447" s="2" t="str">
        <f>IFERROR(__xludf.DUMMYFUNCTION("""COMPUTED_VALUE"""),"Kingdom of Saudi Arabia")</f>
        <v>Kingdom of Saudi Arabia</v>
      </c>
      <c r="H447" s="4">
        <f>IFERROR(__xludf.DUMMYFUNCTION("""COMPUTED_VALUE"""),68.7)</f>
        <v>68.7</v>
      </c>
      <c r="I447" s="3">
        <f>IFERROR(__xludf.DUMMYFUNCTION("""COMPUTED_VALUE"""),0.0)</f>
        <v>0</v>
      </c>
      <c r="J447" s="4">
        <f>IFERROR(__xludf.DUMMYFUNCTION("""COMPUTED_VALUE"""),30.0)</f>
        <v>30</v>
      </c>
      <c r="K447" s="2"/>
      <c r="L447" s="2" t="str">
        <f>IFERROR(__xludf.DUMMYFUNCTION("""COMPUTED_VALUE"""),"Processing")</f>
        <v>Processing</v>
      </c>
      <c r="M447" s="2" t="str">
        <f>IFERROR(__xludf.DUMMYFUNCTION("""COMPUTED_VALUE"""),"")</f>
        <v></v>
      </c>
      <c r="N447" s="2" t="str">
        <f>IFERROR(__xludf.DUMMYFUNCTION("""COMPUTED_VALUE"""),"Credit, Debit, Apple Pay")</f>
        <v>Credit, Debit, Apple Pay</v>
      </c>
      <c r="O447" s="4">
        <f>IFERROR(__xludf.DUMMYFUNCTION("""COMPUTED_VALUE"""),0.0)</f>
        <v>0</v>
      </c>
      <c r="P447" s="2">
        <f>IFERROR(__xludf.DUMMYFUNCTION("""COMPUTED_VALUE"""),20.0)</f>
        <v>20</v>
      </c>
      <c r="Q447" s="2">
        <f>IFERROR(__xludf.DUMMYFUNCTION("""COMPUTED_VALUE"""),5.0)</f>
        <v>5</v>
      </c>
      <c r="R447" s="2">
        <f>IFERROR(__xludf.DUMMYFUNCTION("""COMPUTED_VALUE"""),2025.0)</f>
        <v>2025</v>
      </c>
      <c r="S447" s="2" t="str">
        <f>IFERROR(__xludf.DUMMYFUNCTION("""COMPUTED_VALUE"""),"Digizag")</f>
        <v>Digizag</v>
      </c>
      <c r="T447" s="2" t="str">
        <f>IFERROR(__xludf.DUMMYFUNCTION("""COMPUTED_VALUE"""),"Digizag")</f>
        <v>Digizag</v>
      </c>
      <c r="U447" s="5">
        <f>IFERROR(__xludf.DUMMYFUNCTION("""COMPUTED_VALUE"""),18.3185833602)</f>
        <v>18.31858336</v>
      </c>
      <c r="V447" s="2"/>
      <c r="W447" s="2"/>
      <c r="X447" s="2"/>
      <c r="Y447" s="2"/>
      <c r="Z447" s="2"/>
    </row>
    <row r="448">
      <c r="A448" s="6">
        <f>IFERROR(__xludf.DUMMYFUNCTION("""COMPUTED_VALUE"""),45797.89407407407)</f>
        <v>45797.89407</v>
      </c>
      <c r="B448" s="2" t="str">
        <f>IFERROR(__xludf.DUMMYFUNCTION("""COMPUTED_VALUE"""),"May")</f>
        <v>May</v>
      </c>
      <c r="C448" s="3">
        <f>IFERROR(__xludf.DUMMYFUNCTION("""COMPUTED_VALUE"""),740729.0)</f>
        <v>740729</v>
      </c>
      <c r="D448" s="2" t="str">
        <f>IFERROR(__xludf.DUMMYFUNCTION("""COMPUTED_VALUE"""),"MNN16")</f>
        <v>MNN16</v>
      </c>
      <c r="E448" s="2" t="str">
        <f>IFERROR(__xludf.DUMMYFUNCTION("""COMPUTED_VALUE"""),"Imported from file DigiZag Codes 25Feb25.xlsx")</f>
        <v>Imported from file DigiZag Codes 25Feb25.xlsx</v>
      </c>
      <c r="F448" s="2" t="str">
        <f>IFERROR(__xludf.DUMMYFUNCTION("""COMPUTED_VALUE"""),"QXQ960512")</f>
        <v>QXQ960512</v>
      </c>
      <c r="G448" s="2" t="str">
        <f>IFERROR(__xludf.DUMMYFUNCTION("""COMPUTED_VALUE"""),"UAE")</f>
        <v>UAE</v>
      </c>
      <c r="H448" s="4">
        <f>IFERROR(__xludf.DUMMYFUNCTION("""COMPUTED_VALUE"""),220.0)</f>
        <v>220</v>
      </c>
      <c r="I448" s="3">
        <f>IFERROR(__xludf.DUMMYFUNCTION("""COMPUTED_VALUE"""),0.0)</f>
        <v>0</v>
      </c>
      <c r="J448" s="4">
        <f>IFERROR(__xludf.DUMMYFUNCTION("""COMPUTED_VALUE"""),22.0)</f>
        <v>22</v>
      </c>
      <c r="K448" s="2"/>
      <c r="L448" s="2" t="str">
        <f>IFERROR(__xludf.DUMMYFUNCTION("""COMPUTED_VALUE"""),"Processing")</f>
        <v>Processing</v>
      </c>
      <c r="M448" s="2" t="str">
        <f>IFERROR(__xludf.DUMMYFUNCTION("""COMPUTED_VALUE"""),"")</f>
        <v></v>
      </c>
      <c r="N448" s="2" t="str">
        <f>IFERROR(__xludf.DUMMYFUNCTION("""COMPUTED_VALUE"""),"Credit, Debit , Apple Pay")</f>
        <v>Credit, Debit , Apple Pay</v>
      </c>
      <c r="O448" s="4">
        <f>IFERROR(__xludf.DUMMYFUNCTION("""COMPUTED_VALUE"""),0.0)</f>
        <v>0</v>
      </c>
      <c r="P448" s="2">
        <f>IFERROR(__xludf.DUMMYFUNCTION("""COMPUTED_VALUE"""),20.0)</f>
        <v>20</v>
      </c>
      <c r="Q448" s="2">
        <f>IFERROR(__xludf.DUMMYFUNCTION("""COMPUTED_VALUE"""),5.0)</f>
        <v>5</v>
      </c>
      <c r="R448" s="2">
        <f>IFERROR(__xludf.DUMMYFUNCTION("""COMPUTED_VALUE"""),2025.0)</f>
        <v>2025</v>
      </c>
      <c r="S448" s="2" t="str">
        <f>IFERROR(__xludf.DUMMYFUNCTION("""COMPUTED_VALUE"""),"Digizag")</f>
        <v>Digizag</v>
      </c>
      <c r="T448" s="2" t="str">
        <f>IFERROR(__xludf.DUMMYFUNCTION("""COMPUTED_VALUE"""),"Digizag")</f>
        <v>Digizag</v>
      </c>
      <c r="U448" s="5">
        <f>IFERROR(__xludf.DUMMYFUNCTION("""COMPUTED_VALUE"""),59.90469716)</f>
        <v>59.90469716</v>
      </c>
      <c r="V448" s="2"/>
      <c r="W448" s="2"/>
      <c r="X448" s="2"/>
      <c r="Y448" s="2"/>
      <c r="Z448" s="2"/>
    </row>
    <row r="449">
      <c r="A449" s="6">
        <f>IFERROR(__xludf.DUMMYFUNCTION("""COMPUTED_VALUE"""),45797.92865740741)</f>
        <v>45797.92866</v>
      </c>
      <c r="B449" s="2" t="str">
        <f>IFERROR(__xludf.DUMMYFUNCTION("""COMPUTED_VALUE"""),"May")</f>
        <v>May</v>
      </c>
      <c r="C449" s="3">
        <f>IFERROR(__xludf.DUMMYFUNCTION("""COMPUTED_VALUE"""),740995.0)</f>
        <v>740995</v>
      </c>
      <c r="D449" s="2" t="str">
        <f>IFERROR(__xludf.DUMMYFUNCTION("""COMPUTED_VALUE"""),"MNN15")</f>
        <v>MNN15</v>
      </c>
      <c r="E449" s="2" t="str">
        <f>IFERROR(__xludf.DUMMYFUNCTION("""COMPUTED_VALUE"""),"Imported from file DigiZag Bidding Codes.xlsx")</f>
        <v>Imported from file DigiZag Bidding Codes.xlsx</v>
      </c>
      <c r="F449" s="2" t="str">
        <f>IFERROR(__xludf.DUMMYFUNCTION("""COMPUTED_VALUE"""),"MLX618074")</f>
        <v>MLX618074</v>
      </c>
      <c r="G449" s="2" t="str">
        <f>IFERROR(__xludf.DUMMYFUNCTION("""COMPUTED_VALUE"""),"Kingdom of Saudi Arabia")</f>
        <v>Kingdom of Saudi Arabia</v>
      </c>
      <c r="H449" s="4">
        <f>IFERROR(__xludf.DUMMYFUNCTION("""COMPUTED_VALUE"""),378.05)</f>
        <v>378.05</v>
      </c>
      <c r="I449" s="3">
        <f>IFERROR(__xludf.DUMMYFUNCTION("""COMPUTED_VALUE"""),1.0)</f>
        <v>1</v>
      </c>
      <c r="J449" s="4">
        <f>IFERROR(__xludf.DUMMYFUNCTION("""COMPUTED_VALUE"""),30.0)</f>
        <v>30</v>
      </c>
      <c r="K449" s="2"/>
      <c r="L449" s="2" t="str">
        <f>IFERROR(__xludf.DUMMYFUNCTION("""COMPUTED_VALUE"""),"Processing")</f>
        <v>Processing</v>
      </c>
      <c r="M449" s="2" t="str">
        <f>IFERROR(__xludf.DUMMYFUNCTION("""COMPUTED_VALUE"""),"")</f>
        <v></v>
      </c>
      <c r="N449" s="2" t="str">
        <f>IFERROR(__xludf.DUMMYFUNCTION("""COMPUTED_VALUE"""),"Cash")</f>
        <v>Cash</v>
      </c>
      <c r="O449" s="4">
        <f>IFERROR(__xludf.DUMMYFUNCTION("""COMPUTED_VALUE"""),348.05)</f>
        <v>348.05</v>
      </c>
      <c r="P449" s="2">
        <f>IFERROR(__xludf.DUMMYFUNCTION("""COMPUTED_VALUE"""),20.0)</f>
        <v>20</v>
      </c>
      <c r="Q449" s="2">
        <f>IFERROR(__xludf.DUMMYFUNCTION("""COMPUTED_VALUE"""),5.0)</f>
        <v>5</v>
      </c>
      <c r="R449" s="2">
        <f>IFERROR(__xludf.DUMMYFUNCTION("""COMPUTED_VALUE"""),2025.0)</f>
        <v>2025</v>
      </c>
      <c r="S449" s="2" t="str">
        <f>IFERROR(__xludf.DUMMYFUNCTION("""COMPUTED_VALUE"""),"Digizag")</f>
        <v>Digizag</v>
      </c>
      <c r="T449" s="2" t="str">
        <f>IFERROR(__xludf.DUMMYFUNCTION("""COMPUTED_VALUE"""),"Digizag")</f>
        <v>Digizag</v>
      </c>
      <c r="U449" s="5">
        <f>IFERROR(__xludf.DUMMYFUNCTION("""COMPUTED_VALUE"""),100.80553769030001)</f>
        <v>100.8055377</v>
      </c>
      <c r="V449" s="2"/>
      <c r="W449" s="2"/>
      <c r="X449" s="2"/>
      <c r="Y449" s="2"/>
      <c r="Z449" s="2"/>
    </row>
    <row r="450">
      <c r="A450" s="6">
        <f>IFERROR(__xludf.DUMMYFUNCTION("""COMPUTED_VALUE"""),45798.05583333333)</f>
        <v>45798.05583</v>
      </c>
      <c r="B450" s="2" t="str">
        <f>IFERROR(__xludf.DUMMYFUNCTION("""COMPUTED_VALUE"""),"May")</f>
        <v>May</v>
      </c>
      <c r="C450" s="3">
        <f>IFERROR(__xludf.DUMMYFUNCTION("""COMPUTED_VALUE"""),697216.0)</f>
        <v>697216</v>
      </c>
      <c r="D450" s="2" t="str">
        <f>IFERROR(__xludf.DUMMYFUNCTION("""COMPUTED_VALUE"""),"MNN16")</f>
        <v>MNN16</v>
      </c>
      <c r="E450" s="2" t="str">
        <f>IFERROR(__xludf.DUMMYFUNCTION("""COMPUTED_VALUE"""),"Imported from file DigiZag Codes 25Feb25.xlsx")</f>
        <v>Imported from file DigiZag Codes 25Feb25.xlsx</v>
      </c>
      <c r="F450" s="2" t="str">
        <f>IFERROR(__xludf.DUMMYFUNCTION("""COMPUTED_VALUE"""),"XWN444607")</f>
        <v>XWN444607</v>
      </c>
      <c r="G450" s="2" t="str">
        <f>IFERROR(__xludf.DUMMYFUNCTION("""COMPUTED_VALUE"""),"UAE")</f>
        <v>UAE</v>
      </c>
      <c r="H450" s="4">
        <f>IFERROR(__xludf.DUMMYFUNCTION("""COMPUTED_VALUE"""),377.14)</f>
        <v>377.14</v>
      </c>
      <c r="I450" s="3">
        <f>IFERROR(__xludf.DUMMYFUNCTION("""COMPUTED_VALUE"""),0.0)</f>
        <v>0</v>
      </c>
      <c r="J450" s="4">
        <f>IFERROR(__xludf.DUMMYFUNCTION("""COMPUTED_VALUE"""),37.71)</f>
        <v>37.71</v>
      </c>
      <c r="K450" s="2"/>
      <c r="L450" s="2" t="str">
        <f>IFERROR(__xludf.DUMMYFUNCTION("""COMPUTED_VALUE"""),"Delivered")</f>
        <v>Delivered</v>
      </c>
      <c r="M450" s="2" t="str">
        <f>IFERROR(__xludf.DUMMYFUNCTION("""COMPUTED_VALUE"""),"")</f>
        <v></v>
      </c>
      <c r="N450" s="2" t="str">
        <f>IFERROR(__xludf.DUMMYFUNCTION("""COMPUTED_VALUE"""),"Credit, Debit , Apple Pay")</f>
        <v>Credit, Debit , Apple Pay</v>
      </c>
      <c r="O450" s="4">
        <f>IFERROR(__xludf.DUMMYFUNCTION("""COMPUTED_VALUE"""),0.0)</f>
        <v>0</v>
      </c>
      <c r="P450" s="2">
        <f>IFERROR(__xludf.DUMMYFUNCTION("""COMPUTED_VALUE"""),21.0)</f>
        <v>21</v>
      </c>
      <c r="Q450" s="2">
        <f>IFERROR(__xludf.DUMMYFUNCTION("""COMPUTED_VALUE"""),5.0)</f>
        <v>5</v>
      </c>
      <c r="R450" s="2">
        <f>IFERROR(__xludf.DUMMYFUNCTION("""COMPUTED_VALUE"""),2025.0)</f>
        <v>2025</v>
      </c>
      <c r="S450" s="2" t="str">
        <f>IFERROR(__xludf.DUMMYFUNCTION("""COMPUTED_VALUE"""),"Digizag")</f>
        <v>Digizag</v>
      </c>
      <c r="T450" s="2" t="str">
        <f>IFERROR(__xludf.DUMMYFUNCTION("""COMPUTED_VALUE"""),"Digizag")</f>
        <v>Digizag</v>
      </c>
      <c r="U450" s="5">
        <f>IFERROR(__xludf.DUMMYFUNCTION("""COMPUTED_VALUE"""),102.69298857692)</f>
        <v>102.6929886</v>
      </c>
      <c r="V450" s="2"/>
      <c r="W450" s="2"/>
      <c r="X450" s="2"/>
      <c r="Y450" s="2"/>
      <c r="Z450" s="2"/>
    </row>
    <row r="451">
      <c r="A451" s="6">
        <f>IFERROR(__xludf.DUMMYFUNCTION("""COMPUTED_VALUE"""),45798.27247685185)</f>
        <v>45798.27248</v>
      </c>
      <c r="B451" s="2" t="str">
        <f>IFERROR(__xludf.DUMMYFUNCTION("""COMPUTED_VALUE"""),"May")</f>
        <v>May</v>
      </c>
      <c r="C451" s="3">
        <f>IFERROR(__xludf.DUMMYFUNCTION("""COMPUTED_VALUE"""),427331.0)</f>
        <v>427331</v>
      </c>
      <c r="D451" s="2" t="str">
        <f>IFERROR(__xludf.DUMMYFUNCTION("""COMPUTED_VALUE"""),"ZM22")</f>
        <v>ZM22</v>
      </c>
      <c r="E451" s="2" t="str">
        <f>IFERROR(__xludf.DUMMYFUNCTION("""COMPUTED_VALUE"""),"Imported from file Digizag.xlsx")</f>
        <v>Imported from file Digizag.xlsx</v>
      </c>
      <c r="F451" s="2" t="str">
        <f>IFERROR(__xludf.DUMMYFUNCTION("""COMPUTED_VALUE"""),"YNK402039")</f>
        <v>YNK402039</v>
      </c>
      <c r="G451" s="2" t="str">
        <f>IFERROR(__xludf.DUMMYFUNCTION("""COMPUTED_VALUE"""),"Kuwait")</f>
        <v>Kuwait</v>
      </c>
      <c r="H451" s="4">
        <f>IFERROR(__xludf.DUMMYFUNCTION("""COMPUTED_VALUE"""),15.9)</f>
        <v>15.9</v>
      </c>
      <c r="I451" s="3">
        <f>IFERROR(__xludf.DUMMYFUNCTION("""COMPUTED_VALUE"""),0.0)</f>
        <v>0</v>
      </c>
      <c r="J451" s="4">
        <f>IFERROR(__xludf.DUMMYFUNCTION("""COMPUTED_VALUE"""),1.59)</f>
        <v>1.59</v>
      </c>
      <c r="K451" s="2"/>
      <c r="L451" s="2" t="str">
        <f>IFERROR(__xludf.DUMMYFUNCTION("""COMPUTED_VALUE"""),"Delivered")</f>
        <v>Delivered</v>
      </c>
      <c r="M451" s="2" t="str">
        <f>IFERROR(__xludf.DUMMYFUNCTION("""COMPUTED_VALUE"""),"KD")</f>
        <v>KD</v>
      </c>
      <c r="N451" s="2" t="str">
        <f>IFERROR(__xludf.DUMMYFUNCTION("""COMPUTED_VALUE"""),"Credit, Debit, Knet")</f>
        <v>Credit, Debit, Knet</v>
      </c>
      <c r="O451" s="4">
        <f>IFERROR(__xludf.DUMMYFUNCTION("""COMPUTED_VALUE"""),0.0)</f>
        <v>0</v>
      </c>
      <c r="P451" s="2">
        <f>IFERROR(__xludf.DUMMYFUNCTION("""COMPUTED_VALUE"""),21.0)</f>
        <v>21</v>
      </c>
      <c r="Q451" s="2">
        <f>IFERROR(__xludf.DUMMYFUNCTION("""COMPUTED_VALUE"""),5.0)</f>
        <v>5</v>
      </c>
      <c r="R451" s="2">
        <f>IFERROR(__xludf.DUMMYFUNCTION("""COMPUTED_VALUE"""),2025.0)</f>
        <v>2025</v>
      </c>
      <c r="S451" s="2" t="str">
        <f>IFERROR(__xludf.DUMMYFUNCTION("""COMPUTED_VALUE"""),"Digizag")</f>
        <v>Digizag</v>
      </c>
      <c r="T451" s="2" t="str">
        <f>IFERROR(__xludf.DUMMYFUNCTION("""COMPUTED_VALUE"""),"Digizag")</f>
        <v>Digizag</v>
      </c>
      <c r="U451" s="5">
        <f>IFERROR(__xludf.DUMMYFUNCTION("""COMPUTED_VALUE"""),51.843858)</f>
        <v>51.843858</v>
      </c>
      <c r="V451" s="2"/>
      <c r="W451" s="2"/>
      <c r="X451" s="2"/>
      <c r="Y451" s="2"/>
      <c r="Z451" s="2"/>
    </row>
    <row r="452">
      <c r="A452" s="6">
        <f>IFERROR(__xludf.DUMMYFUNCTION("""COMPUTED_VALUE"""),45798.360810185186)</f>
        <v>45798.36081</v>
      </c>
      <c r="B452" s="2" t="str">
        <f>IFERROR(__xludf.DUMMYFUNCTION("""COMPUTED_VALUE"""),"May")</f>
        <v>May</v>
      </c>
      <c r="C452" s="3">
        <f>IFERROR(__xludf.DUMMYFUNCTION("""COMPUTED_VALUE"""),390139.0)</f>
        <v>390139</v>
      </c>
      <c r="D452" s="2" t="str">
        <f>IFERROR(__xludf.DUMMYFUNCTION("""COMPUTED_VALUE"""),"ZM22")</f>
        <v>ZM22</v>
      </c>
      <c r="E452" s="2" t="str">
        <f>IFERROR(__xludf.DUMMYFUNCTION("""COMPUTED_VALUE"""),"Imported from file Digizag.xlsx")</f>
        <v>Imported from file Digizag.xlsx</v>
      </c>
      <c r="F452" s="2" t="str">
        <f>IFERROR(__xludf.DUMMYFUNCTION("""COMPUTED_VALUE"""),"RSN455046")</f>
        <v>RSN455046</v>
      </c>
      <c r="G452" s="2" t="str">
        <f>IFERROR(__xludf.DUMMYFUNCTION("""COMPUTED_VALUE"""),"UAE")</f>
        <v>UAE</v>
      </c>
      <c r="H452" s="4">
        <f>IFERROR(__xludf.DUMMYFUNCTION("""COMPUTED_VALUE"""),190.8)</f>
        <v>190.8</v>
      </c>
      <c r="I452" s="3">
        <f>IFERROR(__xludf.DUMMYFUNCTION("""COMPUTED_VALUE"""),0.0)</f>
        <v>0</v>
      </c>
      <c r="J452" s="4">
        <f>IFERROR(__xludf.DUMMYFUNCTION("""COMPUTED_VALUE"""),19.08)</f>
        <v>19.08</v>
      </c>
      <c r="K452" s="2"/>
      <c r="L452" s="2" t="str">
        <f>IFERROR(__xludf.DUMMYFUNCTION("""COMPUTED_VALUE"""),"Processing")</f>
        <v>Processing</v>
      </c>
      <c r="M452" s="2" t="str">
        <f>IFERROR(__xludf.DUMMYFUNCTION("""COMPUTED_VALUE"""),"")</f>
        <v></v>
      </c>
      <c r="N452" s="2" t="str">
        <f>IFERROR(__xludf.DUMMYFUNCTION("""COMPUTED_VALUE"""),"Credit, Debit , Apple Pay")</f>
        <v>Credit, Debit , Apple Pay</v>
      </c>
      <c r="O452" s="4">
        <f>IFERROR(__xludf.DUMMYFUNCTION("""COMPUTED_VALUE"""),0.0)</f>
        <v>0</v>
      </c>
      <c r="P452" s="2">
        <f>IFERROR(__xludf.DUMMYFUNCTION("""COMPUTED_VALUE"""),21.0)</f>
        <v>21</v>
      </c>
      <c r="Q452" s="2">
        <f>IFERROR(__xludf.DUMMYFUNCTION("""COMPUTED_VALUE"""),5.0)</f>
        <v>5</v>
      </c>
      <c r="R452" s="2">
        <f>IFERROR(__xludf.DUMMYFUNCTION("""COMPUTED_VALUE"""),2025.0)</f>
        <v>2025</v>
      </c>
      <c r="S452" s="2" t="str">
        <f>IFERROR(__xludf.DUMMYFUNCTION("""COMPUTED_VALUE"""),"Digizag")</f>
        <v>Digizag</v>
      </c>
      <c r="T452" s="2" t="str">
        <f>IFERROR(__xludf.DUMMYFUNCTION("""COMPUTED_VALUE"""),"Digizag")</f>
        <v>Digizag</v>
      </c>
      <c r="U452" s="5">
        <f>IFERROR(__xludf.DUMMYFUNCTION("""COMPUTED_VALUE"""),51.9537100824)</f>
        <v>51.95371008</v>
      </c>
      <c r="V452" s="2"/>
      <c r="W452" s="2"/>
      <c r="X452" s="2"/>
      <c r="Y452" s="2"/>
      <c r="Z452" s="2"/>
    </row>
    <row r="453">
      <c r="A453" s="6">
        <f>IFERROR(__xludf.DUMMYFUNCTION("""COMPUTED_VALUE"""),45798.45486111111)</f>
        <v>45798.45486</v>
      </c>
      <c r="B453" s="2" t="str">
        <f>IFERROR(__xludf.DUMMYFUNCTION("""COMPUTED_VALUE"""),"May")</f>
        <v>May</v>
      </c>
      <c r="C453" s="3">
        <f>IFERROR(__xludf.DUMMYFUNCTION("""COMPUTED_VALUE"""),622360.0)</f>
        <v>622360</v>
      </c>
      <c r="D453" s="2" t="str">
        <f>IFERROR(__xludf.DUMMYFUNCTION("""COMPUTED_VALUE"""),"MNN16")</f>
        <v>MNN16</v>
      </c>
      <c r="E453" s="2" t="str">
        <f>IFERROR(__xludf.DUMMYFUNCTION("""COMPUTED_VALUE"""),"Imported from file DigiZag Codes 25Feb25.xlsx")</f>
        <v>Imported from file DigiZag Codes 25Feb25.xlsx</v>
      </c>
      <c r="F453" s="2" t="str">
        <f>IFERROR(__xludf.DUMMYFUNCTION("""COMPUTED_VALUE"""),"ATG709260")</f>
        <v>ATG709260</v>
      </c>
      <c r="G453" s="2" t="str">
        <f>IFERROR(__xludf.DUMMYFUNCTION("""COMPUTED_VALUE"""),"UAE")</f>
        <v>UAE</v>
      </c>
      <c r="H453" s="4">
        <f>IFERROR(__xludf.DUMMYFUNCTION("""COMPUTED_VALUE"""),99.0)</f>
        <v>99</v>
      </c>
      <c r="I453" s="3">
        <f>IFERROR(__xludf.DUMMYFUNCTION("""COMPUTED_VALUE"""),0.0)</f>
        <v>0</v>
      </c>
      <c r="J453" s="4">
        <f>IFERROR(__xludf.DUMMYFUNCTION("""COMPUTED_VALUE"""),9.9)</f>
        <v>9.9</v>
      </c>
      <c r="K453" s="2"/>
      <c r="L453" s="2" t="str">
        <f>IFERROR(__xludf.DUMMYFUNCTION("""COMPUTED_VALUE"""),"Processing")</f>
        <v>Processing</v>
      </c>
      <c r="M453" s="2" t="str">
        <f>IFERROR(__xludf.DUMMYFUNCTION("""COMPUTED_VALUE"""),"")</f>
        <v></v>
      </c>
      <c r="N453" s="2" t="str">
        <f>IFERROR(__xludf.DUMMYFUNCTION("""COMPUTED_VALUE"""),"Credit, Debit , Apple Pay")</f>
        <v>Credit, Debit , Apple Pay</v>
      </c>
      <c r="O453" s="4">
        <f>IFERROR(__xludf.DUMMYFUNCTION("""COMPUTED_VALUE"""),0.0)</f>
        <v>0</v>
      </c>
      <c r="P453" s="2">
        <f>IFERROR(__xludf.DUMMYFUNCTION("""COMPUTED_VALUE"""),21.0)</f>
        <v>21</v>
      </c>
      <c r="Q453" s="2">
        <f>IFERROR(__xludf.DUMMYFUNCTION("""COMPUTED_VALUE"""),5.0)</f>
        <v>5</v>
      </c>
      <c r="R453" s="2">
        <f>IFERROR(__xludf.DUMMYFUNCTION("""COMPUTED_VALUE"""),2025.0)</f>
        <v>2025</v>
      </c>
      <c r="S453" s="2" t="str">
        <f>IFERROR(__xludf.DUMMYFUNCTION("""COMPUTED_VALUE"""),"Digizag")</f>
        <v>Digizag</v>
      </c>
      <c r="T453" s="2" t="str">
        <f>IFERROR(__xludf.DUMMYFUNCTION("""COMPUTED_VALUE"""),"Digizag")</f>
        <v>Digizag</v>
      </c>
      <c r="U453" s="5">
        <f>IFERROR(__xludf.DUMMYFUNCTION("""COMPUTED_VALUE"""),26.957113722)</f>
        <v>26.95711372</v>
      </c>
      <c r="V453" s="2"/>
      <c r="W453" s="2"/>
      <c r="X453" s="2"/>
      <c r="Y453" s="2"/>
      <c r="Z453" s="2"/>
    </row>
    <row r="454">
      <c r="A454" s="6">
        <f>IFERROR(__xludf.DUMMYFUNCTION("""COMPUTED_VALUE"""),45798.521099537036)</f>
        <v>45798.5211</v>
      </c>
      <c r="B454" s="2" t="str">
        <f>IFERROR(__xludf.DUMMYFUNCTION("""COMPUTED_VALUE"""),"May")</f>
        <v>May</v>
      </c>
      <c r="C454" s="3">
        <f>IFERROR(__xludf.DUMMYFUNCTION("""COMPUTED_VALUE"""),161481.0)</f>
        <v>161481</v>
      </c>
      <c r="D454" s="2" t="str">
        <f>IFERROR(__xludf.DUMMYFUNCTION("""COMPUTED_VALUE"""),"MNN16")</f>
        <v>MNN16</v>
      </c>
      <c r="E454" s="2" t="str">
        <f>IFERROR(__xludf.DUMMYFUNCTION("""COMPUTED_VALUE"""),"Imported from file DigiZag Bidding Codes.xlsx")</f>
        <v>Imported from file DigiZag Bidding Codes.xlsx</v>
      </c>
      <c r="F454" s="2" t="str">
        <f>IFERROR(__xludf.DUMMYFUNCTION("""COMPUTED_VALUE"""),"BYL836651")</f>
        <v>BYL836651</v>
      </c>
      <c r="G454" s="2" t="str">
        <f>IFERROR(__xludf.DUMMYFUNCTION("""COMPUTED_VALUE"""),"Kingdom of Saudi Arabia")</f>
        <v>Kingdom of Saudi Arabia</v>
      </c>
      <c r="H454" s="4">
        <f>IFERROR(__xludf.DUMMYFUNCTION("""COMPUTED_VALUE"""),117.0)</f>
        <v>117</v>
      </c>
      <c r="I454" s="3">
        <f>IFERROR(__xludf.DUMMYFUNCTION("""COMPUTED_VALUE"""),0.0)</f>
        <v>0</v>
      </c>
      <c r="J454" s="4">
        <f>IFERROR(__xludf.DUMMYFUNCTION("""COMPUTED_VALUE"""),30.0)</f>
        <v>30</v>
      </c>
      <c r="K454" s="2"/>
      <c r="L454" s="2" t="str">
        <f>IFERROR(__xludf.DUMMYFUNCTION("""COMPUTED_VALUE"""),"Delivered")</f>
        <v>Delivered</v>
      </c>
      <c r="M454" s="2" t="str">
        <f>IFERROR(__xludf.DUMMYFUNCTION("""COMPUTED_VALUE"""),"")</f>
        <v></v>
      </c>
      <c r="N454" s="2" t="str">
        <f>IFERROR(__xludf.DUMMYFUNCTION("""COMPUTED_VALUE"""),"Credit, Debit, Apple Pay")</f>
        <v>Credit, Debit, Apple Pay</v>
      </c>
      <c r="O454" s="4">
        <f>IFERROR(__xludf.DUMMYFUNCTION("""COMPUTED_VALUE"""),0.0)</f>
        <v>0</v>
      </c>
      <c r="P454" s="2">
        <f>IFERROR(__xludf.DUMMYFUNCTION("""COMPUTED_VALUE"""),21.0)</f>
        <v>21</v>
      </c>
      <c r="Q454" s="2">
        <f>IFERROR(__xludf.DUMMYFUNCTION("""COMPUTED_VALUE"""),5.0)</f>
        <v>5</v>
      </c>
      <c r="R454" s="2">
        <f>IFERROR(__xludf.DUMMYFUNCTION("""COMPUTED_VALUE"""),2025.0)</f>
        <v>2025</v>
      </c>
      <c r="S454" s="2" t="str">
        <f>IFERROR(__xludf.DUMMYFUNCTION("""COMPUTED_VALUE"""),"Digizag")</f>
        <v>Digizag</v>
      </c>
      <c r="T454" s="2" t="str">
        <f>IFERROR(__xludf.DUMMYFUNCTION("""COMPUTED_VALUE"""),"Digizag")</f>
        <v>Digizag</v>
      </c>
      <c r="U454" s="5">
        <f>IFERROR(__xludf.DUMMYFUNCTION("""COMPUTED_VALUE"""),31.197587382000002)</f>
        <v>31.19758738</v>
      </c>
      <c r="V454" s="2"/>
      <c r="W454" s="2"/>
      <c r="X454" s="2"/>
      <c r="Y454" s="2"/>
      <c r="Z454" s="2"/>
    </row>
    <row r="455">
      <c r="A455" s="6">
        <f>IFERROR(__xludf.DUMMYFUNCTION("""COMPUTED_VALUE"""),45798.562314814815)</f>
        <v>45798.56231</v>
      </c>
      <c r="B455" s="2" t="str">
        <f>IFERROR(__xludf.DUMMYFUNCTION("""COMPUTED_VALUE"""),"May")</f>
        <v>May</v>
      </c>
      <c r="C455" s="3">
        <f>IFERROR(__xludf.DUMMYFUNCTION("""COMPUTED_VALUE"""),572438.0)</f>
        <v>572438</v>
      </c>
      <c r="D455" s="2" t="str">
        <f>IFERROR(__xludf.DUMMYFUNCTION("""COMPUTED_VALUE"""),"MNN16")</f>
        <v>MNN16</v>
      </c>
      <c r="E455" s="2" t="str">
        <f>IFERROR(__xludf.DUMMYFUNCTION("""COMPUTED_VALUE"""),"Imported from file DigiZag Codes 25Feb25.xlsx")</f>
        <v>Imported from file DigiZag Codes 25Feb25.xlsx</v>
      </c>
      <c r="F455" s="2" t="str">
        <f>IFERROR(__xludf.DUMMYFUNCTION("""COMPUTED_VALUE"""),"WDQ380136")</f>
        <v>WDQ380136</v>
      </c>
      <c r="G455" s="2" t="str">
        <f>IFERROR(__xludf.DUMMYFUNCTION("""COMPUTED_VALUE"""),"UAE")</f>
        <v>UAE</v>
      </c>
      <c r="H455" s="4">
        <f>IFERROR(__xludf.DUMMYFUNCTION("""COMPUTED_VALUE"""),200.0)</f>
        <v>200</v>
      </c>
      <c r="I455" s="3">
        <f>IFERROR(__xludf.DUMMYFUNCTION("""COMPUTED_VALUE"""),0.0)</f>
        <v>0</v>
      </c>
      <c r="J455" s="4">
        <f>IFERROR(__xludf.DUMMYFUNCTION("""COMPUTED_VALUE"""),20.0)</f>
        <v>20</v>
      </c>
      <c r="K455" s="2"/>
      <c r="L455" s="2" t="str">
        <f>IFERROR(__xludf.DUMMYFUNCTION("""COMPUTED_VALUE"""),"Delivered")</f>
        <v>Delivered</v>
      </c>
      <c r="M455" s="2" t="str">
        <f>IFERROR(__xludf.DUMMYFUNCTION("""COMPUTED_VALUE"""),"")</f>
        <v></v>
      </c>
      <c r="N455" s="2" t="str">
        <f>IFERROR(__xludf.DUMMYFUNCTION("""COMPUTED_VALUE"""),"Credit, Debit , Apple Pay")</f>
        <v>Credit, Debit , Apple Pay</v>
      </c>
      <c r="O455" s="4">
        <f>IFERROR(__xludf.DUMMYFUNCTION("""COMPUTED_VALUE"""),0.0)</f>
        <v>0</v>
      </c>
      <c r="P455" s="2">
        <f>IFERROR(__xludf.DUMMYFUNCTION("""COMPUTED_VALUE"""),21.0)</f>
        <v>21</v>
      </c>
      <c r="Q455" s="2">
        <f>IFERROR(__xludf.DUMMYFUNCTION("""COMPUTED_VALUE"""),5.0)</f>
        <v>5</v>
      </c>
      <c r="R455" s="2">
        <f>IFERROR(__xludf.DUMMYFUNCTION("""COMPUTED_VALUE"""),2025.0)</f>
        <v>2025</v>
      </c>
      <c r="S455" s="2" t="str">
        <f>IFERROR(__xludf.DUMMYFUNCTION("""COMPUTED_VALUE"""),"Digizag")</f>
        <v>Digizag</v>
      </c>
      <c r="T455" s="2" t="str">
        <f>IFERROR(__xludf.DUMMYFUNCTION("""COMPUTED_VALUE"""),"Digizag")</f>
        <v>Digizag</v>
      </c>
      <c r="U455" s="5">
        <f>IFERROR(__xludf.DUMMYFUNCTION("""COMPUTED_VALUE"""),54.4588156)</f>
        <v>54.4588156</v>
      </c>
      <c r="V455" s="2"/>
      <c r="W455" s="2"/>
      <c r="X455" s="2"/>
      <c r="Y455" s="2"/>
      <c r="Z455" s="2"/>
    </row>
    <row r="456">
      <c r="A456" s="6">
        <f>IFERROR(__xludf.DUMMYFUNCTION("""COMPUTED_VALUE"""),45798.58961805555)</f>
        <v>45798.58962</v>
      </c>
      <c r="B456" s="2" t="str">
        <f>IFERROR(__xludf.DUMMYFUNCTION("""COMPUTED_VALUE"""),"May")</f>
        <v>May</v>
      </c>
      <c r="C456" s="3">
        <f>IFERROR(__xludf.DUMMYFUNCTION("""COMPUTED_VALUE"""),280279.0)</f>
        <v>280279</v>
      </c>
      <c r="D456" s="2" t="str">
        <f>IFERROR(__xludf.DUMMYFUNCTION("""COMPUTED_VALUE"""),"ZM22")</f>
        <v>ZM22</v>
      </c>
      <c r="E456" s="2" t="str">
        <f>IFERROR(__xludf.DUMMYFUNCTION("""COMPUTED_VALUE"""),"Imported from file Digizag.xlsx")</f>
        <v>Imported from file Digizag.xlsx</v>
      </c>
      <c r="F456" s="2" t="str">
        <f>IFERROR(__xludf.DUMMYFUNCTION("""COMPUTED_VALUE"""),"KWQ675019")</f>
        <v>KWQ675019</v>
      </c>
      <c r="G456" s="2" t="str">
        <f>IFERROR(__xludf.DUMMYFUNCTION("""COMPUTED_VALUE"""),"UAE")</f>
        <v>UAE</v>
      </c>
      <c r="H456" s="4">
        <f>IFERROR(__xludf.DUMMYFUNCTION("""COMPUTED_VALUE"""),825.0)</f>
        <v>825</v>
      </c>
      <c r="I456" s="3">
        <f>IFERROR(__xludf.DUMMYFUNCTION("""COMPUTED_VALUE"""),0.0)</f>
        <v>0</v>
      </c>
      <c r="J456" s="4">
        <f>IFERROR(__xludf.DUMMYFUNCTION("""COMPUTED_VALUE"""),82.5)</f>
        <v>82.5</v>
      </c>
      <c r="K456" s="2"/>
      <c r="L456" s="2" t="str">
        <f>IFERROR(__xludf.DUMMYFUNCTION("""COMPUTED_VALUE"""),"Processing")</f>
        <v>Processing</v>
      </c>
      <c r="M456" s="2" t="str">
        <f>IFERROR(__xludf.DUMMYFUNCTION("""COMPUTED_VALUE"""),"")</f>
        <v></v>
      </c>
      <c r="N456" s="2" t="str">
        <f>IFERROR(__xludf.DUMMYFUNCTION("""COMPUTED_VALUE"""),"Credit, Debit , Apple Pay")</f>
        <v>Credit, Debit , Apple Pay</v>
      </c>
      <c r="O456" s="4">
        <f>IFERROR(__xludf.DUMMYFUNCTION("""COMPUTED_VALUE"""),0.0)</f>
        <v>0</v>
      </c>
      <c r="P456" s="2">
        <f>IFERROR(__xludf.DUMMYFUNCTION("""COMPUTED_VALUE"""),21.0)</f>
        <v>21</v>
      </c>
      <c r="Q456" s="2">
        <f>IFERROR(__xludf.DUMMYFUNCTION("""COMPUTED_VALUE"""),5.0)</f>
        <v>5</v>
      </c>
      <c r="R456" s="2">
        <f>IFERROR(__xludf.DUMMYFUNCTION("""COMPUTED_VALUE"""),2025.0)</f>
        <v>2025</v>
      </c>
      <c r="S456" s="2" t="str">
        <f>IFERROR(__xludf.DUMMYFUNCTION("""COMPUTED_VALUE"""),"Digizag")</f>
        <v>Digizag</v>
      </c>
      <c r="T456" s="2" t="str">
        <f>IFERROR(__xludf.DUMMYFUNCTION("""COMPUTED_VALUE"""),"Digizag")</f>
        <v>Digizag</v>
      </c>
      <c r="U456" s="5">
        <f>IFERROR(__xludf.DUMMYFUNCTION("""COMPUTED_VALUE"""),224.64261435)</f>
        <v>224.6426144</v>
      </c>
      <c r="V456" s="2"/>
      <c r="W456" s="2"/>
      <c r="X456" s="2"/>
      <c r="Y456" s="2"/>
      <c r="Z456" s="2"/>
    </row>
    <row r="457">
      <c r="A457" s="6">
        <f>IFERROR(__xludf.DUMMYFUNCTION("""COMPUTED_VALUE"""),45798.611504629625)</f>
        <v>45798.6115</v>
      </c>
      <c r="B457" s="2" t="str">
        <f>IFERROR(__xludf.DUMMYFUNCTION("""COMPUTED_VALUE"""),"May")</f>
        <v>May</v>
      </c>
      <c r="C457" s="3">
        <f>IFERROR(__xludf.DUMMYFUNCTION("""COMPUTED_VALUE"""),172920.0)</f>
        <v>172920</v>
      </c>
      <c r="D457" s="2" t="str">
        <f>IFERROR(__xludf.DUMMYFUNCTION("""COMPUTED_VALUE"""),"RR22")</f>
        <v>RR22</v>
      </c>
      <c r="E457" s="2" t="str">
        <f>IFERROR(__xludf.DUMMYFUNCTION("""COMPUTED_VALUE"""),"Imported from file Digizag.xlsx")</f>
        <v>Imported from file Digizag.xlsx</v>
      </c>
      <c r="F457" s="2" t="str">
        <f>IFERROR(__xludf.DUMMYFUNCTION("""COMPUTED_VALUE"""),"UJW182440")</f>
        <v>UJW182440</v>
      </c>
      <c r="G457" s="2" t="str">
        <f>IFERROR(__xludf.DUMMYFUNCTION("""COMPUTED_VALUE"""),"UAE")</f>
        <v>UAE</v>
      </c>
      <c r="H457" s="4">
        <f>IFERROR(__xludf.DUMMYFUNCTION("""COMPUTED_VALUE"""),284.76)</f>
        <v>284.76</v>
      </c>
      <c r="I457" s="3">
        <f>IFERROR(__xludf.DUMMYFUNCTION("""COMPUTED_VALUE"""),0.0)</f>
        <v>0</v>
      </c>
      <c r="J457" s="4">
        <f>IFERROR(__xludf.DUMMYFUNCTION("""COMPUTED_VALUE"""),28.47)</f>
        <v>28.47</v>
      </c>
      <c r="K457" s="2"/>
      <c r="L457" s="2" t="str">
        <f>IFERROR(__xludf.DUMMYFUNCTION("""COMPUTED_VALUE"""),"Processing")</f>
        <v>Processing</v>
      </c>
      <c r="M457" s="2" t="str">
        <f>IFERROR(__xludf.DUMMYFUNCTION("""COMPUTED_VALUE"""),"")</f>
        <v></v>
      </c>
      <c r="N457" s="2" t="str">
        <f>IFERROR(__xludf.DUMMYFUNCTION("""COMPUTED_VALUE"""),"Credit, Debit , Apple Pay")</f>
        <v>Credit, Debit , Apple Pay</v>
      </c>
      <c r="O457" s="4">
        <f>IFERROR(__xludf.DUMMYFUNCTION("""COMPUTED_VALUE"""),0.0)</f>
        <v>0</v>
      </c>
      <c r="P457" s="2">
        <f>IFERROR(__xludf.DUMMYFUNCTION("""COMPUTED_VALUE"""),21.0)</f>
        <v>21</v>
      </c>
      <c r="Q457" s="2">
        <f>IFERROR(__xludf.DUMMYFUNCTION("""COMPUTED_VALUE"""),5.0)</f>
        <v>5</v>
      </c>
      <c r="R457" s="2">
        <f>IFERROR(__xludf.DUMMYFUNCTION("""COMPUTED_VALUE"""),2025.0)</f>
        <v>2025</v>
      </c>
      <c r="S457" s="2" t="str">
        <f>IFERROR(__xludf.DUMMYFUNCTION("""COMPUTED_VALUE"""),"Digizag")</f>
        <v>Digizag</v>
      </c>
      <c r="T457" s="2" t="str">
        <f>IFERROR(__xludf.DUMMYFUNCTION("""COMPUTED_VALUE"""),"Digizag")</f>
        <v>Digizag</v>
      </c>
      <c r="U457" s="5">
        <f>IFERROR(__xludf.DUMMYFUNCTION("""COMPUTED_VALUE"""),77.53846165128)</f>
        <v>77.53846165</v>
      </c>
      <c r="V457" s="2"/>
      <c r="W457" s="2"/>
      <c r="X457" s="2"/>
      <c r="Y457" s="2"/>
      <c r="Z457" s="2"/>
    </row>
    <row r="458">
      <c r="A458" s="6">
        <f>IFERROR(__xludf.DUMMYFUNCTION("""COMPUTED_VALUE"""),45798.700949074075)</f>
        <v>45798.70095</v>
      </c>
      <c r="B458" s="2" t="str">
        <f>IFERROR(__xludf.DUMMYFUNCTION("""COMPUTED_VALUE"""),"May")</f>
        <v>May</v>
      </c>
      <c r="C458" s="3">
        <f>IFERROR(__xludf.DUMMYFUNCTION("""COMPUTED_VALUE"""),259474.0)</f>
        <v>259474</v>
      </c>
      <c r="D458" s="2" t="str">
        <f>IFERROR(__xludf.DUMMYFUNCTION("""COMPUTED_VALUE"""),"DB1")</f>
        <v>DB1</v>
      </c>
      <c r="E458" s="2" t="str">
        <f>IFERROR(__xludf.DUMMYFUNCTION("""COMPUTED_VALUE"""),"Imported from file Digizag.xlsx")</f>
        <v>Imported from file Digizag.xlsx</v>
      </c>
      <c r="F458" s="2" t="str">
        <f>IFERROR(__xludf.DUMMYFUNCTION("""COMPUTED_VALUE"""),"TYD289527")</f>
        <v>TYD289527</v>
      </c>
      <c r="G458" s="2" t="str">
        <f>IFERROR(__xludf.DUMMYFUNCTION("""COMPUTED_VALUE"""),"UAE")</f>
        <v>UAE</v>
      </c>
      <c r="H458" s="4">
        <f>IFERROR(__xludf.DUMMYFUNCTION("""COMPUTED_VALUE"""),237.0)</f>
        <v>237</v>
      </c>
      <c r="I458" s="3">
        <f>IFERROR(__xludf.DUMMYFUNCTION("""COMPUTED_VALUE"""),0.0)</f>
        <v>0</v>
      </c>
      <c r="J458" s="4">
        <f>IFERROR(__xludf.DUMMYFUNCTION("""COMPUTED_VALUE"""),23.7)</f>
        <v>23.7</v>
      </c>
      <c r="K458" s="2"/>
      <c r="L458" s="2" t="str">
        <f>IFERROR(__xludf.DUMMYFUNCTION("""COMPUTED_VALUE"""),"Processing")</f>
        <v>Processing</v>
      </c>
      <c r="M458" s="2" t="str">
        <f>IFERROR(__xludf.DUMMYFUNCTION("""COMPUTED_VALUE"""),"")</f>
        <v></v>
      </c>
      <c r="N458" s="2" t="str">
        <f>IFERROR(__xludf.DUMMYFUNCTION("""COMPUTED_VALUE"""),"Credit, Debit , Apple Pay")</f>
        <v>Credit, Debit , Apple Pay</v>
      </c>
      <c r="O458" s="4">
        <f>IFERROR(__xludf.DUMMYFUNCTION("""COMPUTED_VALUE"""),0.0)</f>
        <v>0</v>
      </c>
      <c r="P458" s="2">
        <f>IFERROR(__xludf.DUMMYFUNCTION("""COMPUTED_VALUE"""),21.0)</f>
        <v>21</v>
      </c>
      <c r="Q458" s="2">
        <f>IFERROR(__xludf.DUMMYFUNCTION("""COMPUTED_VALUE"""),5.0)</f>
        <v>5</v>
      </c>
      <c r="R458" s="2">
        <f>IFERROR(__xludf.DUMMYFUNCTION("""COMPUTED_VALUE"""),2025.0)</f>
        <v>2025</v>
      </c>
      <c r="S458" s="2" t="str">
        <f>IFERROR(__xludf.DUMMYFUNCTION("""COMPUTED_VALUE"""),"Digizag")</f>
        <v>Digizag</v>
      </c>
      <c r="T458" s="2" t="str">
        <f>IFERROR(__xludf.DUMMYFUNCTION("""COMPUTED_VALUE"""),"Digizag")</f>
        <v>Digizag</v>
      </c>
      <c r="U458" s="5">
        <f>IFERROR(__xludf.DUMMYFUNCTION("""COMPUTED_VALUE"""),64.533696486)</f>
        <v>64.53369649</v>
      </c>
      <c r="V458" s="2"/>
      <c r="W458" s="2"/>
      <c r="X458" s="2"/>
      <c r="Y458" s="2"/>
      <c r="Z458" s="2"/>
    </row>
    <row r="459">
      <c r="A459" s="6">
        <f>IFERROR(__xludf.DUMMYFUNCTION("""COMPUTED_VALUE"""),45800.354675925926)</f>
        <v>45800.35468</v>
      </c>
      <c r="B459" s="2" t="str">
        <f>IFERROR(__xludf.DUMMYFUNCTION("""COMPUTED_VALUE"""),"May")</f>
        <v>May</v>
      </c>
      <c r="C459" s="3">
        <f>IFERROR(__xludf.DUMMYFUNCTION("""COMPUTED_VALUE"""),742856.0)</f>
        <v>742856</v>
      </c>
      <c r="D459" s="2" t="str">
        <f>IFERROR(__xludf.DUMMYFUNCTION("""COMPUTED_VALUE"""),"MNN16")</f>
        <v>MNN16</v>
      </c>
      <c r="E459" s="2" t="str">
        <f>IFERROR(__xludf.DUMMYFUNCTION("""COMPUTED_VALUE"""),"Imported from file DigiZag Codes 25Feb25.xlsx")</f>
        <v>Imported from file DigiZag Codes 25Feb25.xlsx</v>
      </c>
      <c r="F459" s="2" t="str">
        <f>IFERROR(__xludf.DUMMYFUNCTION("""COMPUTED_VALUE"""),"PVE353996")</f>
        <v>PVE353996</v>
      </c>
      <c r="G459" s="2" t="str">
        <f>IFERROR(__xludf.DUMMYFUNCTION("""COMPUTED_VALUE"""),"UAE")</f>
        <v>UAE</v>
      </c>
      <c r="H459" s="4">
        <f>IFERROR(__xludf.DUMMYFUNCTION("""COMPUTED_VALUE"""),225.0)</f>
        <v>225</v>
      </c>
      <c r="I459" s="3">
        <f>IFERROR(__xludf.DUMMYFUNCTION("""COMPUTED_VALUE"""),0.0)</f>
        <v>0</v>
      </c>
      <c r="J459" s="4">
        <f>IFERROR(__xludf.DUMMYFUNCTION("""COMPUTED_VALUE"""),22.5)</f>
        <v>22.5</v>
      </c>
      <c r="K459" s="2"/>
      <c r="L459" s="2" t="str">
        <f>IFERROR(__xludf.DUMMYFUNCTION("""COMPUTED_VALUE"""),"Delivered")</f>
        <v>Delivered</v>
      </c>
      <c r="M459" s="2" t="str">
        <f>IFERROR(__xludf.DUMMYFUNCTION("""COMPUTED_VALUE"""),"")</f>
        <v></v>
      </c>
      <c r="N459" s="2" t="str">
        <f>IFERROR(__xludf.DUMMYFUNCTION("""COMPUTED_VALUE"""),"Credit, Debit , Apple Pay")</f>
        <v>Credit, Debit , Apple Pay</v>
      </c>
      <c r="O459" s="4">
        <f>IFERROR(__xludf.DUMMYFUNCTION("""COMPUTED_VALUE"""),0.0)</f>
        <v>0</v>
      </c>
      <c r="P459" s="2">
        <f>IFERROR(__xludf.DUMMYFUNCTION("""COMPUTED_VALUE"""),23.0)</f>
        <v>23</v>
      </c>
      <c r="Q459" s="2">
        <f>IFERROR(__xludf.DUMMYFUNCTION("""COMPUTED_VALUE"""),5.0)</f>
        <v>5</v>
      </c>
      <c r="R459" s="2">
        <f>IFERROR(__xludf.DUMMYFUNCTION("""COMPUTED_VALUE"""),2025.0)</f>
        <v>2025</v>
      </c>
      <c r="S459" s="2" t="str">
        <f>IFERROR(__xludf.DUMMYFUNCTION("""COMPUTED_VALUE"""),"Digizag")</f>
        <v>Digizag</v>
      </c>
      <c r="T459" s="2" t="str">
        <f>IFERROR(__xludf.DUMMYFUNCTION("""COMPUTED_VALUE"""),"Digizag")</f>
        <v>Digizag</v>
      </c>
      <c r="U459" s="5">
        <f>IFERROR(__xludf.DUMMYFUNCTION("""COMPUTED_VALUE"""),61.26616755)</f>
        <v>61.26616755</v>
      </c>
      <c r="V459" s="2"/>
      <c r="W459" s="2"/>
      <c r="X459" s="2"/>
      <c r="Y459" s="2"/>
      <c r="Z459" s="2"/>
    </row>
    <row r="460">
      <c r="A460" s="6">
        <f>IFERROR(__xludf.DUMMYFUNCTION("""COMPUTED_VALUE"""),45800.83770833333)</f>
        <v>45800.83771</v>
      </c>
      <c r="B460" s="2" t="str">
        <f>IFERROR(__xludf.DUMMYFUNCTION("""COMPUTED_VALUE"""),"May")</f>
        <v>May</v>
      </c>
      <c r="C460" s="3">
        <f>IFERROR(__xludf.DUMMYFUNCTION("""COMPUTED_VALUE"""),94636.0)</f>
        <v>94636</v>
      </c>
      <c r="D460" s="2" t="str">
        <f>IFERROR(__xludf.DUMMYFUNCTION("""COMPUTED_VALUE"""),"ZM22")</f>
        <v>ZM22</v>
      </c>
      <c r="E460" s="2" t="str">
        <f>IFERROR(__xludf.DUMMYFUNCTION("""COMPUTED_VALUE"""),"Imported from file Digizag.xlsx")</f>
        <v>Imported from file Digizag.xlsx</v>
      </c>
      <c r="F460" s="2" t="str">
        <f>IFERROR(__xludf.DUMMYFUNCTION("""COMPUTED_VALUE"""),"VGH533156")</f>
        <v>VGH533156</v>
      </c>
      <c r="G460" s="2" t="str">
        <f>IFERROR(__xludf.DUMMYFUNCTION("""COMPUTED_VALUE"""),"UAE")</f>
        <v>UAE</v>
      </c>
      <c r="H460" s="4">
        <f>IFERROR(__xludf.DUMMYFUNCTION("""COMPUTED_VALUE"""),263.0)</f>
        <v>263</v>
      </c>
      <c r="I460" s="3">
        <f>IFERROR(__xludf.DUMMYFUNCTION("""COMPUTED_VALUE"""),0.0)</f>
        <v>0</v>
      </c>
      <c r="J460" s="4">
        <f>IFERROR(__xludf.DUMMYFUNCTION("""COMPUTED_VALUE"""),26.3)</f>
        <v>26.3</v>
      </c>
      <c r="K460" s="2"/>
      <c r="L460" s="2" t="str">
        <f>IFERROR(__xludf.DUMMYFUNCTION("""COMPUTED_VALUE"""),"Processing")</f>
        <v>Processing</v>
      </c>
      <c r="M460" s="2" t="str">
        <f>IFERROR(__xludf.DUMMYFUNCTION("""COMPUTED_VALUE"""),"")</f>
        <v></v>
      </c>
      <c r="N460" s="2" t="str">
        <f>IFERROR(__xludf.DUMMYFUNCTION("""COMPUTED_VALUE"""),"Credit, Debit , Apple Pay")</f>
        <v>Credit, Debit , Apple Pay</v>
      </c>
      <c r="O460" s="4">
        <f>IFERROR(__xludf.DUMMYFUNCTION("""COMPUTED_VALUE"""),0.0)</f>
        <v>0</v>
      </c>
      <c r="P460" s="2">
        <f>IFERROR(__xludf.DUMMYFUNCTION("""COMPUTED_VALUE"""),23.0)</f>
        <v>23</v>
      </c>
      <c r="Q460" s="2">
        <f>IFERROR(__xludf.DUMMYFUNCTION("""COMPUTED_VALUE"""),5.0)</f>
        <v>5</v>
      </c>
      <c r="R460" s="2">
        <f>IFERROR(__xludf.DUMMYFUNCTION("""COMPUTED_VALUE"""),2025.0)</f>
        <v>2025</v>
      </c>
      <c r="S460" s="2" t="str">
        <f>IFERROR(__xludf.DUMMYFUNCTION("""COMPUTED_VALUE"""),"Digizag")</f>
        <v>Digizag</v>
      </c>
      <c r="T460" s="2" t="str">
        <f>IFERROR(__xludf.DUMMYFUNCTION("""COMPUTED_VALUE"""),"Digizag")</f>
        <v>Digizag</v>
      </c>
      <c r="U460" s="5">
        <f>IFERROR(__xludf.DUMMYFUNCTION("""COMPUTED_VALUE"""),71.613342514)</f>
        <v>71.61334251</v>
      </c>
      <c r="V460" s="2"/>
      <c r="W460" s="2"/>
      <c r="X460" s="2"/>
      <c r="Y460" s="2"/>
      <c r="Z460" s="2"/>
    </row>
    <row r="461">
      <c r="A461" s="6">
        <f>IFERROR(__xludf.DUMMYFUNCTION("""COMPUTED_VALUE"""),45801.594259259255)</f>
        <v>45801.59426</v>
      </c>
      <c r="B461" s="2" t="str">
        <f>IFERROR(__xludf.DUMMYFUNCTION("""COMPUTED_VALUE"""),"May")</f>
        <v>May</v>
      </c>
      <c r="C461" s="3">
        <f>IFERROR(__xludf.DUMMYFUNCTION("""COMPUTED_VALUE"""),262884.0)</f>
        <v>262884</v>
      </c>
      <c r="D461" s="2" t="str">
        <f>IFERROR(__xludf.DUMMYFUNCTION("""COMPUTED_VALUE"""),"ZM22")</f>
        <v>ZM22</v>
      </c>
      <c r="E461" s="2" t="str">
        <f>IFERROR(__xludf.DUMMYFUNCTION("""COMPUTED_VALUE"""),"Imported from file Digizag.xlsx")</f>
        <v>Imported from file Digizag.xlsx</v>
      </c>
      <c r="F461" s="2" t="str">
        <f>IFERROR(__xludf.DUMMYFUNCTION("""COMPUTED_VALUE"""),"RCL978567")</f>
        <v>RCL978567</v>
      </c>
      <c r="G461" s="2" t="str">
        <f>IFERROR(__xludf.DUMMYFUNCTION("""COMPUTED_VALUE"""),"UAE")</f>
        <v>UAE</v>
      </c>
      <c r="H461" s="4">
        <f>IFERROR(__xludf.DUMMYFUNCTION("""COMPUTED_VALUE"""),159.9)</f>
        <v>159.9</v>
      </c>
      <c r="I461" s="3">
        <f>IFERROR(__xludf.DUMMYFUNCTION("""COMPUTED_VALUE"""),0.0)</f>
        <v>0</v>
      </c>
      <c r="J461" s="4">
        <f>IFERROR(__xludf.DUMMYFUNCTION("""COMPUTED_VALUE"""),15.99)</f>
        <v>15.99</v>
      </c>
      <c r="K461" s="2"/>
      <c r="L461" s="2" t="str">
        <f>IFERROR(__xludf.DUMMYFUNCTION("""COMPUTED_VALUE"""),"Processing")</f>
        <v>Processing</v>
      </c>
      <c r="M461" s="2" t="str">
        <f>IFERROR(__xludf.DUMMYFUNCTION("""COMPUTED_VALUE"""),"")</f>
        <v></v>
      </c>
      <c r="N461" s="2" t="str">
        <f>IFERROR(__xludf.DUMMYFUNCTION("""COMPUTED_VALUE"""),"Cash")</f>
        <v>Cash</v>
      </c>
      <c r="O461" s="4">
        <f>IFERROR(__xludf.DUMMYFUNCTION("""COMPUTED_VALUE"""),0.0)</f>
        <v>0</v>
      </c>
      <c r="P461" s="2">
        <f>IFERROR(__xludf.DUMMYFUNCTION("""COMPUTED_VALUE"""),24.0)</f>
        <v>24</v>
      </c>
      <c r="Q461" s="2">
        <f>IFERROR(__xludf.DUMMYFUNCTION("""COMPUTED_VALUE"""),5.0)</f>
        <v>5</v>
      </c>
      <c r="R461" s="2">
        <f>IFERROR(__xludf.DUMMYFUNCTION("""COMPUTED_VALUE"""),2025.0)</f>
        <v>2025</v>
      </c>
      <c r="S461" s="2" t="str">
        <f>IFERROR(__xludf.DUMMYFUNCTION("""COMPUTED_VALUE"""),"Digizag")</f>
        <v>Digizag</v>
      </c>
      <c r="T461" s="2" t="str">
        <f>IFERROR(__xludf.DUMMYFUNCTION("""COMPUTED_VALUE"""),"Digizag")</f>
        <v>Digizag</v>
      </c>
      <c r="U461" s="5">
        <f>IFERROR(__xludf.DUMMYFUNCTION("""COMPUTED_VALUE"""),43.5398230722)</f>
        <v>43.53982307</v>
      </c>
      <c r="V461" s="2"/>
      <c r="W461" s="2"/>
      <c r="X461" s="2"/>
      <c r="Y461" s="2"/>
      <c r="Z461" s="2"/>
    </row>
    <row r="462">
      <c r="A462" s="6">
        <f>IFERROR(__xludf.DUMMYFUNCTION("""COMPUTED_VALUE"""),45801.61122685185)</f>
        <v>45801.61123</v>
      </c>
      <c r="B462" s="2" t="str">
        <f>IFERROR(__xludf.DUMMYFUNCTION("""COMPUTED_VALUE"""),"May")</f>
        <v>May</v>
      </c>
      <c r="C462" s="3">
        <f>IFERROR(__xludf.DUMMYFUNCTION("""COMPUTED_VALUE"""),580749.0)</f>
        <v>580749</v>
      </c>
      <c r="D462" s="2" t="str">
        <f>IFERROR(__xludf.DUMMYFUNCTION("""COMPUTED_VALUE"""),"MNN16")</f>
        <v>MNN16</v>
      </c>
      <c r="E462" s="2" t="str">
        <f>IFERROR(__xludf.DUMMYFUNCTION("""COMPUTED_VALUE"""),"Imported from file DigiZag Bidding Codes.xlsx")</f>
        <v>Imported from file DigiZag Bidding Codes.xlsx</v>
      </c>
      <c r="F462" s="2" t="str">
        <f>IFERROR(__xludf.DUMMYFUNCTION("""COMPUTED_VALUE"""),"GRM505096")</f>
        <v>GRM505096</v>
      </c>
      <c r="G462" s="2" t="str">
        <f>IFERROR(__xludf.DUMMYFUNCTION("""COMPUTED_VALUE"""),"Kingdom of Saudi Arabia")</f>
        <v>Kingdom of Saudi Arabia</v>
      </c>
      <c r="H462" s="4">
        <f>IFERROR(__xludf.DUMMYFUNCTION("""COMPUTED_VALUE"""),93.0)</f>
        <v>93</v>
      </c>
      <c r="I462" s="3">
        <f>IFERROR(__xludf.DUMMYFUNCTION("""COMPUTED_VALUE"""),0.0)</f>
        <v>0</v>
      </c>
      <c r="J462" s="4">
        <f>IFERROR(__xludf.DUMMYFUNCTION("""COMPUTED_VALUE"""),30.0)</f>
        <v>30</v>
      </c>
      <c r="K462" s="2"/>
      <c r="L462" s="2" t="str">
        <f>IFERROR(__xludf.DUMMYFUNCTION("""COMPUTED_VALUE"""),"Processing")</f>
        <v>Processing</v>
      </c>
      <c r="M462" s="2" t="str">
        <f>IFERROR(__xludf.DUMMYFUNCTION("""COMPUTED_VALUE"""),"")</f>
        <v></v>
      </c>
      <c r="N462" s="2" t="str">
        <f>IFERROR(__xludf.DUMMYFUNCTION("""COMPUTED_VALUE"""),"Credit, Debit, Apple Pay")</f>
        <v>Credit, Debit, Apple Pay</v>
      </c>
      <c r="O462" s="4">
        <f>IFERROR(__xludf.DUMMYFUNCTION("""COMPUTED_VALUE"""),0.0)</f>
        <v>0</v>
      </c>
      <c r="P462" s="2">
        <f>IFERROR(__xludf.DUMMYFUNCTION("""COMPUTED_VALUE"""),24.0)</f>
        <v>24</v>
      </c>
      <c r="Q462" s="2">
        <f>IFERROR(__xludf.DUMMYFUNCTION("""COMPUTED_VALUE"""),5.0)</f>
        <v>5</v>
      </c>
      <c r="R462" s="2">
        <f>IFERROR(__xludf.DUMMYFUNCTION("""COMPUTED_VALUE"""),2025.0)</f>
        <v>2025</v>
      </c>
      <c r="S462" s="2" t="str">
        <f>IFERROR(__xludf.DUMMYFUNCTION("""COMPUTED_VALUE"""),"Digizag")</f>
        <v>Digizag</v>
      </c>
      <c r="T462" s="2" t="str">
        <f>IFERROR(__xludf.DUMMYFUNCTION("""COMPUTED_VALUE"""),"Digizag")</f>
        <v>Digizag</v>
      </c>
      <c r="U462" s="5">
        <f>IFERROR(__xludf.DUMMYFUNCTION("""COMPUTED_VALUE"""),24.798082278000003)</f>
        <v>24.79808228</v>
      </c>
      <c r="V462" s="2"/>
      <c r="W462" s="2"/>
      <c r="X462" s="2"/>
      <c r="Y462" s="2"/>
      <c r="Z462" s="2"/>
    </row>
    <row r="463">
      <c r="A463" s="6">
        <f>IFERROR(__xludf.DUMMYFUNCTION("""COMPUTED_VALUE"""),45801.70884259259)</f>
        <v>45801.70884</v>
      </c>
      <c r="B463" s="2" t="str">
        <f>IFERROR(__xludf.DUMMYFUNCTION("""COMPUTED_VALUE"""),"May")</f>
        <v>May</v>
      </c>
      <c r="C463" s="3">
        <f>IFERROR(__xludf.DUMMYFUNCTION("""COMPUTED_VALUE"""),47727.0)</f>
        <v>47727</v>
      </c>
      <c r="D463" s="2" t="str">
        <f>IFERROR(__xludf.DUMMYFUNCTION("""COMPUTED_VALUE"""),"MNN16")</f>
        <v>MNN16</v>
      </c>
      <c r="E463" s="2" t="str">
        <f>IFERROR(__xludf.DUMMYFUNCTION("""COMPUTED_VALUE"""),"Imported from file DigiZag Bidding Codes.xlsx")</f>
        <v>Imported from file DigiZag Bidding Codes.xlsx</v>
      </c>
      <c r="F463" s="2" t="str">
        <f>IFERROR(__xludf.DUMMYFUNCTION("""COMPUTED_VALUE"""),"WYY918003")</f>
        <v>WYY918003</v>
      </c>
      <c r="G463" s="2" t="str">
        <f>IFERROR(__xludf.DUMMYFUNCTION("""COMPUTED_VALUE"""),"Kingdom of Saudi Arabia")</f>
        <v>Kingdom of Saudi Arabia</v>
      </c>
      <c r="H463" s="4">
        <f>IFERROR(__xludf.DUMMYFUNCTION("""COMPUTED_VALUE"""),963.98)</f>
        <v>963.98</v>
      </c>
      <c r="I463" s="3">
        <f>IFERROR(__xludf.DUMMYFUNCTION("""COMPUTED_VALUE"""),0.0)</f>
        <v>0</v>
      </c>
      <c r="J463" s="4">
        <f>IFERROR(__xludf.DUMMYFUNCTION("""COMPUTED_VALUE"""),30.0)</f>
        <v>30</v>
      </c>
      <c r="K463" s="2"/>
      <c r="L463" s="2" t="str">
        <f>IFERROR(__xludf.DUMMYFUNCTION("""COMPUTED_VALUE"""),"Processing")</f>
        <v>Processing</v>
      </c>
      <c r="M463" s="2" t="str">
        <f>IFERROR(__xludf.DUMMYFUNCTION("""COMPUTED_VALUE"""),"")</f>
        <v></v>
      </c>
      <c r="N463" s="2" t="str">
        <f>IFERROR(__xludf.DUMMYFUNCTION("""COMPUTED_VALUE"""),"Credit, Debit, Apple Pay")</f>
        <v>Credit, Debit, Apple Pay</v>
      </c>
      <c r="O463" s="4">
        <f>IFERROR(__xludf.DUMMYFUNCTION("""COMPUTED_VALUE"""),0.0)</f>
        <v>0</v>
      </c>
      <c r="P463" s="2">
        <f>IFERROR(__xludf.DUMMYFUNCTION("""COMPUTED_VALUE"""),24.0)</f>
        <v>24</v>
      </c>
      <c r="Q463" s="2">
        <f>IFERROR(__xludf.DUMMYFUNCTION("""COMPUTED_VALUE"""),5.0)</f>
        <v>5</v>
      </c>
      <c r="R463" s="2">
        <f>IFERROR(__xludf.DUMMYFUNCTION("""COMPUTED_VALUE"""),2025.0)</f>
        <v>2025</v>
      </c>
      <c r="S463" s="2" t="str">
        <f>IFERROR(__xludf.DUMMYFUNCTION("""COMPUTED_VALUE"""),"Digizag")</f>
        <v>Digizag</v>
      </c>
      <c r="T463" s="2" t="str">
        <f>IFERROR(__xludf.DUMMYFUNCTION("""COMPUTED_VALUE"""),"Digizag")</f>
        <v>Digizag</v>
      </c>
      <c r="U463" s="5">
        <f>IFERROR(__xludf.DUMMYFUNCTION("""COMPUTED_VALUE"""),257.04145542308004)</f>
        <v>257.0414554</v>
      </c>
      <c r="V463" s="2"/>
      <c r="W463" s="2"/>
      <c r="X463" s="2"/>
      <c r="Y463" s="2"/>
      <c r="Z463" s="2"/>
    </row>
    <row r="464">
      <c r="A464" s="6">
        <f>IFERROR(__xludf.DUMMYFUNCTION("""COMPUTED_VALUE"""),45801.74186342592)</f>
        <v>45801.74186</v>
      </c>
      <c r="B464" s="2" t="str">
        <f>IFERROR(__xludf.DUMMYFUNCTION("""COMPUTED_VALUE"""),"May")</f>
        <v>May</v>
      </c>
      <c r="C464" s="3">
        <f>IFERROR(__xludf.DUMMYFUNCTION("""COMPUTED_VALUE"""),205087.0)</f>
        <v>205087</v>
      </c>
      <c r="D464" s="2" t="str">
        <f>IFERROR(__xludf.DUMMYFUNCTION("""COMPUTED_VALUE"""),"MNN16")</f>
        <v>MNN16</v>
      </c>
      <c r="E464" s="2" t="str">
        <f>IFERROR(__xludf.DUMMYFUNCTION("""COMPUTED_VALUE"""),"Imported from file DigiZag Codes 25Feb25.xlsx")</f>
        <v>Imported from file DigiZag Codes 25Feb25.xlsx</v>
      </c>
      <c r="F464" s="2" t="str">
        <f>IFERROR(__xludf.DUMMYFUNCTION("""COMPUTED_VALUE"""),"YLL154806")</f>
        <v>YLL154806</v>
      </c>
      <c r="G464" s="2" t="str">
        <f>IFERROR(__xludf.DUMMYFUNCTION("""COMPUTED_VALUE"""),"Kuwait")</f>
        <v>Kuwait</v>
      </c>
      <c r="H464" s="4">
        <f>IFERROR(__xludf.DUMMYFUNCTION("""COMPUTED_VALUE"""),13.05)</f>
        <v>13.05</v>
      </c>
      <c r="I464" s="3">
        <f>IFERROR(__xludf.DUMMYFUNCTION("""COMPUTED_VALUE"""),0.0)</f>
        <v>0</v>
      </c>
      <c r="J464" s="4">
        <f>IFERROR(__xludf.DUMMYFUNCTION("""COMPUTED_VALUE"""),1.305)</f>
        <v>1.305</v>
      </c>
      <c r="K464" s="2"/>
      <c r="L464" s="2" t="str">
        <f>IFERROR(__xludf.DUMMYFUNCTION("""COMPUTED_VALUE"""),"Processing")</f>
        <v>Processing</v>
      </c>
      <c r="M464" s="2" t="str">
        <f>IFERROR(__xludf.DUMMYFUNCTION("""COMPUTED_VALUE"""),"KD")</f>
        <v>KD</v>
      </c>
      <c r="N464" s="2" t="str">
        <f>IFERROR(__xludf.DUMMYFUNCTION("""COMPUTED_VALUE"""),"Credit, Debit, Knet")</f>
        <v>Credit, Debit, Knet</v>
      </c>
      <c r="O464" s="4">
        <f>IFERROR(__xludf.DUMMYFUNCTION("""COMPUTED_VALUE"""),0.0)</f>
        <v>0</v>
      </c>
      <c r="P464" s="2">
        <f>IFERROR(__xludf.DUMMYFUNCTION("""COMPUTED_VALUE"""),24.0)</f>
        <v>24</v>
      </c>
      <c r="Q464" s="2">
        <f>IFERROR(__xludf.DUMMYFUNCTION("""COMPUTED_VALUE"""),5.0)</f>
        <v>5</v>
      </c>
      <c r="R464" s="2">
        <f>IFERROR(__xludf.DUMMYFUNCTION("""COMPUTED_VALUE"""),2025.0)</f>
        <v>2025</v>
      </c>
      <c r="S464" s="2" t="str">
        <f>IFERROR(__xludf.DUMMYFUNCTION("""COMPUTED_VALUE"""),"Digizag")</f>
        <v>Digizag</v>
      </c>
      <c r="T464" s="2" t="str">
        <f>IFERROR(__xludf.DUMMYFUNCTION("""COMPUTED_VALUE"""),"Digizag")</f>
        <v>Digizag</v>
      </c>
      <c r="U464" s="5">
        <f>IFERROR(__xludf.DUMMYFUNCTION("""COMPUTED_VALUE"""),42.551091)</f>
        <v>42.551091</v>
      </c>
      <c r="V464" s="2"/>
      <c r="W464" s="2"/>
      <c r="X464" s="2"/>
      <c r="Y464" s="2"/>
      <c r="Z464" s="2"/>
    </row>
    <row r="465">
      <c r="A465" s="6">
        <f>IFERROR(__xludf.DUMMYFUNCTION("""COMPUTED_VALUE"""),45801.77421296296)</f>
        <v>45801.77421</v>
      </c>
      <c r="B465" s="2" t="str">
        <f>IFERROR(__xludf.DUMMYFUNCTION("""COMPUTED_VALUE"""),"May")</f>
        <v>May</v>
      </c>
      <c r="C465" s="3">
        <f>IFERROR(__xludf.DUMMYFUNCTION("""COMPUTED_VALUE"""),580749.0)</f>
        <v>580749</v>
      </c>
      <c r="D465" s="2" t="str">
        <f>IFERROR(__xludf.DUMMYFUNCTION("""COMPUTED_VALUE"""),"MNN16")</f>
        <v>MNN16</v>
      </c>
      <c r="E465" s="2" t="str">
        <f>IFERROR(__xludf.DUMMYFUNCTION("""COMPUTED_VALUE"""),"Imported from file DigiZag Bidding Codes.xlsx")</f>
        <v>Imported from file DigiZag Bidding Codes.xlsx</v>
      </c>
      <c r="F465" s="2" t="str">
        <f>IFERROR(__xludf.DUMMYFUNCTION("""COMPUTED_VALUE"""),"UJB668457")</f>
        <v>UJB668457</v>
      </c>
      <c r="G465" s="2" t="str">
        <f>IFERROR(__xludf.DUMMYFUNCTION("""COMPUTED_VALUE"""),"Kingdom of Saudi Arabia")</f>
        <v>Kingdom of Saudi Arabia</v>
      </c>
      <c r="H465" s="4">
        <f>IFERROR(__xludf.DUMMYFUNCTION("""COMPUTED_VALUE"""),93.0)</f>
        <v>93</v>
      </c>
      <c r="I465" s="3">
        <f>IFERROR(__xludf.DUMMYFUNCTION("""COMPUTED_VALUE"""),0.0)</f>
        <v>0</v>
      </c>
      <c r="J465" s="4">
        <f>IFERROR(__xludf.DUMMYFUNCTION("""COMPUTED_VALUE"""),30.0)</f>
        <v>30</v>
      </c>
      <c r="K465" s="2"/>
      <c r="L465" s="2" t="str">
        <f>IFERROR(__xludf.DUMMYFUNCTION("""COMPUTED_VALUE"""),"Processing")</f>
        <v>Processing</v>
      </c>
      <c r="M465" s="2" t="str">
        <f>IFERROR(__xludf.DUMMYFUNCTION("""COMPUTED_VALUE"""),"")</f>
        <v></v>
      </c>
      <c r="N465" s="2" t="str">
        <f>IFERROR(__xludf.DUMMYFUNCTION("""COMPUTED_VALUE"""),"Credit, Debit, Apple Pay")</f>
        <v>Credit, Debit, Apple Pay</v>
      </c>
      <c r="O465" s="4">
        <f>IFERROR(__xludf.DUMMYFUNCTION("""COMPUTED_VALUE"""),0.0)</f>
        <v>0</v>
      </c>
      <c r="P465" s="2">
        <f>IFERROR(__xludf.DUMMYFUNCTION("""COMPUTED_VALUE"""),24.0)</f>
        <v>24</v>
      </c>
      <c r="Q465" s="2">
        <f>IFERROR(__xludf.DUMMYFUNCTION("""COMPUTED_VALUE"""),5.0)</f>
        <v>5</v>
      </c>
      <c r="R465" s="2">
        <f>IFERROR(__xludf.DUMMYFUNCTION("""COMPUTED_VALUE"""),2025.0)</f>
        <v>2025</v>
      </c>
      <c r="S465" s="2" t="str">
        <f>IFERROR(__xludf.DUMMYFUNCTION("""COMPUTED_VALUE"""),"Digizag")</f>
        <v>Digizag</v>
      </c>
      <c r="T465" s="2" t="str">
        <f>IFERROR(__xludf.DUMMYFUNCTION("""COMPUTED_VALUE"""),"Digizag")</f>
        <v>Digizag</v>
      </c>
      <c r="U465" s="5">
        <f>IFERROR(__xludf.DUMMYFUNCTION("""COMPUTED_VALUE"""),24.798082278000003)</f>
        <v>24.79808228</v>
      </c>
      <c r="V465" s="2"/>
      <c r="W465" s="2"/>
      <c r="X465" s="2"/>
      <c r="Y465" s="2"/>
      <c r="Z465" s="2"/>
    </row>
    <row r="466">
      <c r="A466" s="6">
        <f>IFERROR(__xludf.DUMMYFUNCTION("""COMPUTED_VALUE"""),45802.5562037037)</f>
        <v>45802.5562</v>
      </c>
      <c r="B466" s="2" t="str">
        <f>IFERROR(__xludf.DUMMYFUNCTION("""COMPUTED_VALUE"""),"May")</f>
        <v>May</v>
      </c>
      <c r="C466" s="3">
        <f>IFERROR(__xludf.DUMMYFUNCTION("""COMPUTED_VALUE"""),280268.0)</f>
        <v>280268</v>
      </c>
      <c r="D466" s="2" t="str">
        <f>IFERROR(__xludf.DUMMYFUNCTION("""COMPUTED_VALUE"""),"MNN16")</f>
        <v>MNN16</v>
      </c>
      <c r="E466" s="2" t="str">
        <f>IFERROR(__xludf.DUMMYFUNCTION("""COMPUTED_VALUE"""),"Imported from file DigiZag Bidding Codes.xlsx")</f>
        <v>Imported from file DigiZag Bidding Codes.xlsx</v>
      </c>
      <c r="F466" s="2" t="str">
        <f>IFERROR(__xludf.DUMMYFUNCTION("""COMPUTED_VALUE"""),"ZLD927165")</f>
        <v>ZLD927165</v>
      </c>
      <c r="G466" s="2" t="str">
        <f>IFERROR(__xludf.DUMMYFUNCTION("""COMPUTED_VALUE"""),"Kingdom of Saudi Arabia")</f>
        <v>Kingdom of Saudi Arabia</v>
      </c>
      <c r="H466" s="4">
        <f>IFERROR(__xludf.DUMMYFUNCTION("""COMPUTED_VALUE"""),125.91)</f>
        <v>125.91</v>
      </c>
      <c r="I466" s="3">
        <f>IFERROR(__xludf.DUMMYFUNCTION("""COMPUTED_VALUE"""),0.0)</f>
        <v>0</v>
      </c>
      <c r="J466" s="4">
        <f>IFERROR(__xludf.DUMMYFUNCTION("""COMPUTED_VALUE"""),30.0)</f>
        <v>30</v>
      </c>
      <c r="K466" s="2"/>
      <c r="L466" s="2" t="str">
        <f>IFERROR(__xludf.DUMMYFUNCTION("""COMPUTED_VALUE"""),"Processing")</f>
        <v>Processing</v>
      </c>
      <c r="M466" s="2" t="str">
        <f>IFERROR(__xludf.DUMMYFUNCTION("""COMPUTED_VALUE"""),"")</f>
        <v></v>
      </c>
      <c r="N466" s="2" t="str">
        <f>IFERROR(__xludf.DUMMYFUNCTION("""COMPUTED_VALUE"""),"Credit, Debit, Apple Pay")</f>
        <v>Credit, Debit, Apple Pay</v>
      </c>
      <c r="O466" s="4">
        <f>IFERROR(__xludf.DUMMYFUNCTION("""COMPUTED_VALUE"""),0.0)</f>
        <v>0</v>
      </c>
      <c r="P466" s="2">
        <f>IFERROR(__xludf.DUMMYFUNCTION("""COMPUTED_VALUE"""),25.0)</f>
        <v>25</v>
      </c>
      <c r="Q466" s="2">
        <f>IFERROR(__xludf.DUMMYFUNCTION("""COMPUTED_VALUE"""),5.0)</f>
        <v>5</v>
      </c>
      <c r="R466" s="2">
        <f>IFERROR(__xludf.DUMMYFUNCTION("""COMPUTED_VALUE"""),2025.0)</f>
        <v>2025</v>
      </c>
      <c r="S466" s="2" t="str">
        <f>IFERROR(__xludf.DUMMYFUNCTION("""COMPUTED_VALUE"""),"Digizag")</f>
        <v>Digizag</v>
      </c>
      <c r="T466" s="2" t="str">
        <f>IFERROR(__xludf.DUMMYFUNCTION("""COMPUTED_VALUE"""),"Digizag")</f>
        <v>Digizag</v>
      </c>
      <c r="U466" s="5">
        <f>IFERROR(__xludf.DUMMYFUNCTION("""COMPUTED_VALUE"""),33.573403651860005)</f>
        <v>33.57340365</v>
      </c>
      <c r="V466" s="2"/>
      <c r="W466" s="2"/>
      <c r="X466" s="2"/>
      <c r="Y466" s="2"/>
      <c r="Z466" s="2"/>
    </row>
    <row r="467">
      <c r="A467" s="6">
        <f>IFERROR(__xludf.DUMMYFUNCTION("""COMPUTED_VALUE"""),45802.68346064815)</f>
        <v>45802.68346</v>
      </c>
      <c r="B467" s="2" t="str">
        <f>IFERROR(__xludf.DUMMYFUNCTION("""COMPUTED_VALUE"""),"May")</f>
        <v>May</v>
      </c>
      <c r="C467" s="3">
        <f>IFERROR(__xludf.DUMMYFUNCTION("""COMPUTED_VALUE"""),41528.0)</f>
        <v>41528</v>
      </c>
      <c r="D467" s="2" t="str">
        <f>IFERROR(__xludf.DUMMYFUNCTION("""COMPUTED_VALUE"""),"MNN16")</f>
        <v>MNN16</v>
      </c>
      <c r="E467" s="2" t="str">
        <f>IFERROR(__xludf.DUMMYFUNCTION("""COMPUTED_VALUE"""),"Imported from file DigiZag Bidding Codes.xlsx")</f>
        <v>Imported from file DigiZag Bidding Codes.xlsx</v>
      </c>
      <c r="F467" s="2" t="str">
        <f>IFERROR(__xludf.DUMMYFUNCTION("""COMPUTED_VALUE"""),"XTP861878")</f>
        <v>XTP861878</v>
      </c>
      <c r="G467" s="2" t="str">
        <f>IFERROR(__xludf.DUMMYFUNCTION("""COMPUTED_VALUE"""),"Kingdom of Saudi Arabia")</f>
        <v>Kingdom of Saudi Arabia</v>
      </c>
      <c r="H467" s="4">
        <f>IFERROR(__xludf.DUMMYFUNCTION("""COMPUTED_VALUE"""),149.95)</f>
        <v>149.95</v>
      </c>
      <c r="I467" s="3">
        <f>IFERROR(__xludf.DUMMYFUNCTION("""COMPUTED_VALUE"""),0.0)</f>
        <v>0</v>
      </c>
      <c r="J467" s="4">
        <f>IFERROR(__xludf.DUMMYFUNCTION("""COMPUTED_VALUE"""),30.0)</f>
        <v>30</v>
      </c>
      <c r="K467" s="2"/>
      <c r="L467" s="2" t="str">
        <f>IFERROR(__xludf.DUMMYFUNCTION("""COMPUTED_VALUE"""),"Processing")</f>
        <v>Processing</v>
      </c>
      <c r="M467" s="2" t="str">
        <f>IFERROR(__xludf.DUMMYFUNCTION("""COMPUTED_VALUE"""),"")</f>
        <v></v>
      </c>
      <c r="N467" s="2" t="str">
        <f>IFERROR(__xludf.DUMMYFUNCTION("""COMPUTED_VALUE"""),"Credit, Debit, Apple Pay")</f>
        <v>Credit, Debit, Apple Pay</v>
      </c>
      <c r="O467" s="4">
        <f>IFERROR(__xludf.DUMMYFUNCTION("""COMPUTED_VALUE"""),0.0)</f>
        <v>0</v>
      </c>
      <c r="P467" s="2">
        <f>IFERROR(__xludf.DUMMYFUNCTION("""COMPUTED_VALUE"""),25.0)</f>
        <v>25</v>
      </c>
      <c r="Q467" s="2">
        <f>IFERROR(__xludf.DUMMYFUNCTION("""COMPUTED_VALUE"""),5.0)</f>
        <v>5</v>
      </c>
      <c r="R467" s="2">
        <f>IFERROR(__xludf.DUMMYFUNCTION("""COMPUTED_VALUE"""),2025.0)</f>
        <v>2025</v>
      </c>
      <c r="S467" s="2" t="str">
        <f>IFERROR(__xludf.DUMMYFUNCTION("""COMPUTED_VALUE"""),"Digizag")</f>
        <v>Digizag</v>
      </c>
      <c r="T467" s="2" t="str">
        <f>IFERROR(__xludf.DUMMYFUNCTION("""COMPUTED_VALUE"""),"Digizag")</f>
        <v>Digizag</v>
      </c>
      <c r="U467" s="5">
        <f>IFERROR(__xludf.DUMMYFUNCTION("""COMPUTED_VALUE"""),39.9835745977)</f>
        <v>39.9835746</v>
      </c>
      <c r="V467" s="2"/>
      <c r="W467" s="2"/>
      <c r="X467" s="2"/>
      <c r="Y467" s="2"/>
      <c r="Z467" s="2"/>
    </row>
    <row r="468">
      <c r="A468" s="6">
        <f>IFERROR(__xludf.DUMMYFUNCTION("""COMPUTED_VALUE"""),45802.83611111111)</f>
        <v>45802.83611</v>
      </c>
      <c r="B468" s="2" t="str">
        <f>IFERROR(__xludf.DUMMYFUNCTION("""COMPUTED_VALUE"""),"May")</f>
        <v>May</v>
      </c>
      <c r="C468" s="3">
        <f>IFERROR(__xludf.DUMMYFUNCTION("""COMPUTED_VALUE"""),427331.0)</f>
        <v>427331</v>
      </c>
      <c r="D468" s="2" t="str">
        <f>IFERROR(__xludf.DUMMYFUNCTION("""COMPUTED_VALUE"""),"ZM22")</f>
        <v>ZM22</v>
      </c>
      <c r="E468" s="2" t="str">
        <f>IFERROR(__xludf.DUMMYFUNCTION("""COMPUTED_VALUE"""),"Imported from file Digizag.xlsx")</f>
        <v>Imported from file Digizag.xlsx</v>
      </c>
      <c r="F468" s="2" t="str">
        <f>IFERROR(__xludf.DUMMYFUNCTION("""COMPUTED_VALUE"""),"MGR319100")</f>
        <v>MGR319100</v>
      </c>
      <c r="G468" s="2" t="str">
        <f>IFERROR(__xludf.DUMMYFUNCTION("""COMPUTED_VALUE"""),"Kuwait")</f>
        <v>Kuwait</v>
      </c>
      <c r="H468" s="4">
        <f>IFERROR(__xludf.DUMMYFUNCTION("""COMPUTED_VALUE"""),9.9)</f>
        <v>9.9</v>
      </c>
      <c r="I468" s="3">
        <f>IFERROR(__xludf.DUMMYFUNCTION("""COMPUTED_VALUE"""),0.0)</f>
        <v>0</v>
      </c>
      <c r="J468" s="4">
        <f>IFERROR(__xludf.DUMMYFUNCTION("""COMPUTED_VALUE"""),0.99)</f>
        <v>0.99</v>
      </c>
      <c r="K468" s="2"/>
      <c r="L468" s="2" t="str">
        <f>IFERROR(__xludf.DUMMYFUNCTION("""COMPUTED_VALUE"""),"Processing")</f>
        <v>Processing</v>
      </c>
      <c r="M468" s="2" t="str">
        <f>IFERROR(__xludf.DUMMYFUNCTION("""COMPUTED_VALUE"""),"KD")</f>
        <v>KD</v>
      </c>
      <c r="N468" s="2" t="str">
        <f>IFERROR(__xludf.DUMMYFUNCTION("""COMPUTED_VALUE"""),"Credit, Debit, Knet")</f>
        <v>Credit, Debit, Knet</v>
      </c>
      <c r="O468" s="4">
        <f>IFERROR(__xludf.DUMMYFUNCTION("""COMPUTED_VALUE"""),0.0)</f>
        <v>0</v>
      </c>
      <c r="P468" s="2">
        <f>IFERROR(__xludf.DUMMYFUNCTION("""COMPUTED_VALUE"""),25.0)</f>
        <v>25</v>
      </c>
      <c r="Q468" s="2">
        <f>IFERROR(__xludf.DUMMYFUNCTION("""COMPUTED_VALUE"""),5.0)</f>
        <v>5</v>
      </c>
      <c r="R468" s="2">
        <f>IFERROR(__xludf.DUMMYFUNCTION("""COMPUTED_VALUE"""),2025.0)</f>
        <v>2025</v>
      </c>
      <c r="S468" s="2" t="str">
        <f>IFERROR(__xludf.DUMMYFUNCTION("""COMPUTED_VALUE"""),"Digizag")</f>
        <v>Digizag</v>
      </c>
      <c r="T468" s="2" t="str">
        <f>IFERROR(__xludf.DUMMYFUNCTION("""COMPUTED_VALUE"""),"Digizag")</f>
        <v>Digizag</v>
      </c>
      <c r="U468" s="5">
        <f>IFERROR(__xludf.DUMMYFUNCTION("""COMPUTED_VALUE"""),32.280138)</f>
        <v>32.280138</v>
      </c>
      <c r="V468" s="2"/>
      <c r="W468" s="2"/>
      <c r="X468" s="2"/>
      <c r="Y468" s="2"/>
      <c r="Z468" s="2"/>
    </row>
    <row r="469">
      <c r="A469" s="6">
        <f>IFERROR(__xludf.DUMMYFUNCTION("""COMPUTED_VALUE"""),45802.862974537034)</f>
        <v>45802.86297</v>
      </c>
      <c r="B469" s="2" t="str">
        <f>IFERROR(__xludf.DUMMYFUNCTION("""COMPUTED_VALUE"""),"May")</f>
        <v>May</v>
      </c>
      <c r="C469" s="3">
        <f>IFERROR(__xludf.DUMMYFUNCTION("""COMPUTED_VALUE"""),47727.0)</f>
        <v>47727</v>
      </c>
      <c r="D469" s="2" t="str">
        <f>IFERROR(__xludf.DUMMYFUNCTION("""COMPUTED_VALUE"""),"MNN16")</f>
        <v>MNN16</v>
      </c>
      <c r="E469" s="2" t="str">
        <f>IFERROR(__xludf.DUMMYFUNCTION("""COMPUTED_VALUE"""),"Imported from file DigiZag Bidding Codes.xlsx")</f>
        <v>Imported from file DigiZag Bidding Codes.xlsx</v>
      </c>
      <c r="F469" s="2" t="str">
        <f>IFERROR(__xludf.DUMMYFUNCTION("""COMPUTED_VALUE"""),"DRW788236")</f>
        <v>DRW788236</v>
      </c>
      <c r="G469" s="2" t="str">
        <f>IFERROR(__xludf.DUMMYFUNCTION("""COMPUTED_VALUE"""),"Kingdom of Saudi Arabia")</f>
        <v>Kingdom of Saudi Arabia</v>
      </c>
      <c r="H469" s="4">
        <f>IFERROR(__xludf.DUMMYFUNCTION("""COMPUTED_VALUE"""),206.48)</f>
        <v>206.48</v>
      </c>
      <c r="I469" s="3">
        <f>IFERROR(__xludf.DUMMYFUNCTION("""COMPUTED_VALUE"""),0.0)</f>
        <v>0</v>
      </c>
      <c r="J469" s="4">
        <f>IFERROR(__xludf.DUMMYFUNCTION("""COMPUTED_VALUE"""),30.0)</f>
        <v>30</v>
      </c>
      <c r="K469" s="2"/>
      <c r="L469" s="2" t="str">
        <f>IFERROR(__xludf.DUMMYFUNCTION("""COMPUTED_VALUE"""),"Processing")</f>
        <v>Processing</v>
      </c>
      <c r="M469" s="2" t="str">
        <f>IFERROR(__xludf.DUMMYFUNCTION("""COMPUTED_VALUE"""),"")</f>
        <v></v>
      </c>
      <c r="N469" s="2" t="str">
        <f>IFERROR(__xludf.DUMMYFUNCTION("""COMPUTED_VALUE"""),"Credit, Debit, Apple Pay")</f>
        <v>Credit, Debit, Apple Pay</v>
      </c>
      <c r="O469" s="4">
        <f>IFERROR(__xludf.DUMMYFUNCTION("""COMPUTED_VALUE"""),0.0)</f>
        <v>0</v>
      </c>
      <c r="P469" s="2">
        <f>IFERROR(__xludf.DUMMYFUNCTION("""COMPUTED_VALUE"""),25.0)</f>
        <v>25</v>
      </c>
      <c r="Q469" s="2">
        <f>IFERROR(__xludf.DUMMYFUNCTION("""COMPUTED_VALUE"""),5.0)</f>
        <v>5</v>
      </c>
      <c r="R469" s="2">
        <f>IFERROR(__xludf.DUMMYFUNCTION("""COMPUTED_VALUE"""),2025.0)</f>
        <v>2025</v>
      </c>
      <c r="S469" s="2" t="str">
        <f>IFERROR(__xludf.DUMMYFUNCTION("""COMPUTED_VALUE"""),"Digizag")</f>
        <v>Digizag</v>
      </c>
      <c r="T469" s="2" t="str">
        <f>IFERROR(__xludf.DUMMYFUNCTION("""COMPUTED_VALUE"""),"Digizag")</f>
        <v>Digizag</v>
      </c>
      <c r="U469" s="5">
        <f>IFERROR(__xludf.DUMMYFUNCTION("""COMPUTED_VALUE"""),55.05707557808)</f>
        <v>55.05707558</v>
      </c>
      <c r="V469" s="2"/>
      <c r="W469" s="2"/>
      <c r="X469" s="2"/>
      <c r="Y469" s="2"/>
      <c r="Z469" s="2"/>
    </row>
    <row r="470">
      <c r="A470" s="6">
        <f>IFERROR(__xludf.DUMMYFUNCTION("""COMPUTED_VALUE"""),45803.1115162037)</f>
        <v>45803.11152</v>
      </c>
      <c r="B470" s="2" t="str">
        <f>IFERROR(__xludf.DUMMYFUNCTION("""COMPUTED_VALUE"""),"May")</f>
        <v>May</v>
      </c>
      <c r="C470" s="3">
        <f>IFERROR(__xludf.DUMMYFUNCTION("""COMPUTED_VALUE"""),465226.0)</f>
        <v>465226</v>
      </c>
      <c r="D470" s="2" t="str">
        <f>IFERROR(__xludf.DUMMYFUNCTION("""COMPUTED_VALUE"""),"MNN16")</f>
        <v>MNN16</v>
      </c>
      <c r="E470" s="2" t="str">
        <f>IFERROR(__xludf.DUMMYFUNCTION("""COMPUTED_VALUE"""),"Imported from file DigiZag Codes 25Feb25.xlsx")</f>
        <v>Imported from file DigiZag Codes 25Feb25.xlsx</v>
      </c>
      <c r="F470" s="2" t="str">
        <f>IFERROR(__xludf.DUMMYFUNCTION("""COMPUTED_VALUE"""),"VQN164428")</f>
        <v>VQN164428</v>
      </c>
      <c r="G470" s="2" t="str">
        <f>IFERROR(__xludf.DUMMYFUNCTION("""COMPUTED_VALUE"""),"UAE")</f>
        <v>UAE</v>
      </c>
      <c r="H470" s="4">
        <f>IFERROR(__xludf.DUMMYFUNCTION("""COMPUTED_VALUE"""),89.0)</f>
        <v>89</v>
      </c>
      <c r="I470" s="3">
        <f>IFERROR(__xludf.DUMMYFUNCTION("""COMPUTED_VALUE"""),0.0)</f>
        <v>0</v>
      </c>
      <c r="J470" s="4">
        <f>IFERROR(__xludf.DUMMYFUNCTION("""COMPUTED_VALUE"""),8.9)</f>
        <v>8.9</v>
      </c>
      <c r="K470" s="2"/>
      <c r="L470" s="2" t="str">
        <f>IFERROR(__xludf.DUMMYFUNCTION("""COMPUTED_VALUE"""),"Delivered")</f>
        <v>Delivered</v>
      </c>
      <c r="M470" s="2" t="str">
        <f>IFERROR(__xludf.DUMMYFUNCTION("""COMPUTED_VALUE"""),"")</f>
        <v></v>
      </c>
      <c r="N470" s="2" t="str">
        <f>IFERROR(__xludf.DUMMYFUNCTION("""COMPUTED_VALUE"""),"Tamara: split in 3, interest-free")</f>
        <v>Tamara: split in 3, interest-free</v>
      </c>
      <c r="O470" s="4">
        <f>IFERROR(__xludf.DUMMYFUNCTION("""COMPUTED_VALUE"""),0.0)</f>
        <v>0</v>
      </c>
      <c r="P470" s="2">
        <f>IFERROR(__xludf.DUMMYFUNCTION("""COMPUTED_VALUE"""),26.0)</f>
        <v>26</v>
      </c>
      <c r="Q470" s="2">
        <f>IFERROR(__xludf.DUMMYFUNCTION("""COMPUTED_VALUE"""),5.0)</f>
        <v>5</v>
      </c>
      <c r="R470" s="2">
        <f>IFERROR(__xludf.DUMMYFUNCTION("""COMPUTED_VALUE"""),2025.0)</f>
        <v>2025</v>
      </c>
      <c r="S470" s="2" t="str">
        <f>IFERROR(__xludf.DUMMYFUNCTION("""COMPUTED_VALUE"""),"Digizag")</f>
        <v>Digizag</v>
      </c>
      <c r="T470" s="2" t="str">
        <f>IFERROR(__xludf.DUMMYFUNCTION("""COMPUTED_VALUE"""),"Digizag")</f>
        <v>Digizag</v>
      </c>
      <c r="U470" s="5">
        <f>IFERROR(__xludf.DUMMYFUNCTION("""COMPUTED_VALUE"""),24.234172942)</f>
        <v>24.23417294</v>
      </c>
      <c r="V470" s="2"/>
      <c r="W470" s="2"/>
      <c r="X470" s="2"/>
      <c r="Y470" s="2"/>
      <c r="Z470" s="2"/>
    </row>
    <row r="471">
      <c r="A471" s="6">
        <f>IFERROR(__xludf.DUMMYFUNCTION("""COMPUTED_VALUE"""),45803.19991898148)</f>
        <v>45803.19992</v>
      </c>
      <c r="B471" s="2" t="str">
        <f>IFERROR(__xludf.DUMMYFUNCTION("""COMPUTED_VALUE"""),"May")</f>
        <v>May</v>
      </c>
      <c r="C471" s="3">
        <f>IFERROR(__xludf.DUMMYFUNCTION("""COMPUTED_VALUE"""),349597.0)</f>
        <v>349597</v>
      </c>
      <c r="D471" s="2" t="str">
        <f>IFERROR(__xludf.DUMMYFUNCTION("""COMPUTED_VALUE"""),"DB1")</f>
        <v>DB1</v>
      </c>
      <c r="E471" s="2" t="str">
        <f>IFERROR(__xludf.DUMMYFUNCTION("""COMPUTED_VALUE"""),"Imported from file Digizag.xlsx")</f>
        <v>Imported from file Digizag.xlsx</v>
      </c>
      <c r="F471" s="2" t="str">
        <f>IFERROR(__xludf.DUMMYFUNCTION("""COMPUTED_VALUE"""),"ABL119189")</f>
        <v>ABL119189</v>
      </c>
      <c r="G471" s="2" t="str">
        <f>IFERROR(__xludf.DUMMYFUNCTION("""COMPUTED_VALUE"""),"UAE")</f>
        <v>UAE</v>
      </c>
      <c r="H471" s="4">
        <f>IFERROR(__xludf.DUMMYFUNCTION("""COMPUTED_VALUE"""),199.14)</f>
        <v>199.14</v>
      </c>
      <c r="I471" s="3">
        <f>IFERROR(__xludf.DUMMYFUNCTION("""COMPUTED_VALUE"""),0.0)</f>
        <v>0</v>
      </c>
      <c r="J471" s="4">
        <f>IFERROR(__xludf.DUMMYFUNCTION("""COMPUTED_VALUE"""),19.91)</f>
        <v>19.91</v>
      </c>
      <c r="K471" s="2"/>
      <c r="L471" s="2" t="str">
        <f>IFERROR(__xludf.DUMMYFUNCTION("""COMPUTED_VALUE"""),"Delivered")</f>
        <v>Delivered</v>
      </c>
      <c r="M471" s="2" t="str">
        <f>IFERROR(__xludf.DUMMYFUNCTION("""COMPUTED_VALUE"""),"")</f>
        <v></v>
      </c>
      <c r="N471" s="2" t="str">
        <f>IFERROR(__xludf.DUMMYFUNCTION("""COMPUTED_VALUE"""),"Credit, Debit , Apple Pay")</f>
        <v>Credit, Debit , Apple Pay</v>
      </c>
      <c r="O471" s="4">
        <f>IFERROR(__xludf.DUMMYFUNCTION("""COMPUTED_VALUE"""),0.0)</f>
        <v>0</v>
      </c>
      <c r="P471" s="2">
        <f>IFERROR(__xludf.DUMMYFUNCTION("""COMPUTED_VALUE"""),26.0)</f>
        <v>26</v>
      </c>
      <c r="Q471" s="2">
        <f>IFERROR(__xludf.DUMMYFUNCTION("""COMPUTED_VALUE"""),5.0)</f>
        <v>5</v>
      </c>
      <c r="R471" s="2">
        <f>IFERROR(__xludf.DUMMYFUNCTION("""COMPUTED_VALUE"""),2025.0)</f>
        <v>2025</v>
      </c>
      <c r="S471" s="2" t="str">
        <f>IFERROR(__xludf.DUMMYFUNCTION("""COMPUTED_VALUE"""),"Digizag")</f>
        <v>Digizag</v>
      </c>
      <c r="T471" s="2" t="str">
        <f>IFERROR(__xludf.DUMMYFUNCTION("""COMPUTED_VALUE"""),"Digizag")</f>
        <v>Digizag</v>
      </c>
      <c r="U471" s="5">
        <f>IFERROR(__xludf.DUMMYFUNCTION("""COMPUTED_VALUE"""),54.22464269291999)</f>
        <v>54.22464269</v>
      </c>
      <c r="V471" s="2"/>
      <c r="W471" s="2"/>
      <c r="X471" s="2"/>
      <c r="Y471" s="2"/>
      <c r="Z471" s="2"/>
    </row>
    <row r="472">
      <c r="A472" s="6">
        <f>IFERROR(__xludf.DUMMYFUNCTION("""COMPUTED_VALUE"""),45803.321284722224)</f>
        <v>45803.32128</v>
      </c>
      <c r="B472" s="2" t="str">
        <f>IFERROR(__xludf.DUMMYFUNCTION("""COMPUTED_VALUE"""),"May")</f>
        <v>May</v>
      </c>
      <c r="C472" s="3">
        <f>IFERROR(__xludf.DUMMYFUNCTION("""COMPUTED_VALUE"""),741978.0)</f>
        <v>741978</v>
      </c>
      <c r="D472" s="2" t="str">
        <f>IFERROR(__xludf.DUMMYFUNCTION("""COMPUTED_VALUE"""),"DB1")</f>
        <v>DB1</v>
      </c>
      <c r="E472" s="2" t="str">
        <f>IFERROR(__xludf.DUMMYFUNCTION("""COMPUTED_VALUE"""),"Imported from file Digizag.xlsx")</f>
        <v>Imported from file Digizag.xlsx</v>
      </c>
      <c r="F472" s="2" t="str">
        <f>IFERROR(__xludf.DUMMYFUNCTION("""COMPUTED_VALUE"""),"HSJ473102")</f>
        <v>HSJ473102</v>
      </c>
      <c r="G472" s="2" t="str">
        <f>IFERROR(__xludf.DUMMYFUNCTION("""COMPUTED_VALUE"""),"Kuwait")</f>
        <v>Kuwait</v>
      </c>
      <c r="H472" s="4">
        <f>IFERROR(__xludf.DUMMYFUNCTION("""COMPUTED_VALUE"""),33.9)</f>
        <v>33.9</v>
      </c>
      <c r="I472" s="3">
        <f>IFERROR(__xludf.DUMMYFUNCTION("""COMPUTED_VALUE"""),0.0)</f>
        <v>0</v>
      </c>
      <c r="J472" s="4">
        <f>IFERROR(__xludf.DUMMYFUNCTION("""COMPUTED_VALUE"""),3.39)</f>
        <v>3.39</v>
      </c>
      <c r="K472" s="2"/>
      <c r="L472" s="2" t="str">
        <f>IFERROR(__xludf.DUMMYFUNCTION("""COMPUTED_VALUE"""),"Delivered")</f>
        <v>Delivered</v>
      </c>
      <c r="M472" s="2" t="str">
        <f>IFERROR(__xludf.DUMMYFUNCTION("""COMPUTED_VALUE"""),"KD")</f>
        <v>KD</v>
      </c>
      <c r="N472" s="2" t="str">
        <f>IFERROR(__xludf.DUMMYFUNCTION("""COMPUTED_VALUE"""),"Credit, Debit, Knet")</f>
        <v>Credit, Debit, Knet</v>
      </c>
      <c r="O472" s="4">
        <f>IFERROR(__xludf.DUMMYFUNCTION("""COMPUTED_VALUE"""),0.0)</f>
        <v>0</v>
      </c>
      <c r="P472" s="2">
        <f>IFERROR(__xludf.DUMMYFUNCTION("""COMPUTED_VALUE"""),26.0)</f>
        <v>26</v>
      </c>
      <c r="Q472" s="2">
        <f>IFERROR(__xludf.DUMMYFUNCTION("""COMPUTED_VALUE"""),5.0)</f>
        <v>5</v>
      </c>
      <c r="R472" s="2">
        <f>IFERROR(__xludf.DUMMYFUNCTION("""COMPUTED_VALUE"""),2025.0)</f>
        <v>2025</v>
      </c>
      <c r="S472" s="2" t="str">
        <f>IFERROR(__xludf.DUMMYFUNCTION("""COMPUTED_VALUE"""),"Digizag")</f>
        <v>Digizag</v>
      </c>
      <c r="T472" s="2" t="str">
        <f>IFERROR(__xludf.DUMMYFUNCTION("""COMPUTED_VALUE"""),"Digizag")</f>
        <v>Digizag</v>
      </c>
      <c r="U472" s="5">
        <f>IFERROR(__xludf.DUMMYFUNCTION("""COMPUTED_VALUE"""),110.535018)</f>
        <v>110.535018</v>
      </c>
      <c r="V472" s="2"/>
      <c r="W472" s="2"/>
      <c r="X472" s="2"/>
      <c r="Y472" s="2"/>
      <c r="Z472" s="2"/>
    </row>
    <row r="473">
      <c r="A473" s="6">
        <f>IFERROR(__xludf.DUMMYFUNCTION("""COMPUTED_VALUE"""),45803.46528935185)</f>
        <v>45803.46529</v>
      </c>
      <c r="B473" s="2" t="str">
        <f>IFERROR(__xludf.DUMMYFUNCTION("""COMPUTED_VALUE"""),"May")</f>
        <v>May</v>
      </c>
      <c r="C473" s="3">
        <f>IFERROR(__xludf.DUMMYFUNCTION("""COMPUTED_VALUE"""),467207.0)</f>
        <v>467207</v>
      </c>
      <c r="D473" s="2" t="str">
        <f>IFERROR(__xludf.DUMMYFUNCTION("""COMPUTED_VALUE"""),"MNN16")</f>
        <v>MNN16</v>
      </c>
      <c r="E473" s="2" t="str">
        <f>IFERROR(__xludf.DUMMYFUNCTION("""COMPUTED_VALUE"""),"Imported from file DigiZag Codes 25Feb25.xlsx")</f>
        <v>Imported from file DigiZag Codes 25Feb25.xlsx</v>
      </c>
      <c r="F473" s="2" t="str">
        <f>IFERROR(__xludf.DUMMYFUNCTION("""COMPUTED_VALUE"""),"ZJG162895")</f>
        <v>ZJG162895</v>
      </c>
      <c r="G473" s="2" t="str">
        <f>IFERROR(__xludf.DUMMYFUNCTION("""COMPUTED_VALUE"""),"Kuwait")</f>
        <v>Kuwait</v>
      </c>
      <c r="H473" s="4">
        <f>IFERROR(__xludf.DUMMYFUNCTION("""COMPUTED_VALUE"""),10.95)</f>
        <v>10.95</v>
      </c>
      <c r="I473" s="3">
        <f>IFERROR(__xludf.DUMMYFUNCTION("""COMPUTED_VALUE"""),0.0)</f>
        <v>0</v>
      </c>
      <c r="J473" s="4">
        <f>IFERROR(__xludf.DUMMYFUNCTION("""COMPUTED_VALUE"""),1.095)</f>
        <v>1.095</v>
      </c>
      <c r="K473" s="2"/>
      <c r="L473" s="2" t="str">
        <f>IFERROR(__xludf.DUMMYFUNCTION("""COMPUTED_VALUE"""),"Delivered")</f>
        <v>Delivered</v>
      </c>
      <c r="M473" s="2" t="str">
        <f>IFERROR(__xludf.DUMMYFUNCTION("""COMPUTED_VALUE"""),"KD")</f>
        <v>KD</v>
      </c>
      <c r="N473" s="2" t="str">
        <f>IFERROR(__xludf.DUMMYFUNCTION("""COMPUTED_VALUE"""),"Credit, Debit, Knet")</f>
        <v>Credit, Debit, Knet</v>
      </c>
      <c r="O473" s="4">
        <f>IFERROR(__xludf.DUMMYFUNCTION("""COMPUTED_VALUE"""),0.0)</f>
        <v>0</v>
      </c>
      <c r="P473" s="2">
        <f>IFERROR(__xludf.DUMMYFUNCTION("""COMPUTED_VALUE"""),26.0)</f>
        <v>26</v>
      </c>
      <c r="Q473" s="2">
        <f>IFERROR(__xludf.DUMMYFUNCTION("""COMPUTED_VALUE"""),5.0)</f>
        <v>5</v>
      </c>
      <c r="R473" s="2">
        <f>IFERROR(__xludf.DUMMYFUNCTION("""COMPUTED_VALUE"""),2025.0)</f>
        <v>2025</v>
      </c>
      <c r="S473" s="2" t="str">
        <f>IFERROR(__xludf.DUMMYFUNCTION("""COMPUTED_VALUE"""),"Digizag")</f>
        <v>Digizag</v>
      </c>
      <c r="T473" s="2" t="str">
        <f>IFERROR(__xludf.DUMMYFUNCTION("""COMPUTED_VALUE"""),"Digizag")</f>
        <v>Digizag</v>
      </c>
      <c r="U473" s="5">
        <f>IFERROR(__xludf.DUMMYFUNCTION("""COMPUTED_VALUE"""),35.70378899999999)</f>
        <v>35.703789</v>
      </c>
      <c r="V473" s="2"/>
      <c r="W473" s="2"/>
      <c r="X473" s="2"/>
      <c r="Y473" s="2"/>
      <c r="Z473" s="2"/>
    </row>
    <row r="474">
      <c r="A474" s="6">
        <f>IFERROR(__xludf.DUMMYFUNCTION("""COMPUTED_VALUE"""),45803.533113425925)</f>
        <v>45803.53311</v>
      </c>
      <c r="B474" s="2" t="str">
        <f>IFERROR(__xludf.DUMMYFUNCTION("""COMPUTED_VALUE"""),"May")</f>
        <v>May</v>
      </c>
      <c r="C474" s="3">
        <f>IFERROR(__xludf.DUMMYFUNCTION("""COMPUTED_VALUE"""),536946.0)</f>
        <v>536946</v>
      </c>
      <c r="D474" s="2" t="str">
        <f>IFERROR(__xludf.DUMMYFUNCTION("""COMPUTED_VALUE"""),"ZM22")</f>
        <v>ZM22</v>
      </c>
      <c r="E474" s="2" t="str">
        <f>IFERROR(__xludf.DUMMYFUNCTION("""COMPUTED_VALUE"""),"Imported from file Digizag.xlsx")</f>
        <v>Imported from file Digizag.xlsx</v>
      </c>
      <c r="F474" s="2" t="str">
        <f>IFERROR(__xludf.DUMMYFUNCTION("""COMPUTED_VALUE"""),"PKU231700")</f>
        <v>PKU231700</v>
      </c>
      <c r="G474" s="2" t="str">
        <f>IFERROR(__xludf.DUMMYFUNCTION("""COMPUTED_VALUE"""),"Kingdom of Saudi Arabia")</f>
        <v>Kingdom of Saudi Arabia</v>
      </c>
      <c r="H474" s="4">
        <f>IFERROR(__xludf.DUMMYFUNCTION("""COMPUTED_VALUE"""),147.0)</f>
        <v>147</v>
      </c>
      <c r="I474" s="3">
        <f>IFERROR(__xludf.DUMMYFUNCTION("""COMPUTED_VALUE"""),0.0)</f>
        <v>0</v>
      </c>
      <c r="J474" s="4">
        <f>IFERROR(__xludf.DUMMYFUNCTION("""COMPUTED_VALUE"""),30.0)</f>
        <v>30</v>
      </c>
      <c r="K474" s="2"/>
      <c r="L474" s="2" t="str">
        <f>IFERROR(__xludf.DUMMYFUNCTION("""COMPUTED_VALUE"""),"Delivered")</f>
        <v>Delivered</v>
      </c>
      <c r="M474" s="2" t="str">
        <f>IFERROR(__xludf.DUMMYFUNCTION("""COMPUTED_VALUE"""),"")</f>
        <v></v>
      </c>
      <c r="N474" s="2" t="str">
        <f>IFERROR(__xludf.DUMMYFUNCTION("""COMPUTED_VALUE"""),"Credit, Debit, Apple Pay")</f>
        <v>Credit, Debit, Apple Pay</v>
      </c>
      <c r="O474" s="4">
        <f>IFERROR(__xludf.DUMMYFUNCTION("""COMPUTED_VALUE"""),0.0)</f>
        <v>0</v>
      </c>
      <c r="P474" s="2">
        <f>IFERROR(__xludf.DUMMYFUNCTION("""COMPUTED_VALUE"""),26.0)</f>
        <v>26</v>
      </c>
      <c r="Q474" s="2">
        <f>IFERROR(__xludf.DUMMYFUNCTION("""COMPUTED_VALUE"""),5.0)</f>
        <v>5</v>
      </c>
      <c r="R474" s="2">
        <f>IFERROR(__xludf.DUMMYFUNCTION("""COMPUTED_VALUE"""),2025.0)</f>
        <v>2025</v>
      </c>
      <c r="S474" s="2" t="str">
        <f>IFERROR(__xludf.DUMMYFUNCTION("""COMPUTED_VALUE"""),"Digizag")</f>
        <v>Digizag</v>
      </c>
      <c r="T474" s="2" t="str">
        <f>IFERROR(__xludf.DUMMYFUNCTION("""COMPUTED_VALUE"""),"Digizag")</f>
        <v>Digizag</v>
      </c>
      <c r="U474" s="5">
        <f>IFERROR(__xludf.DUMMYFUNCTION("""COMPUTED_VALUE"""),39.196968762000004)</f>
        <v>39.19696876</v>
      </c>
      <c r="V474" s="2"/>
      <c r="W474" s="2"/>
      <c r="X474" s="2"/>
      <c r="Y474" s="2"/>
      <c r="Z474" s="2"/>
    </row>
    <row r="475">
      <c r="A475" s="6">
        <f>IFERROR(__xludf.DUMMYFUNCTION("""COMPUTED_VALUE"""),45803.62966435185)</f>
        <v>45803.62966</v>
      </c>
      <c r="B475" s="2" t="str">
        <f>IFERROR(__xludf.DUMMYFUNCTION("""COMPUTED_VALUE"""),"May")</f>
        <v>May</v>
      </c>
      <c r="C475" s="3">
        <f>IFERROR(__xludf.DUMMYFUNCTION("""COMPUTED_VALUE"""),67531.0)</f>
        <v>67531</v>
      </c>
      <c r="D475" s="2" t="str">
        <f>IFERROR(__xludf.DUMMYFUNCTION("""COMPUTED_VALUE"""),"RR22")</f>
        <v>RR22</v>
      </c>
      <c r="E475" s="2" t="str">
        <f>IFERROR(__xludf.DUMMYFUNCTION("""COMPUTED_VALUE"""),"Imported from file Digizag.xlsx")</f>
        <v>Imported from file Digizag.xlsx</v>
      </c>
      <c r="F475" s="2" t="str">
        <f>IFERROR(__xludf.DUMMYFUNCTION("""COMPUTED_VALUE"""),"HSM497448")</f>
        <v>HSM497448</v>
      </c>
      <c r="G475" s="2" t="str">
        <f>IFERROR(__xludf.DUMMYFUNCTION("""COMPUTED_VALUE"""),"UAE")</f>
        <v>UAE</v>
      </c>
      <c r="H475" s="4">
        <f>IFERROR(__xludf.DUMMYFUNCTION("""COMPUTED_VALUE"""),94.29)</f>
        <v>94.29</v>
      </c>
      <c r="I475" s="3">
        <f>IFERROR(__xludf.DUMMYFUNCTION("""COMPUTED_VALUE"""),0.0)</f>
        <v>0</v>
      </c>
      <c r="J475" s="4">
        <f>IFERROR(__xludf.DUMMYFUNCTION("""COMPUTED_VALUE"""),9.42)</f>
        <v>9.42</v>
      </c>
      <c r="K475" s="2"/>
      <c r="L475" s="2" t="str">
        <f>IFERROR(__xludf.DUMMYFUNCTION("""COMPUTED_VALUE"""),"Processing")</f>
        <v>Processing</v>
      </c>
      <c r="M475" s="2" t="str">
        <f>IFERROR(__xludf.DUMMYFUNCTION("""COMPUTED_VALUE"""),"")</f>
        <v></v>
      </c>
      <c r="N475" s="2" t="str">
        <f>IFERROR(__xludf.DUMMYFUNCTION("""COMPUTED_VALUE"""),"Credit, Debit , Apple Pay")</f>
        <v>Credit, Debit , Apple Pay</v>
      </c>
      <c r="O475" s="4">
        <f>IFERROR(__xludf.DUMMYFUNCTION("""COMPUTED_VALUE"""),0.0)</f>
        <v>0</v>
      </c>
      <c r="P475" s="2">
        <f>IFERROR(__xludf.DUMMYFUNCTION("""COMPUTED_VALUE"""),26.0)</f>
        <v>26</v>
      </c>
      <c r="Q475" s="2">
        <f>IFERROR(__xludf.DUMMYFUNCTION("""COMPUTED_VALUE"""),5.0)</f>
        <v>5</v>
      </c>
      <c r="R475" s="2">
        <f>IFERROR(__xludf.DUMMYFUNCTION("""COMPUTED_VALUE"""),2025.0)</f>
        <v>2025</v>
      </c>
      <c r="S475" s="2" t="str">
        <f>IFERROR(__xludf.DUMMYFUNCTION("""COMPUTED_VALUE"""),"Digizag")</f>
        <v>Digizag</v>
      </c>
      <c r="T475" s="2" t="str">
        <f>IFERROR(__xludf.DUMMYFUNCTION("""COMPUTED_VALUE"""),"Digizag")</f>
        <v>Digizag</v>
      </c>
      <c r="U475" s="5">
        <f>IFERROR(__xludf.DUMMYFUNCTION("""COMPUTED_VALUE"""),25.674608614620002)</f>
        <v>25.67460861</v>
      </c>
      <c r="V475" s="2"/>
      <c r="W475" s="2"/>
      <c r="X475" s="2"/>
      <c r="Y475" s="2"/>
      <c r="Z475" s="2"/>
    </row>
    <row r="476">
      <c r="A476" s="6">
        <f>IFERROR(__xludf.DUMMYFUNCTION("""COMPUTED_VALUE"""),45803.65293981481)</f>
        <v>45803.65294</v>
      </c>
      <c r="B476" s="2" t="str">
        <f>IFERROR(__xludf.DUMMYFUNCTION("""COMPUTED_VALUE"""),"May")</f>
        <v>May</v>
      </c>
      <c r="C476" s="3">
        <f>IFERROR(__xludf.DUMMYFUNCTION("""COMPUTED_VALUE"""),551195.0)</f>
        <v>551195</v>
      </c>
      <c r="D476" s="2" t="str">
        <f>IFERROR(__xludf.DUMMYFUNCTION("""COMPUTED_VALUE"""),"ZM22")</f>
        <v>ZM22</v>
      </c>
      <c r="E476" s="2" t="str">
        <f>IFERROR(__xludf.DUMMYFUNCTION("""COMPUTED_VALUE"""),"Imported from file Digizag.xlsx")</f>
        <v>Imported from file Digizag.xlsx</v>
      </c>
      <c r="F476" s="2" t="str">
        <f>IFERROR(__xludf.DUMMYFUNCTION("""COMPUTED_VALUE"""),"KCW771811")</f>
        <v>KCW771811</v>
      </c>
      <c r="G476" s="2" t="str">
        <f>IFERROR(__xludf.DUMMYFUNCTION("""COMPUTED_VALUE"""),"Kingdom of Saudi Arabia")</f>
        <v>Kingdom of Saudi Arabia</v>
      </c>
      <c r="H476" s="4">
        <f>IFERROR(__xludf.DUMMYFUNCTION("""COMPUTED_VALUE"""),165.0)</f>
        <v>165</v>
      </c>
      <c r="I476" s="3">
        <f>IFERROR(__xludf.DUMMYFUNCTION("""COMPUTED_VALUE"""),0.0)</f>
        <v>0</v>
      </c>
      <c r="J476" s="4">
        <f>IFERROR(__xludf.DUMMYFUNCTION("""COMPUTED_VALUE"""),30.0)</f>
        <v>30</v>
      </c>
      <c r="K476" s="2"/>
      <c r="L476" s="2" t="str">
        <f>IFERROR(__xludf.DUMMYFUNCTION("""COMPUTED_VALUE"""),"Processing")</f>
        <v>Processing</v>
      </c>
      <c r="M476" s="2" t="str">
        <f>IFERROR(__xludf.DUMMYFUNCTION("""COMPUTED_VALUE"""),"")</f>
        <v></v>
      </c>
      <c r="N476" s="2" t="str">
        <f>IFERROR(__xludf.DUMMYFUNCTION("""COMPUTED_VALUE"""),"Credit, Debit, Apple Pay")</f>
        <v>Credit, Debit, Apple Pay</v>
      </c>
      <c r="O476" s="4">
        <f>IFERROR(__xludf.DUMMYFUNCTION("""COMPUTED_VALUE"""),0.0)</f>
        <v>0</v>
      </c>
      <c r="P476" s="2">
        <f>IFERROR(__xludf.DUMMYFUNCTION("""COMPUTED_VALUE"""),26.0)</f>
        <v>26</v>
      </c>
      <c r="Q476" s="2">
        <f>IFERROR(__xludf.DUMMYFUNCTION("""COMPUTED_VALUE"""),5.0)</f>
        <v>5</v>
      </c>
      <c r="R476" s="2">
        <f>IFERROR(__xludf.DUMMYFUNCTION("""COMPUTED_VALUE"""),2025.0)</f>
        <v>2025</v>
      </c>
      <c r="S476" s="2" t="str">
        <f>IFERROR(__xludf.DUMMYFUNCTION("""COMPUTED_VALUE"""),"Digizag")</f>
        <v>Digizag</v>
      </c>
      <c r="T476" s="2" t="str">
        <f>IFERROR(__xludf.DUMMYFUNCTION("""COMPUTED_VALUE"""),"Digizag")</f>
        <v>Digizag</v>
      </c>
      <c r="U476" s="5">
        <f>IFERROR(__xludf.DUMMYFUNCTION("""COMPUTED_VALUE"""),43.99659759000001)</f>
        <v>43.99659759</v>
      </c>
      <c r="V476" s="2"/>
      <c r="W476" s="2"/>
      <c r="X476" s="2"/>
      <c r="Y476" s="2"/>
      <c r="Z476" s="2"/>
    </row>
    <row r="477">
      <c r="A477" s="6">
        <f>IFERROR(__xludf.DUMMYFUNCTION("""COMPUTED_VALUE"""),45803.802256944444)</f>
        <v>45803.80226</v>
      </c>
      <c r="B477" s="2" t="str">
        <f>IFERROR(__xludf.DUMMYFUNCTION("""COMPUTED_VALUE"""),"May")</f>
        <v>May</v>
      </c>
      <c r="C477" s="3">
        <f>IFERROR(__xludf.DUMMYFUNCTION("""COMPUTED_VALUE"""),744932.0)</f>
        <v>744932</v>
      </c>
      <c r="D477" s="2" t="str">
        <f>IFERROR(__xludf.DUMMYFUNCTION("""COMPUTED_VALUE"""),"ZM22")</f>
        <v>ZM22</v>
      </c>
      <c r="E477" s="2" t="str">
        <f>IFERROR(__xludf.DUMMYFUNCTION("""COMPUTED_VALUE"""),"Imported from file Digizag.xlsx")</f>
        <v>Imported from file Digizag.xlsx</v>
      </c>
      <c r="F477" s="2" t="str">
        <f>IFERROR(__xludf.DUMMYFUNCTION("""COMPUTED_VALUE"""),"GGD553379")</f>
        <v>GGD553379</v>
      </c>
      <c r="G477" s="2" t="str">
        <f>IFERROR(__xludf.DUMMYFUNCTION("""COMPUTED_VALUE"""),"Kingdom of Saudi Arabia")</f>
        <v>Kingdom of Saudi Arabia</v>
      </c>
      <c r="H477" s="4">
        <f>IFERROR(__xludf.DUMMYFUNCTION("""COMPUTED_VALUE"""),110.0)</f>
        <v>110</v>
      </c>
      <c r="I477" s="3">
        <f>IFERROR(__xludf.DUMMYFUNCTION("""COMPUTED_VALUE"""),0.0)</f>
        <v>0</v>
      </c>
      <c r="J477" s="4">
        <f>IFERROR(__xludf.DUMMYFUNCTION("""COMPUTED_VALUE"""),30.0)</f>
        <v>30</v>
      </c>
      <c r="K477" s="2"/>
      <c r="L477" s="2" t="str">
        <f>IFERROR(__xludf.DUMMYFUNCTION("""COMPUTED_VALUE"""),"Processing")</f>
        <v>Processing</v>
      </c>
      <c r="M477" s="2" t="str">
        <f>IFERROR(__xludf.DUMMYFUNCTION("""COMPUTED_VALUE"""),"")</f>
        <v></v>
      </c>
      <c r="N477" s="2" t="str">
        <f>IFERROR(__xludf.DUMMYFUNCTION("""COMPUTED_VALUE"""),"Credit, Debit, Apple Pay")</f>
        <v>Credit, Debit, Apple Pay</v>
      </c>
      <c r="O477" s="4">
        <f>IFERROR(__xludf.DUMMYFUNCTION("""COMPUTED_VALUE"""),0.0)</f>
        <v>0</v>
      </c>
      <c r="P477" s="2">
        <f>IFERROR(__xludf.DUMMYFUNCTION("""COMPUTED_VALUE"""),26.0)</f>
        <v>26</v>
      </c>
      <c r="Q477" s="2">
        <f>IFERROR(__xludf.DUMMYFUNCTION("""COMPUTED_VALUE"""),5.0)</f>
        <v>5</v>
      </c>
      <c r="R477" s="2">
        <f>IFERROR(__xludf.DUMMYFUNCTION("""COMPUTED_VALUE"""),2025.0)</f>
        <v>2025</v>
      </c>
      <c r="S477" s="2" t="str">
        <f>IFERROR(__xludf.DUMMYFUNCTION("""COMPUTED_VALUE"""),"Digizag")</f>
        <v>Digizag</v>
      </c>
      <c r="T477" s="2" t="str">
        <f>IFERROR(__xludf.DUMMYFUNCTION("""COMPUTED_VALUE"""),"Digizag")</f>
        <v>Digizag</v>
      </c>
      <c r="U477" s="5">
        <f>IFERROR(__xludf.DUMMYFUNCTION("""COMPUTED_VALUE"""),29.331065060000004)</f>
        <v>29.33106506</v>
      </c>
      <c r="V477" s="2"/>
      <c r="W477" s="2"/>
      <c r="X477" s="2"/>
      <c r="Y477" s="2"/>
      <c r="Z477" s="2"/>
    </row>
    <row r="478">
      <c r="A478" s="6">
        <f>IFERROR(__xludf.DUMMYFUNCTION("""COMPUTED_VALUE"""),45804.3112037037)</f>
        <v>45804.3112</v>
      </c>
      <c r="B478" s="2" t="str">
        <f>IFERROR(__xludf.DUMMYFUNCTION("""COMPUTED_VALUE"""),"May")</f>
        <v>May</v>
      </c>
      <c r="C478" s="3">
        <f>IFERROR(__xludf.DUMMYFUNCTION("""COMPUTED_VALUE"""),27411.0)</f>
        <v>27411</v>
      </c>
      <c r="D478" s="2" t="str">
        <f>IFERROR(__xludf.DUMMYFUNCTION("""COMPUTED_VALUE"""),"ZM22")</f>
        <v>ZM22</v>
      </c>
      <c r="E478" s="2" t="str">
        <f>IFERROR(__xludf.DUMMYFUNCTION("""COMPUTED_VALUE"""),"Imported from file Digizag.xlsx")</f>
        <v>Imported from file Digizag.xlsx</v>
      </c>
      <c r="F478" s="2" t="str">
        <f>IFERROR(__xludf.DUMMYFUNCTION("""COMPUTED_VALUE"""),"ZJN228061")</f>
        <v>ZJN228061</v>
      </c>
      <c r="G478" s="2" t="str">
        <f>IFERROR(__xludf.DUMMYFUNCTION("""COMPUTED_VALUE"""),"UAE")</f>
        <v>UAE</v>
      </c>
      <c r="H478" s="4">
        <f>IFERROR(__xludf.DUMMYFUNCTION("""COMPUTED_VALUE"""),169.0)</f>
        <v>169</v>
      </c>
      <c r="I478" s="3">
        <f>IFERROR(__xludf.DUMMYFUNCTION("""COMPUTED_VALUE"""),0.0)</f>
        <v>0</v>
      </c>
      <c r="J478" s="4">
        <f>IFERROR(__xludf.DUMMYFUNCTION("""COMPUTED_VALUE"""),16.9)</f>
        <v>16.9</v>
      </c>
      <c r="K478" s="2"/>
      <c r="L478" s="2" t="str">
        <f>IFERROR(__xludf.DUMMYFUNCTION("""COMPUTED_VALUE"""),"Processing")</f>
        <v>Processing</v>
      </c>
      <c r="M478" s="2" t="str">
        <f>IFERROR(__xludf.DUMMYFUNCTION("""COMPUTED_VALUE"""),"")</f>
        <v></v>
      </c>
      <c r="N478" s="2" t="str">
        <f>IFERROR(__xludf.DUMMYFUNCTION("""COMPUTED_VALUE"""),"Credit, Debit , Apple Pay")</f>
        <v>Credit, Debit , Apple Pay</v>
      </c>
      <c r="O478" s="4">
        <f>IFERROR(__xludf.DUMMYFUNCTION("""COMPUTED_VALUE"""),0.0)</f>
        <v>0</v>
      </c>
      <c r="P478" s="2">
        <f>IFERROR(__xludf.DUMMYFUNCTION("""COMPUTED_VALUE"""),27.0)</f>
        <v>27</v>
      </c>
      <c r="Q478" s="2">
        <f>IFERROR(__xludf.DUMMYFUNCTION("""COMPUTED_VALUE"""),5.0)</f>
        <v>5</v>
      </c>
      <c r="R478" s="2">
        <f>IFERROR(__xludf.DUMMYFUNCTION("""COMPUTED_VALUE"""),2025.0)</f>
        <v>2025</v>
      </c>
      <c r="S478" s="2" t="str">
        <f>IFERROR(__xludf.DUMMYFUNCTION("""COMPUTED_VALUE"""),"Digizag")</f>
        <v>Digizag</v>
      </c>
      <c r="T478" s="2" t="str">
        <f>IFERROR(__xludf.DUMMYFUNCTION("""COMPUTED_VALUE"""),"Digizag")</f>
        <v>Digizag</v>
      </c>
      <c r="U478" s="5">
        <f>IFERROR(__xludf.DUMMYFUNCTION("""COMPUTED_VALUE"""),46.017699182)</f>
        <v>46.01769918</v>
      </c>
      <c r="V478" s="2"/>
      <c r="W478" s="2"/>
      <c r="X478" s="2"/>
      <c r="Y478" s="2"/>
      <c r="Z478" s="2"/>
    </row>
    <row r="479">
      <c r="A479" s="6">
        <f>IFERROR(__xludf.DUMMYFUNCTION("""COMPUTED_VALUE"""),45804.32585648148)</f>
        <v>45804.32586</v>
      </c>
      <c r="B479" s="2" t="str">
        <f>IFERROR(__xludf.DUMMYFUNCTION("""COMPUTED_VALUE"""),"May")</f>
        <v>May</v>
      </c>
      <c r="C479" s="3">
        <f>IFERROR(__xludf.DUMMYFUNCTION("""COMPUTED_VALUE"""),622331.0)</f>
        <v>622331</v>
      </c>
      <c r="D479" s="2" t="str">
        <f>IFERROR(__xludf.DUMMYFUNCTION("""COMPUTED_VALUE"""),"ZM22")</f>
        <v>ZM22</v>
      </c>
      <c r="E479" s="2" t="str">
        <f>IFERROR(__xludf.DUMMYFUNCTION("""COMPUTED_VALUE"""),"Imported from file Digizag.xlsx")</f>
        <v>Imported from file Digizag.xlsx</v>
      </c>
      <c r="F479" s="2" t="str">
        <f>IFERROR(__xludf.DUMMYFUNCTION("""COMPUTED_VALUE"""),"BHX138569")</f>
        <v>BHX138569</v>
      </c>
      <c r="G479" s="2" t="str">
        <f>IFERROR(__xludf.DUMMYFUNCTION("""COMPUTED_VALUE"""),"UAE")</f>
        <v>UAE</v>
      </c>
      <c r="H479" s="4">
        <f>IFERROR(__xludf.DUMMYFUNCTION("""COMPUTED_VALUE"""),176.0)</f>
        <v>176</v>
      </c>
      <c r="I479" s="3">
        <f>IFERROR(__xludf.DUMMYFUNCTION("""COMPUTED_VALUE"""),0.0)</f>
        <v>0</v>
      </c>
      <c r="J479" s="4">
        <f>IFERROR(__xludf.DUMMYFUNCTION("""COMPUTED_VALUE"""),17.6)</f>
        <v>17.6</v>
      </c>
      <c r="K479" s="2"/>
      <c r="L479" s="2" t="str">
        <f>IFERROR(__xludf.DUMMYFUNCTION("""COMPUTED_VALUE"""),"Delivered")</f>
        <v>Delivered</v>
      </c>
      <c r="M479" s="2" t="str">
        <f>IFERROR(__xludf.DUMMYFUNCTION("""COMPUTED_VALUE"""),"")</f>
        <v></v>
      </c>
      <c r="N479" s="2" t="str">
        <f>IFERROR(__xludf.DUMMYFUNCTION("""COMPUTED_VALUE"""),"Credit, Debit , Apple Pay")</f>
        <v>Credit, Debit , Apple Pay</v>
      </c>
      <c r="O479" s="4">
        <f>IFERROR(__xludf.DUMMYFUNCTION("""COMPUTED_VALUE"""),0.0)</f>
        <v>0</v>
      </c>
      <c r="P479" s="2">
        <f>IFERROR(__xludf.DUMMYFUNCTION("""COMPUTED_VALUE"""),27.0)</f>
        <v>27</v>
      </c>
      <c r="Q479" s="2">
        <f>IFERROR(__xludf.DUMMYFUNCTION("""COMPUTED_VALUE"""),5.0)</f>
        <v>5</v>
      </c>
      <c r="R479" s="2">
        <f>IFERROR(__xludf.DUMMYFUNCTION("""COMPUTED_VALUE"""),2025.0)</f>
        <v>2025</v>
      </c>
      <c r="S479" s="2" t="str">
        <f>IFERROR(__xludf.DUMMYFUNCTION("""COMPUTED_VALUE"""),"Digizag")</f>
        <v>Digizag</v>
      </c>
      <c r="T479" s="2" t="str">
        <f>IFERROR(__xludf.DUMMYFUNCTION("""COMPUTED_VALUE"""),"Digizag")</f>
        <v>Digizag</v>
      </c>
      <c r="U479" s="5">
        <f>IFERROR(__xludf.DUMMYFUNCTION("""COMPUTED_VALUE"""),47.923757728)</f>
        <v>47.92375773</v>
      </c>
      <c r="V479" s="2"/>
      <c r="W479" s="2"/>
      <c r="X479" s="2"/>
      <c r="Y479" s="2"/>
      <c r="Z479" s="2"/>
    </row>
    <row r="480">
      <c r="A480" s="6">
        <f>IFERROR(__xludf.DUMMYFUNCTION("""COMPUTED_VALUE"""),45804.39421296296)</f>
        <v>45804.39421</v>
      </c>
      <c r="B480" s="2" t="str">
        <f>IFERROR(__xludf.DUMMYFUNCTION("""COMPUTED_VALUE"""),"May")</f>
        <v>May</v>
      </c>
      <c r="C480" s="3">
        <f>IFERROR(__xludf.DUMMYFUNCTION("""COMPUTED_VALUE"""),3259.0)</f>
        <v>3259</v>
      </c>
      <c r="D480" s="2" t="str">
        <f>IFERROR(__xludf.DUMMYFUNCTION("""COMPUTED_VALUE"""),"ZM22")</f>
        <v>ZM22</v>
      </c>
      <c r="E480" s="2" t="str">
        <f>IFERROR(__xludf.DUMMYFUNCTION("""COMPUTED_VALUE"""),"Imported from file Digizag.xlsx")</f>
        <v>Imported from file Digizag.xlsx</v>
      </c>
      <c r="F480" s="2" t="str">
        <f>IFERROR(__xludf.DUMMYFUNCTION("""COMPUTED_VALUE"""),"KBG637597")</f>
        <v>KBG637597</v>
      </c>
      <c r="G480" s="2" t="str">
        <f>IFERROR(__xludf.DUMMYFUNCTION("""COMPUTED_VALUE"""),"UAE")</f>
        <v>UAE</v>
      </c>
      <c r="H480" s="4">
        <f>IFERROR(__xludf.DUMMYFUNCTION("""COMPUTED_VALUE"""),149.0)</f>
        <v>149</v>
      </c>
      <c r="I480" s="3">
        <f>IFERROR(__xludf.DUMMYFUNCTION("""COMPUTED_VALUE"""),0.0)</f>
        <v>0</v>
      </c>
      <c r="J480" s="4">
        <f>IFERROR(__xludf.DUMMYFUNCTION("""COMPUTED_VALUE"""),14.9)</f>
        <v>14.9</v>
      </c>
      <c r="K480" s="2"/>
      <c r="L480" s="2" t="str">
        <f>IFERROR(__xludf.DUMMYFUNCTION("""COMPUTED_VALUE"""),"Processing")</f>
        <v>Processing</v>
      </c>
      <c r="M480" s="2" t="str">
        <f>IFERROR(__xludf.DUMMYFUNCTION("""COMPUTED_VALUE"""),"")</f>
        <v></v>
      </c>
      <c r="N480" s="2" t="str">
        <f>IFERROR(__xludf.DUMMYFUNCTION("""COMPUTED_VALUE"""),"Credit, Debit , Apple Pay")</f>
        <v>Credit, Debit , Apple Pay</v>
      </c>
      <c r="O480" s="4">
        <f>IFERROR(__xludf.DUMMYFUNCTION("""COMPUTED_VALUE"""),0.0)</f>
        <v>0</v>
      </c>
      <c r="P480" s="2">
        <f>IFERROR(__xludf.DUMMYFUNCTION("""COMPUTED_VALUE"""),27.0)</f>
        <v>27</v>
      </c>
      <c r="Q480" s="2">
        <f>IFERROR(__xludf.DUMMYFUNCTION("""COMPUTED_VALUE"""),5.0)</f>
        <v>5</v>
      </c>
      <c r="R480" s="2">
        <f>IFERROR(__xludf.DUMMYFUNCTION("""COMPUTED_VALUE"""),2025.0)</f>
        <v>2025</v>
      </c>
      <c r="S480" s="2" t="str">
        <f>IFERROR(__xludf.DUMMYFUNCTION("""COMPUTED_VALUE"""),"Digizag")</f>
        <v>Digizag</v>
      </c>
      <c r="T480" s="2" t="str">
        <f>IFERROR(__xludf.DUMMYFUNCTION("""COMPUTED_VALUE"""),"Digizag")</f>
        <v>Digizag</v>
      </c>
      <c r="U480" s="5">
        <f>IFERROR(__xludf.DUMMYFUNCTION("""COMPUTED_VALUE"""),40.571817622)</f>
        <v>40.57181762</v>
      </c>
      <c r="V480" s="2"/>
      <c r="W480" s="2"/>
      <c r="X480" s="2"/>
      <c r="Y480" s="2"/>
      <c r="Z480" s="2"/>
    </row>
    <row r="481">
      <c r="A481" s="6">
        <f>IFERROR(__xludf.DUMMYFUNCTION("""COMPUTED_VALUE"""),45804.405277777776)</f>
        <v>45804.40528</v>
      </c>
      <c r="B481" s="2" t="str">
        <f>IFERROR(__xludf.DUMMYFUNCTION("""COMPUTED_VALUE"""),"May")</f>
        <v>May</v>
      </c>
      <c r="C481" s="3">
        <f>IFERROR(__xludf.DUMMYFUNCTION("""COMPUTED_VALUE"""),25227.0)</f>
        <v>25227</v>
      </c>
      <c r="D481" s="2" t="str">
        <f>IFERROR(__xludf.DUMMYFUNCTION("""COMPUTED_VALUE"""),"ZM22")</f>
        <v>ZM22</v>
      </c>
      <c r="E481" s="2" t="str">
        <f>IFERROR(__xludf.DUMMYFUNCTION("""COMPUTED_VALUE"""),"Imported from file Digizag.xlsx")</f>
        <v>Imported from file Digizag.xlsx</v>
      </c>
      <c r="F481" s="2" t="str">
        <f>IFERROR(__xludf.DUMMYFUNCTION("""COMPUTED_VALUE"""),"LPM454365")</f>
        <v>LPM454365</v>
      </c>
      <c r="G481" s="2" t="str">
        <f>IFERROR(__xludf.DUMMYFUNCTION("""COMPUTED_VALUE"""),"Kuwait")</f>
        <v>Kuwait</v>
      </c>
      <c r="H481" s="4">
        <f>IFERROR(__xludf.DUMMYFUNCTION("""COMPUTED_VALUE"""),12.55)</f>
        <v>12.55</v>
      </c>
      <c r="I481" s="3">
        <f>IFERROR(__xludf.DUMMYFUNCTION("""COMPUTED_VALUE"""),0.0)</f>
        <v>0</v>
      </c>
      <c r="J481" s="4">
        <f>IFERROR(__xludf.DUMMYFUNCTION("""COMPUTED_VALUE"""),1.255)</f>
        <v>1.255</v>
      </c>
      <c r="K481" s="2"/>
      <c r="L481" s="2" t="str">
        <f>IFERROR(__xludf.DUMMYFUNCTION("""COMPUTED_VALUE"""),"Delivered")</f>
        <v>Delivered</v>
      </c>
      <c r="M481" s="2" t="str">
        <f>IFERROR(__xludf.DUMMYFUNCTION("""COMPUTED_VALUE"""),"KD")</f>
        <v>KD</v>
      </c>
      <c r="N481" s="2" t="str">
        <f>IFERROR(__xludf.DUMMYFUNCTION("""COMPUTED_VALUE"""),"Cash")</f>
        <v>Cash</v>
      </c>
      <c r="O481" s="4">
        <f>IFERROR(__xludf.DUMMYFUNCTION("""COMPUTED_VALUE"""),0.0)</f>
        <v>0</v>
      </c>
      <c r="P481" s="2">
        <f>IFERROR(__xludf.DUMMYFUNCTION("""COMPUTED_VALUE"""),27.0)</f>
        <v>27</v>
      </c>
      <c r="Q481" s="2">
        <f>IFERROR(__xludf.DUMMYFUNCTION("""COMPUTED_VALUE"""),5.0)</f>
        <v>5</v>
      </c>
      <c r="R481" s="2">
        <f>IFERROR(__xludf.DUMMYFUNCTION("""COMPUTED_VALUE"""),2025.0)</f>
        <v>2025</v>
      </c>
      <c r="S481" s="2" t="str">
        <f>IFERROR(__xludf.DUMMYFUNCTION("""COMPUTED_VALUE"""),"Digizag")</f>
        <v>Digizag</v>
      </c>
      <c r="T481" s="2" t="str">
        <f>IFERROR(__xludf.DUMMYFUNCTION("""COMPUTED_VALUE"""),"Digizag")</f>
        <v>Digizag</v>
      </c>
      <c r="U481" s="5">
        <f>IFERROR(__xludf.DUMMYFUNCTION("""COMPUTED_VALUE"""),40.920781)</f>
        <v>40.920781</v>
      </c>
      <c r="V481" s="2"/>
      <c r="W481" s="2"/>
      <c r="X481" s="2"/>
      <c r="Y481" s="2"/>
      <c r="Z481" s="2"/>
    </row>
    <row r="482">
      <c r="A482" s="6">
        <f>IFERROR(__xludf.DUMMYFUNCTION("""COMPUTED_VALUE"""),45804.628495370365)</f>
        <v>45804.6285</v>
      </c>
      <c r="B482" s="2" t="str">
        <f>IFERROR(__xludf.DUMMYFUNCTION("""COMPUTED_VALUE"""),"May")</f>
        <v>May</v>
      </c>
      <c r="C482" s="3">
        <f>IFERROR(__xludf.DUMMYFUNCTION("""COMPUTED_VALUE"""),84230.0)</f>
        <v>84230</v>
      </c>
      <c r="D482" s="2" t="str">
        <f>IFERROR(__xludf.DUMMYFUNCTION("""COMPUTED_VALUE"""),"ZM22")</f>
        <v>ZM22</v>
      </c>
      <c r="E482" s="2" t="str">
        <f>IFERROR(__xludf.DUMMYFUNCTION("""COMPUTED_VALUE"""),"Imported from file Digizag.xlsx")</f>
        <v>Imported from file Digizag.xlsx</v>
      </c>
      <c r="F482" s="2" t="str">
        <f>IFERROR(__xludf.DUMMYFUNCTION("""COMPUTED_VALUE"""),"MNE485101")</f>
        <v>MNE485101</v>
      </c>
      <c r="G482" s="2" t="str">
        <f>IFERROR(__xludf.DUMMYFUNCTION("""COMPUTED_VALUE"""),"Kuwait")</f>
        <v>Kuwait</v>
      </c>
      <c r="H482" s="4">
        <f>IFERROR(__xludf.DUMMYFUNCTION("""COMPUTED_VALUE"""),20.65)</f>
        <v>20.65</v>
      </c>
      <c r="I482" s="3">
        <f>IFERROR(__xludf.DUMMYFUNCTION("""COMPUTED_VALUE"""),0.0)</f>
        <v>0</v>
      </c>
      <c r="J482" s="4">
        <f>IFERROR(__xludf.DUMMYFUNCTION("""COMPUTED_VALUE"""),2.065)</f>
        <v>2.065</v>
      </c>
      <c r="K482" s="2"/>
      <c r="L482" s="2" t="str">
        <f>IFERROR(__xludf.DUMMYFUNCTION("""COMPUTED_VALUE"""),"Delivered")</f>
        <v>Delivered</v>
      </c>
      <c r="M482" s="2" t="str">
        <f>IFERROR(__xludf.DUMMYFUNCTION("""COMPUTED_VALUE"""),"KD")</f>
        <v>KD</v>
      </c>
      <c r="N482" s="2" t="str">
        <f>IFERROR(__xludf.DUMMYFUNCTION("""COMPUTED_VALUE"""),"Credit, Debit, Knet")</f>
        <v>Credit, Debit, Knet</v>
      </c>
      <c r="O482" s="4">
        <f>IFERROR(__xludf.DUMMYFUNCTION("""COMPUTED_VALUE"""),0.0)</f>
        <v>0</v>
      </c>
      <c r="P482" s="2">
        <f>IFERROR(__xludf.DUMMYFUNCTION("""COMPUTED_VALUE"""),27.0)</f>
        <v>27</v>
      </c>
      <c r="Q482" s="2">
        <f>IFERROR(__xludf.DUMMYFUNCTION("""COMPUTED_VALUE"""),5.0)</f>
        <v>5</v>
      </c>
      <c r="R482" s="2">
        <f>IFERROR(__xludf.DUMMYFUNCTION("""COMPUTED_VALUE"""),2025.0)</f>
        <v>2025</v>
      </c>
      <c r="S482" s="2" t="str">
        <f>IFERROR(__xludf.DUMMYFUNCTION("""COMPUTED_VALUE"""),"Digizag")</f>
        <v>Digizag</v>
      </c>
      <c r="T482" s="2" t="str">
        <f>IFERROR(__xludf.DUMMYFUNCTION("""COMPUTED_VALUE"""),"Digizag")</f>
        <v>Digizag</v>
      </c>
      <c r="U482" s="5">
        <f>IFERROR(__xludf.DUMMYFUNCTION("""COMPUTED_VALUE"""),67.331803)</f>
        <v>67.331803</v>
      </c>
      <c r="V482" s="2"/>
      <c r="W482" s="2"/>
      <c r="X482" s="2"/>
      <c r="Y482" s="2"/>
      <c r="Z482" s="2"/>
    </row>
    <row r="483">
      <c r="A483" s="6">
        <f>IFERROR(__xludf.DUMMYFUNCTION("""COMPUTED_VALUE"""),45804.64953703703)</f>
        <v>45804.64954</v>
      </c>
      <c r="B483" s="2" t="str">
        <f>IFERROR(__xludf.DUMMYFUNCTION("""COMPUTED_VALUE"""),"May")</f>
        <v>May</v>
      </c>
      <c r="C483" s="3">
        <f>IFERROR(__xludf.DUMMYFUNCTION("""COMPUTED_VALUE"""),746212.0)</f>
        <v>746212</v>
      </c>
      <c r="D483" s="2" t="str">
        <f>IFERROR(__xludf.DUMMYFUNCTION("""COMPUTED_VALUE"""),"ZM22")</f>
        <v>ZM22</v>
      </c>
      <c r="E483" s="2" t="str">
        <f>IFERROR(__xludf.DUMMYFUNCTION("""COMPUTED_VALUE"""),"Imported from file Digizag.xlsx")</f>
        <v>Imported from file Digizag.xlsx</v>
      </c>
      <c r="F483" s="2" t="str">
        <f>IFERROR(__xludf.DUMMYFUNCTION("""COMPUTED_VALUE"""),"TPL996651")</f>
        <v>TPL996651</v>
      </c>
      <c r="G483" s="2" t="str">
        <f>IFERROR(__xludf.DUMMYFUNCTION("""COMPUTED_VALUE"""),"UAE")</f>
        <v>UAE</v>
      </c>
      <c r="H483" s="4">
        <f>IFERROR(__xludf.DUMMYFUNCTION("""COMPUTED_VALUE"""),450.0)</f>
        <v>450</v>
      </c>
      <c r="I483" s="3">
        <f>IFERROR(__xludf.DUMMYFUNCTION("""COMPUTED_VALUE"""),0.0)</f>
        <v>0</v>
      </c>
      <c r="J483" s="4">
        <f>IFERROR(__xludf.DUMMYFUNCTION("""COMPUTED_VALUE"""),45.0)</f>
        <v>45</v>
      </c>
      <c r="K483" s="2"/>
      <c r="L483" s="2" t="str">
        <f>IFERROR(__xludf.DUMMYFUNCTION("""COMPUTED_VALUE"""),"Processing")</f>
        <v>Processing</v>
      </c>
      <c r="M483" s="2" t="str">
        <f>IFERROR(__xludf.DUMMYFUNCTION("""COMPUTED_VALUE"""),"")</f>
        <v></v>
      </c>
      <c r="N483" s="2" t="str">
        <f>IFERROR(__xludf.DUMMYFUNCTION("""COMPUTED_VALUE"""),"Credit, Debit , Apple Pay")</f>
        <v>Credit, Debit , Apple Pay</v>
      </c>
      <c r="O483" s="4">
        <f>IFERROR(__xludf.DUMMYFUNCTION("""COMPUTED_VALUE"""),0.0)</f>
        <v>0</v>
      </c>
      <c r="P483" s="2">
        <f>IFERROR(__xludf.DUMMYFUNCTION("""COMPUTED_VALUE"""),27.0)</f>
        <v>27</v>
      </c>
      <c r="Q483" s="2">
        <f>IFERROR(__xludf.DUMMYFUNCTION("""COMPUTED_VALUE"""),5.0)</f>
        <v>5</v>
      </c>
      <c r="R483" s="2">
        <f>IFERROR(__xludf.DUMMYFUNCTION("""COMPUTED_VALUE"""),2025.0)</f>
        <v>2025</v>
      </c>
      <c r="S483" s="2" t="str">
        <f>IFERROR(__xludf.DUMMYFUNCTION("""COMPUTED_VALUE"""),"Digizag")</f>
        <v>Digizag</v>
      </c>
      <c r="T483" s="2" t="str">
        <f>IFERROR(__xludf.DUMMYFUNCTION("""COMPUTED_VALUE"""),"Digizag")</f>
        <v>Digizag</v>
      </c>
      <c r="U483" s="5">
        <f>IFERROR(__xludf.DUMMYFUNCTION("""COMPUTED_VALUE"""),122.5323351)</f>
        <v>122.5323351</v>
      </c>
      <c r="V483" s="2"/>
      <c r="W483" s="2"/>
      <c r="X483" s="2"/>
      <c r="Y483" s="2"/>
      <c r="Z483" s="2"/>
    </row>
    <row r="484">
      <c r="A484" s="6">
        <f>IFERROR(__xludf.DUMMYFUNCTION("""COMPUTED_VALUE"""),45804.66541666666)</f>
        <v>45804.66542</v>
      </c>
      <c r="B484" s="2" t="str">
        <f>IFERROR(__xludf.DUMMYFUNCTION("""COMPUTED_VALUE"""),"May")</f>
        <v>May</v>
      </c>
      <c r="C484" s="3">
        <f>IFERROR(__xludf.DUMMYFUNCTION("""COMPUTED_VALUE"""),746298.0)</f>
        <v>746298</v>
      </c>
      <c r="D484" s="2" t="str">
        <f>IFERROR(__xludf.DUMMYFUNCTION("""COMPUTED_VALUE"""),"MNN16")</f>
        <v>MNN16</v>
      </c>
      <c r="E484" s="2" t="str">
        <f>IFERROR(__xludf.DUMMYFUNCTION("""COMPUTED_VALUE"""),"Imported from file DigiZag Codes 25Feb25.xlsx")</f>
        <v>Imported from file DigiZag Codes 25Feb25.xlsx</v>
      </c>
      <c r="F484" s="2" t="str">
        <f>IFERROR(__xludf.DUMMYFUNCTION("""COMPUTED_VALUE"""),"QDR646121")</f>
        <v>QDR646121</v>
      </c>
      <c r="G484" s="2" t="str">
        <f>IFERROR(__xludf.DUMMYFUNCTION("""COMPUTED_VALUE"""),"UAE")</f>
        <v>UAE</v>
      </c>
      <c r="H484" s="4">
        <f>IFERROR(__xludf.DUMMYFUNCTION("""COMPUTED_VALUE"""),372.0)</f>
        <v>372</v>
      </c>
      <c r="I484" s="3">
        <f>IFERROR(__xludf.DUMMYFUNCTION("""COMPUTED_VALUE"""),0.0)</f>
        <v>0</v>
      </c>
      <c r="J484" s="4">
        <f>IFERROR(__xludf.DUMMYFUNCTION("""COMPUTED_VALUE"""),37.2)</f>
        <v>37.2</v>
      </c>
      <c r="K484" s="2"/>
      <c r="L484" s="2" t="str">
        <f>IFERROR(__xludf.DUMMYFUNCTION("""COMPUTED_VALUE"""),"Processing")</f>
        <v>Processing</v>
      </c>
      <c r="M484" s="2" t="str">
        <f>IFERROR(__xludf.DUMMYFUNCTION("""COMPUTED_VALUE"""),"")</f>
        <v></v>
      </c>
      <c r="N484" s="2" t="str">
        <f>IFERROR(__xludf.DUMMYFUNCTION("""COMPUTED_VALUE"""),"Credit, Debit , Apple Pay")</f>
        <v>Credit, Debit , Apple Pay</v>
      </c>
      <c r="O484" s="4">
        <f>IFERROR(__xludf.DUMMYFUNCTION("""COMPUTED_VALUE"""),0.0)</f>
        <v>0</v>
      </c>
      <c r="P484" s="2">
        <f>IFERROR(__xludf.DUMMYFUNCTION("""COMPUTED_VALUE"""),27.0)</f>
        <v>27</v>
      </c>
      <c r="Q484" s="2">
        <f>IFERROR(__xludf.DUMMYFUNCTION("""COMPUTED_VALUE"""),5.0)</f>
        <v>5</v>
      </c>
      <c r="R484" s="2">
        <f>IFERROR(__xludf.DUMMYFUNCTION("""COMPUTED_VALUE"""),2025.0)</f>
        <v>2025</v>
      </c>
      <c r="S484" s="2" t="str">
        <f>IFERROR(__xludf.DUMMYFUNCTION("""COMPUTED_VALUE"""),"Digizag")</f>
        <v>Digizag</v>
      </c>
      <c r="T484" s="2" t="str">
        <f>IFERROR(__xludf.DUMMYFUNCTION("""COMPUTED_VALUE"""),"Digizag")</f>
        <v>Digizag</v>
      </c>
      <c r="U484" s="5">
        <f>IFERROR(__xludf.DUMMYFUNCTION("""COMPUTED_VALUE"""),101.293397016)</f>
        <v>101.293397</v>
      </c>
      <c r="V484" s="2"/>
      <c r="W484" s="2"/>
      <c r="X484" s="2"/>
      <c r="Y484" s="2"/>
      <c r="Z484" s="2"/>
    </row>
    <row r="485">
      <c r="A485" s="6">
        <f>IFERROR(__xludf.DUMMYFUNCTION("""COMPUTED_VALUE"""),45804.83265046296)</f>
        <v>45804.83265</v>
      </c>
      <c r="B485" s="2" t="str">
        <f>IFERROR(__xludf.DUMMYFUNCTION("""COMPUTED_VALUE"""),"May")</f>
        <v>May</v>
      </c>
      <c r="C485" s="3">
        <f>IFERROR(__xludf.DUMMYFUNCTION("""COMPUTED_VALUE"""),559030.0)</f>
        <v>559030</v>
      </c>
      <c r="D485" s="2" t="str">
        <f>IFERROR(__xludf.DUMMYFUNCTION("""COMPUTED_VALUE"""),"URPAY")</f>
        <v>URPAY</v>
      </c>
      <c r="E485" s="2" t="str">
        <f>IFERROR(__xludf.DUMMYFUNCTION("""COMPUTED_VALUE"""),"DigiZag")</f>
        <v>DigiZag</v>
      </c>
      <c r="F485" s="2" t="str">
        <f>IFERROR(__xludf.DUMMYFUNCTION("""COMPUTED_VALUE"""),"TCQ109969")</f>
        <v>TCQ109969</v>
      </c>
      <c r="G485" s="2" t="str">
        <f>IFERROR(__xludf.DUMMYFUNCTION("""COMPUTED_VALUE"""),"Kingdom of Saudi Arabia")</f>
        <v>Kingdom of Saudi Arabia</v>
      </c>
      <c r="H485" s="4">
        <f>IFERROR(__xludf.DUMMYFUNCTION("""COMPUTED_VALUE"""),226.48)</f>
        <v>226.48</v>
      </c>
      <c r="I485" s="3">
        <f>IFERROR(__xludf.DUMMYFUNCTION("""COMPUTED_VALUE"""),0.0)</f>
        <v>0</v>
      </c>
      <c r="J485" s="4">
        <f>IFERROR(__xludf.DUMMYFUNCTION("""COMPUTED_VALUE"""),22.63)</f>
        <v>22.63</v>
      </c>
      <c r="K485" s="2"/>
      <c r="L485" s="2" t="str">
        <f>IFERROR(__xludf.DUMMYFUNCTION("""COMPUTED_VALUE"""),"Processing")</f>
        <v>Processing</v>
      </c>
      <c r="M485" s="2" t="str">
        <f>IFERROR(__xludf.DUMMYFUNCTION("""COMPUTED_VALUE"""),"")</f>
        <v></v>
      </c>
      <c r="N485" s="2" t="str">
        <f>IFERROR(__xludf.DUMMYFUNCTION("""COMPUTED_VALUE"""),"Credit, Debit, Apple Pay")</f>
        <v>Credit, Debit, Apple Pay</v>
      </c>
      <c r="O485" s="4">
        <f>IFERROR(__xludf.DUMMYFUNCTION("""COMPUTED_VALUE"""),0.0)</f>
        <v>0</v>
      </c>
      <c r="P485" s="2">
        <f>IFERROR(__xludf.DUMMYFUNCTION("""COMPUTED_VALUE"""),27.0)</f>
        <v>27</v>
      </c>
      <c r="Q485" s="2">
        <f>IFERROR(__xludf.DUMMYFUNCTION("""COMPUTED_VALUE"""),5.0)</f>
        <v>5</v>
      </c>
      <c r="R485" s="2">
        <f>IFERROR(__xludf.DUMMYFUNCTION("""COMPUTED_VALUE"""),2025.0)</f>
        <v>2025</v>
      </c>
      <c r="S485" s="2" t="str">
        <f>IFERROR(__xludf.DUMMYFUNCTION("""COMPUTED_VALUE"""),"Digizag")</f>
        <v>Digizag</v>
      </c>
      <c r="T485" s="2" t="str">
        <f>IFERROR(__xludf.DUMMYFUNCTION("""COMPUTED_VALUE"""),"Digizag")</f>
        <v>Digizag</v>
      </c>
      <c r="U485" s="5">
        <f>IFERROR(__xludf.DUMMYFUNCTION("""COMPUTED_VALUE"""),60.38999649808)</f>
        <v>60.3899965</v>
      </c>
      <c r="V485" s="2"/>
      <c r="W485" s="2"/>
      <c r="X485" s="2"/>
      <c r="Y485" s="2"/>
      <c r="Z485" s="2"/>
    </row>
    <row r="486">
      <c r="A486" s="6">
        <f>IFERROR(__xludf.DUMMYFUNCTION("""COMPUTED_VALUE"""),45804.84612268519)</f>
        <v>45804.84612</v>
      </c>
      <c r="B486" s="2" t="str">
        <f>IFERROR(__xludf.DUMMYFUNCTION("""COMPUTED_VALUE"""),"May")</f>
        <v>May</v>
      </c>
      <c r="C486" s="3">
        <f>IFERROR(__xludf.DUMMYFUNCTION("""COMPUTED_VALUE"""),360360.0)</f>
        <v>360360</v>
      </c>
      <c r="D486" s="2" t="str">
        <f>IFERROR(__xludf.DUMMYFUNCTION("""COMPUTED_VALUE"""),"MNN16")</f>
        <v>MNN16</v>
      </c>
      <c r="E486" s="2" t="str">
        <f>IFERROR(__xludf.DUMMYFUNCTION("""COMPUTED_VALUE"""),"Imported from file DigiZag Bidding Codes.xlsx")</f>
        <v>Imported from file DigiZag Bidding Codes.xlsx</v>
      </c>
      <c r="F486" s="2" t="str">
        <f>IFERROR(__xludf.DUMMYFUNCTION("""COMPUTED_VALUE"""),"XVT397061")</f>
        <v>XVT397061</v>
      </c>
      <c r="G486" s="2" t="str">
        <f>IFERROR(__xludf.DUMMYFUNCTION("""COMPUTED_VALUE"""),"Kingdom of Saudi Arabia")</f>
        <v>Kingdom of Saudi Arabia</v>
      </c>
      <c r="H486" s="4">
        <f>IFERROR(__xludf.DUMMYFUNCTION("""COMPUTED_VALUE"""),120.0)</f>
        <v>120</v>
      </c>
      <c r="I486" s="3">
        <f>IFERROR(__xludf.DUMMYFUNCTION("""COMPUTED_VALUE"""),0.0)</f>
        <v>0</v>
      </c>
      <c r="J486" s="4">
        <f>IFERROR(__xludf.DUMMYFUNCTION("""COMPUTED_VALUE"""),30.0)</f>
        <v>30</v>
      </c>
      <c r="K486" s="2"/>
      <c r="L486" s="2" t="str">
        <f>IFERROR(__xludf.DUMMYFUNCTION("""COMPUTED_VALUE"""),"Processing")</f>
        <v>Processing</v>
      </c>
      <c r="M486" s="2" t="str">
        <f>IFERROR(__xludf.DUMMYFUNCTION("""COMPUTED_VALUE"""),"")</f>
        <v></v>
      </c>
      <c r="N486" s="2" t="str">
        <f>IFERROR(__xludf.DUMMYFUNCTION("""COMPUTED_VALUE"""),"Credit, Debit, Apple Pay")</f>
        <v>Credit, Debit, Apple Pay</v>
      </c>
      <c r="O486" s="4">
        <f>IFERROR(__xludf.DUMMYFUNCTION("""COMPUTED_VALUE"""),0.0)</f>
        <v>0</v>
      </c>
      <c r="P486" s="2">
        <f>IFERROR(__xludf.DUMMYFUNCTION("""COMPUTED_VALUE"""),27.0)</f>
        <v>27</v>
      </c>
      <c r="Q486" s="2">
        <f>IFERROR(__xludf.DUMMYFUNCTION("""COMPUTED_VALUE"""),5.0)</f>
        <v>5</v>
      </c>
      <c r="R486" s="2">
        <f>IFERROR(__xludf.DUMMYFUNCTION("""COMPUTED_VALUE"""),2025.0)</f>
        <v>2025</v>
      </c>
      <c r="S486" s="2" t="str">
        <f>IFERROR(__xludf.DUMMYFUNCTION("""COMPUTED_VALUE"""),"Digizag")</f>
        <v>Digizag</v>
      </c>
      <c r="T486" s="2" t="str">
        <f>IFERROR(__xludf.DUMMYFUNCTION("""COMPUTED_VALUE"""),"Digizag")</f>
        <v>Digizag</v>
      </c>
      <c r="U486" s="5">
        <f>IFERROR(__xludf.DUMMYFUNCTION("""COMPUTED_VALUE"""),31.997525520000003)</f>
        <v>31.99752552</v>
      </c>
      <c r="V486" s="2"/>
      <c r="W486" s="2"/>
      <c r="X486" s="2"/>
      <c r="Y486" s="2"/>
      <c r="Z486" s="2"/>
    </row>
    <row r="487">
      <c r="A487" s="6">
        <f>IFERROR(__xludf.DUMMYFUNCTION("""COMPUTED_VALUE"""),45804.94857638889)</f>
        <v>45804.94858</v>
      </c>
      <c r="B487" s="2" t="str">
        <f>IFERROR(__xludf.DUMMYFUNCTION("""COMPUTED_VALUE"""),"May")</f>
        <v>May</v>
      </c>
      <c r="C487" s="3">
        <f>IFERROR(__xludf.DUMMYFUNCTION("""COMPUTED_VALUE"""),485476.0)</f>
        <v>485476</v>
      </c>
      <c r="D487" s="2" t="str">
        <f>IFERROR(__xludf.DUMMYFUNCTION("""COMPUTED_VALUE"""),"DB1")</f>
        <v>DB1</v>
      </c>
      <c r="E487" s="2" t="str">
        <f>IFERROR(__xludf.DUMMYFUNCTION("""COMPUTED_VALUE"""),"Imported from file Digizag.xlsx")</f>
        <v>Imported from file Digizag.xlsx</v>
      </c>
      <c r="F487" s="2" t="str">
        <f>IFERROR(__xludf.DUMMYFUNCTION("""COMPUTED_VALUE"""),"YLQ878798")</f>
        <v>YLQ878798</v>
      </c>
      <c r="G487" s="2" t="str">
        <f>IFERROR(__xludf.DUMMYFUNCTION("""COMPUTED_VALUE"""),"Kuwait")</f>
        <v>Kuwait</v>
      </c>
      <c r="H487" s="4">
        <f>IFERROR(__xludf.DUMMYFUNCTION("""COMPUTED_VALUE"""),10.65)</f>
        <v>10.65</v>
      </c>
      <c r="I487" s="3">
        <f>IFERROR(__xludf.DUMMYFUNCTION("""COMPUTED_VALUE"""),0.0)</f>
        <v>0</v>
      </c>
      <c r="J487" s="4">
        <f>IFERROR(__xludf.DUMMYFUNCTION("""COMPUTED_VALUE"""),1.065)</f>
        <v>1.065</v>
      </c>
      <c r="K487" s="2"/>
      <c r="L487" s="2" t="str">
        <f>IFERROR(__xludf.DUMMYFUNCTION("""COMPUTED_VALUE"""),"Processing")</f>
        <v>Processing</v>
      </c>
      <c r="M487" s="2" t="str">
        <f>IFERROR(__xludf.DUMMYFUNCTION("""COMPUTED_VALUE"""),"KD")</f>
        <v>KD</v>
      </c>
      <c r="N487" s="2" t="str">
        <f>IFERROR(__xludf.DUMMYFUNCTION("""COMPUTED_VALUE"""),"Credit, Debit, Knet")</f>
        <v>Credit, Debit, Knet</v>
      </c>
      <c r="O487" s="4">
        <f>IFERROR(__xludf.DUMMYFUNCTION("""COMPUTED_VALUE"""),0.0)</f>
        <v>0</v>
      </c>
      <c r="P487" s="2">
        <f>IFERROR(__xludf.DUMMYFUNCTION("""COMPUTED_VALUE"""),27.0)</f>
        <v>27</v>
      </c>
      <c r="Q487" s="2">
        <f>IFERROR(__xludf.DUMMYFUNCTION("""COMPUTED_VALUE"""),5.0)</f>
        <v>5</v>
      </c>
      <c r="R487" s="2">
        <f>IFERROR(__xludf.DUMMYFUNCTION("""COMPUTED_VALUE"""),2025.0)</f>
        <v>2025</v>
      </c>
      <c r="S487" s="2" t="str">
        <f>IFERROR(__xludf.DUMMYFUNCTION("""COMPUTED_VALUE"""),"Digizag")</f>
        <v>Digizag</v>
      </c>
      <c r="T487" s="2" t="str">
        <f>IFERROR(__xludf.DUMMYFUNCTION("""COMPUTED_VALUE"""),"Digizag")</f>
        <v>Digizag</v>
      </c>
      <c r="U487" s="5">
        <f>IFERROR(__xludf.DUMMYFUNCTION("""COMPUTED_VALUE"""),34.725603)</f>
        <v>34.725603</v>
      </c>
      <c r="V487" s="2"/>
      <c r="W487" s="2"/>
      <c r="X487" s="2"/>
      <c r="Y487" s="2"/>
      <c r="Z487" s="2"/>
    </row>
    <row r="488">
      <c r="A488" s="6">
        <f>IFERROR(__xludf.DUMMYFUNCTION("""COMPUTED_VALUE"""),45805.03890046296)</f>
        <v>45805.0389</v>
      </c>
      <c r="B488" s="2" t="str">
        <f>IFERROR(__xludf.DUMMYFUNCTION("""COMPUTED_VALUE"""),"May")</f>
        <v>May</v>
      </c>
      <c r="C488" s="3">
        <f>IFERROR(__xludf.DUMMYFUNCTION("""COMPUTED_VALUE"""),46832.0)</f>
        <v>46832</v>
      </c>
      <c r="D488" s="2" t="str">
        <f>IFERROR(__xludf.DUMMYFUNCTION("""COMPUTED_VALUE"""),"MNN16")</f>
        <v>MNN16</v>
      </c>
      <c r="E488" s="2" t="str">
        <f>IFERROR(__xludf.DUMMYFUNCTION("""COMPUTED_VALUE"""),"Imported from file DigiZag Bidding Codes.xlsx")</f>
        <v>Imported from file DigiZag Bidding Codes.xlsx</v>
      </c>
      <c r="F488" s="2" t="str">
        <f>IFERROR(__xludf.DUMMYFUNCTION("""COMPUTED_VALUE"""),"MBG909459")</f>
        <v>MBG909459</v>
      </c>
      <c r="G488" s="2" t="str">
        <f>IFERROR(__xludf.DUMMYFUNCTION("""COMPUTED_VALUE"""),"Kingdom of Saudi Arabia")</f>
        <v>Kingdom of Saudi Arabia</v>
      </c>
      <c r="H488" s="4">
        <f>IFERROR(__xludf.DUMMYFUNCTION("""COMPUTED_VALUE"""),77.14)</f>
        <v>77.14</v>
      </c>
      <c r="I488" s="3">
        <f>IFERROR(__xludf.DUMMYFUNCTION("""COMPUTED_VALUE"""),0.0)</f>
        <v>0</v>
      </c>
      <c r="J488" s="4">
        <f>IFERROR(__xludf.DUMMYFUNCTION("""COMPUTED_VALUE"""),30.0)</f>
        <v>30</v>
      </c>
      <c r="K488" s="2"/>
      <c r="L488" s="2" t="str">
        <f>IFERROR(__xludf.DUMMYFUNCTION("""COMPUTED_VALUE"""),"Delivered")</f>
        <v>Delivered</v>
      </c>
      <c r="M488" s="2" t="str">
        <f>IFERROR(__xludf.DUMMYFUNCTION("""COMPUTED_VALUE"""),"")</f>
        <v></v>
      </c>
      <c r="N488" s="2" t="str">
        <f>IFERROR(__xludf.DUMMYFUNCTION("""COMPUTED_VALUE"""),"Credit, Debit, Apple Pay")</f>
        <v>Credit, Debit, Apple Pay</v>
      </c>
      <c r="O488" s="4">
        <f>IFERROR(__xludf.DUMMYFUNCTION("""COMPUTED_VALUE"""),0.0)</f>
        <v>0</v>
      </c>
      <c r="P488" s="2">
        <f>IFERROR(__xludf.DUMMYFUNCTION("""COMPUTED_VALUE"""),28.0)</f>
        <v>28</v>
      </c>
      <c r="Q488" s="2">
        <f>IFERROR(__xludf.DUMMYFUNCTION("""COMPUTED_VALUE"""),5.0)</f>
        <v>5</v>
      </c>
      <c r="R488" s="2">
        <f>IFERROR(__xludf.DUMMYFUNCTION("""COMPUTED_VALUE"""),2025.0)</f>
        <v>2025</v>
      </c>
      <c r="S488" s="2" t="str">
        <f>IFERROR(__xludf.DUMMYFUNCTION("""COMPUTED_VALUE"""),"Digizag")</f>
        <v>Digizag</v>
      </c>
      <c r="T488" s="2" t="str">
        <f>IFERROR(__xludf.DUMMYFUNCTION("""COMPUTED_VALUE"""),"Digizag")</f>
        <v>Digizag</v>
      </c>
      <c r="U488" s="5">
        <f>IFERROR(__xludf.DUMMYFUNCTION("""COMPUTED_VALUE"""),20.56907598844)</f>
        <v>20.56907599</v>
      </c>
      <c r="V488" s="2"/>
      <c r="W488" s="2"/>
      <c r="X488" s="2"/>
      <c r="Y488" s="2"/>
      <c r="Z488" s="2"/>
    </row>
    <row r="489">
      <c r="A489" s="6">
        <f>IFERROR(__xludf.DUMMYFUNCTION("""COMPUTED_VALUE"""),45805.182812499996)</f>
        <v>45805.18281</v>
      </c>
      <c r="B489" s="2" t="str">
        <f>IFERROR(__xludf.DUMMYFUNCTION("""COMPUTED_VALUE"""),"May")</f>
        <v>May</v>
      </c>
      <c r="C489" s="3">
        <f>IFERROR(__xludf.DUMMYFUNCTION("""COMPUTED_VALUE"""),745730.0)</f>
        <v>745730</v>
      </c>
      <c r="D489" s="2" t="str">
        <f>IFERROR(__xludf.DUMMYFUNCTION("""COMPUTED_VALUE"""),"ZM22")</f>
        <v>ZM22</v>
      </c>
      <c r="E489" s="2" t="str">
        <f>IFERROR(__xludf.DUMMYFUNCTION("""COMPUTED_VALUE"""),"Imported from file Digizag.xlsx")</f>
        <v>Imported from file Digizag.xlsx</v>
      </c>
      <c r="F489" s="2" t="str">
        <f>IFERROR(__xludf.DUMMYFUNCTION("""COMPUTED_VALUE"""),"VZN715461")</f>
        <v>VZN715461</v>
      </c>
      <c r="G489" s="2" t="str">
        <f>IFERROR(__xludf.DUMMYFUNCTION("""COMPUTED_VALUE"""),"UAE")</f>
        <v>UAE</v>
      </c>
      <c r="H489" s="4">
        <f>IFERROR(__xludf.DUMMYFUNCTION("""COMPUTED_VALUE"""),102.0)</f>
        <v>102</v>
      </c>
      <c r="I489" s="3">
        <f>IFERROR(__xludf.DUMMYFUNCTION("""COMPUTED_VALUE"""),0.0)</f>
        <v>0</v>
      </c>
      <c r="J489" s="4">
        <f>IFERROR(__xludf.DUMMYFUNCTION("""COMPUTED_VALUE"""),10.2)</f>
        <v>10.2</v>
      </c>
      <c r="K489" s="2"/>
      <c r="L489" s="2" t="str">
        <f>IFERROR(__xludf.DUMMYFUNCTION("""COMPUTED_VALUE"""),"Processing")</f>
        <v>Processing</v>
      </c>
      <c r="M489" s="2" t="str">
        <f>IFERROR(__xludf.DUMMYFUNCTION("""COMPUTED_VALUE"""),"")</f>
        <v></v>
      </c>
      <c r="N489" s="2" t="str">
        <f>IFERROR(__xludf.DUMMYFUNCTION("""COMPUTED_VALUE"""),"Credit, Debit , Apple Pay")</f>
        <v>Credit, Debit , Apple Pay</v>
      </c>
      <c r="O489" s="4">
        <f>IFERROR(__xludf.DUMMYFUNCTION("""COMPUTED_VALUE"""),0.0)</f>
        <v>0</v>
      </c>
      <c r="P489" s="2">
        <f>IFERROR(__xludf.DUMMYFUNCTION("""COMPUTED_VALUE"""),28.0)</f>
        <v>28</v>
      </c>
      <c r="Q489" s="2">
        <f>IFERROR(__xludf.DUMMYFUNCTION("""COMPUTED_VALUE"""),5.0)</f>
        <v>5</v>
      </c>
      <c r="R489" s="2">
        <f>IFERROR(__xludf.DUMMYFUNCTION("""COMPUTED_VALUE"""),2025.0)</f>
        <v>2025</v>
      </c>
      <c r="S489" s="2" t="str">
        <f>IFERROR(__xludf.DUMMYFUNCTION("""COMPUTED_VALUE"""),"Digizag")</f>
        <v>Digizag</v>
      </c>
      <c r="T489" s="2" t="str">
        <f>IFERROR(__xludf.DUMMYFUNCTION("""COMPUTED_VALUE"""),"Digizag")</f>
        <v>Digizag</v>
      </c>
      <c r="U489" s="5">
        <f>IFERROR(__xludf.DUMMYFUNCTION("""COMPUTED_VALUE"""),27.773995956)</f>
        <v>27.77399596</v>
      </c>
      <c r="V489" s="2"/>
      <c r="W489" s="2"/>
      <c r="X489" s="2"/>
      <c r="Y489" s="2"/>
      <c r="Z489" s="2"/>
    </row>
    <row r="490">
      <c r="A490" s="6">
        <f>IFERROR(__xludf.DUMMYFUNCTION("""COMPUTED_VALUE"""),45805.310324074075)</f>
        <v>45805.31032</v>
      </c>
      <c r="B490" s="2" t="str">
        <f>IFERROR(__xludf.DUMMYFUNCTION("""COMPUTED_VALUE"""),"May")</f>
        <v>May</v>
      </c>
      <c r="C490" s="3">
        <f>IFERROR(__xludf.DUMMYFUNCTION("""COMPUTED_VALUE"""),582755.0)</f>
        <v>582755</v>
      </c>
      <c r="D490" s="2" t="str">
        <f>IFERROR(__xludf.DUMMYFUNCTION("""COMPUTED_VALUE"""),"DB1")</f>
        <v>DB1</v>
      </c>
      <c r="E490" s="2" t="str">
        <f>IFERROR(__xludf.DUMMYFUNCTION("""COMPUTED_VALUE"""),"Imported from file Digizag.xlsx")</f>
        <v>Imported from file Digizag.xlsx</v>
      </c>
      <c r="F490" s="2" t="str">
        <f>IFERROR(__xludf.DUMMYFUNCTION("""COMPUTED_VALUE"""),"JDC531083")</f>
        <v>JDC531083</v>
      </c>
      <c r="G490" s="2" t="str">
        <f>IFERROR(__xludf.DUMMYFUNCTION("""COMPUTED_VALUE"""),"Kingdom of Saudi Arabia")</f>
        <v>Kingdom of Saudi Arabia</v>
      </c>
      <c r="H490" s="4">
        <f>IFERROR(__xludf.DUMMYFUNCTION("""COMPUTED_VALUE"""),159.61)</f>
        <v>159.61</v>
      </c>
      <c r="I490" s="3">
        <f>IFERROR(__xludf.DUMMYFUNCTION("""COMPUTED_VALUE"""),0.0)</f>
        <v>0</v>
      </c>
      <c r="J490" s="4">
        <f>IFERROR(__xludf.DUMMYFUNCTION("""COMPUTED_VALUE"""),30.0)</f>
        <v>30</v>
      </c>
      <c r="K490" s="2"/>
      <c r="L490" s="2" t="str">
        <f>IFERROR(__xludf.DUMMYFUNCTION("""COMPUTED_VALUE"""),"Delivered")</f>
        <v>Delivered</v>
      </c>
      <c r="M490" s="2" t="str">
        <f>IFERROR(__xludf.DUMMYFUNCTION("""COMPUTED_VALUE"""),"")</f>
        <v></v>
      </c>
      <c r="N490" s="2" t="str">
        <f>IFERROR(__xludf.DUMMYFUNCTION("""COMPUTED_VALUE"""),"Pay in 4. No interest, no fees")</f>
        <v>Pay in 4. No interest, no fees</v>
      </c>
      <c r="O490" s="4">
        <f>IFERROR(__xludf.DUMMYFUNCTION("""COMPUTED_VALUE"""),0.0)</f>
        <v>0</v>
      </c>
      <c r="P490" s="2">
        <f>IFERROR(__xludf.DUMMYFUNCTION("""COMPUTED_VALUE"""),28.0)</f>
        <v>28</v>
      </c>
      <c r="Q490" s="2">
        <f>IFERROR(__xludf.DUMMYFUNCTION("""COMPUTED_VALUE"""),5.0)</f>
        <v>5</v>
      </c>
      <c r="R490" s="2">
        <f>IFERROR(__xludf.DUMMYFUNCTION("""COMPUTED_VALUE"""),2025.0)</f>
        <v>2025</v>
      </c>
      <c r="S490" s="2" t="str">
        <f>IFERROR(__xludf.DUMMYFUNCTION("""COMPUTED_VALUE"""),"Digizag")</f>
        <v>Digizag</v>
      </c>
      <c r="T490" s="2" t="str">
        <f>IFERROR(__xludf.DUMMYFUNCTION("""COMPUTED_VALUE"""),"Digizag")</f>
        <v>Digizag</v>
      </c>
      <c r="U490" s="5">
        <f>IFERROR(__xludf.DUMMYFUNCTION("""COMPUTED_VALUE"""),42.559375402060006)</f>
        <v>42.5593754</v>
      </c>
      <c r="V490" s="2"/>
      <c r="W490" s="2"/>
      <c r="X490" s="2"/>
      <c r="Y490" s="2"/>
      <c r="Z490" s="2"/>
    </row>
    <row r="491">
      <c r="A491" s="6">
        <f>IFERROR(__xludf.DUMMYFUNCTION("""COMPUTED_VALUE"""),45805.47847222222)</f>
        <v>45805.47847</v>
      </c>
      <c r="B491" s="2" t="str">
        <f>IFERROR(__xludf.DUMMYFUNCTION("""COMPUTED_VALUE"""),"May")</f>
        <v>May</v>
      </c>
      <c r="C491" s="3">
        <f>IFERROR(__xludf.DUMMYFUNCTION("""COMPUTED_VALUE"""),14293.0)</f>
        <v>14293</v>
      </c>
      <c r="D491" s="2" t="str">
        <f>IFERROR(__xludf.DUMMYFUNCTION("""COMPUTED_VALUE"""),"ZM22")</f>
        <v>ZM22</v>
      </c>
      <c r="E491" s="2" t="str">
        <f>IFERROR(__xludf.DUMMYFUNCTION("""COMPUTED_VALUE"""),"Imported from file Digizag.xlsx")</f>
        <v>Imported from file Digizag.xlsx</v>
      </c>
      <c r="F491" s="2" t="str">
        <f>IFERROR(__xludf.DUMMYFUNCTION("""COMPUTED_VALUE"""),"JJD848828")</f>
        <v>JJD848828</v>
      </c>
      <c r="G491" s="2" t="str">
        <f>IFERROR(__xludf.DUMMYFUNCTION("""COMPUTED_VALUE"""),"UAE")</f>
        <v>UAE</v>
      </c>
      <c r="H491" s="4">
        <f>IFERROR(__xludf.DUMMYFUNCTION("""COMPUTED_VALUE"""),122.0)</f>
        <v>122</v>
      </c>
      <c r="I491" s="3">
        <f>IFERROR(__xludf.DUMMYFUNCTION("""COMPUTED_VALUE"""),0.0)</f>
        <v>0</v>
      </c>
      <c r="J491" s="4">
        <f>IFERROR(__xludf.DUMMYFUNCTION("""COMPUTED_VALUE"""),12.2)</f>
        <v>12.2</v>
      </c>
      <c r="K491" s="2"/>
      <c r="L491" s="2" t="str">
        <f>IFERROR(__xludf.DUMMYFUNCTION("""COMPUTED_VALUE"""),"Processing")</f>
        <v>Processing</v>
      </c>
      <c r="M491" s="2" t="str">
        <f>IFERROR(__xludf.DUMMYFUNCTION("""COMPUTED_VALUE"""),"")</f>
        <v></v>
      </c>
      <c r="N491" s="2" t="str">
        <f>IFERROR(__xludf.DUMMYFUNCTION("""COMPUTED_VALUE"""),"Credit, Debit , Apple Pay")</f>
        <v>Credit, Debit , Apple Pay</v>
      </c>
      <c r="O491" s="4">
        <f>IFERROR(__xludf.DUMMYFUNCTION("""COMPUTED_VALUE"""),0.0)</f>
        <v>0</v>
      </c>
      <c r="P491" s="2">
        <f>IFERROR(__xludf.DUMMYFUNCTION("""COMPUTED_VALUE"""),28.0)</f>
        <v>28</v>
      </c>
      <c r="Q491" s="2">
        <f>IFERROR(__xludf.DUMMYFUNCTION("""COMPUTED_VALUE"""),5.0)</f>
        <v>5</v>
      </c>
      <c r="R491" s="2">
        <f>IFERROR(__xludf.DUMMYFUNCTION("""COMPUTED_VALUE"""),2025.0)</f>
        <v>2025</v>
      </c>
      <c r="S491" s="2" t="str">
        <f>IFERROR(__xludf.DUMMYFUNCTION("""COMPUTED_VALUE"""),"Digizag")</f>
        <v>Digizag</v>
      </c>
      <c r="T491" s="2" t="str">
        <f>IFERROR(__xludf.DUMMYFUNCTION("""COMPUTED_VALUE"""),"Digizag")</f>
        <v>Digizag</v>
      </c>
      <c r="U491" s="5">
        <f>IFERROR(__xludf.DUMMYFUNCTION("""COMPUTED_VALUE"""),33.219877516)</f>
        <v>33.21987752</v>
      </c>
      <c r="V491" s="2"/>
      <c r="W491" s="2"/>
      <c r="X491" s="2"/>
      <c r="Y491" s="2"/>
      <c r="Z491" s="2"/>
    </row>
    <row r="492">
      <c r="A492" s="6">
        <f>IFERROR(__xludf.DUMMYFUNCTION("""COMPUTED_VALUE"""),45805.53085648148)</f>
        <v>45805.53086</v>
      </c>
      <c r="B492" s="2" t="str">
        <f>IFERROR(__xludf.DUMMYFUNCTION("""COMPUTED_VALUE"""),"May")</f>
        <v>May</v>
      </c>
      <c r="C492" s="3">
        <f>IFERROR(__xludf.DUMMYFUNCTION("""COMPUTED_VALUE"""),696864.0)</f>
        <v>696864</v>
      </c>
      <c r="D492" s="2" t="str">
        <f>IFERROR(__xludf.DUMMYFUNCTION("""COMPUTED_VALUE"""),"MNN16")</f>
        <v>MNN16</v>
      </c>
      <c r="E492" s="2" t="str">
        <f>IFERROR(__xludf.DUMMYFUNCTION("""COMPUTED_VALUE"""),"Imported from file DigiZag Bidding Codes.xlsx")</f>
        <v>Imported from file DigiZag Bidding Codes.xlsx</v>
      </c>
      <c r="F492" s="2" t="str">
        <f>IFERROR(__xludf.DUMMYFUNCTION("""COMPUTED_VALUE"""),"GTM114590")</f>
        <v>GTM114590</v>
      </c>
      <c r="G492" s="2" t="str">
        <f>IFERROR(__xludf.DUMMYFUNCTION("""COMPUTED_VALUE"""),"Kingdom of Saudi Arabia")</f>
        <v>Kingdom of Saudi Arabia</v>
      </c>
      <c r="H492" s="4">
        <f>IFERROR(__xludf.DUMMYFUNCTION("""COMPUTED_VALUE"""),102.61)</f>
        <v>102.61</v>
      </c>
      <c r="I492" s="3">
        <f>IFERROR(__xludf.DUMMYFUNCTION("""COMPUTED_VALUE"""),0.0)</f>
        <v>0</v>
      </c>
      <c r="J492" s="4">
        <f>IFERROR(__xludf.DUMMYFUNCTION("""COMPUTED_VALUE"""),30.0)</f>
        <v>30</v>
      </c>
      <c r="K492" s="2"/>
      <c r="L492" s="2" t="str">
        <f>IFERROR(__xludf.DUMMYFUNCTION("""COMPUTED_VALUE"""),"Processing")</f>
        <v>Processing</v>
      </c>
      <c r="M492" s="2" t="str">
        <f>IFERROR(__xludf.DUMMYFUNCTION("""COMPUTED_VALUE"""),"")</f>
        <v></v>
      </c>
      <c r="N492" s="2" t="str">
        <f>IFERROR(__xludf.DUMMYFUNCTION("""COMPUTED_VALUE"""),"Credit, Debit, Apple Pay")</f>
        <v>Credit, Debit, Apple Pay</v>
      </c>
      <c r="O492" s="4">
        <f>IFERROR(__xludf.DUMMYFUNCTION("""COMPUTED_VALUE"""),0.0)</f>
        <v>0</v>
      </c>
      <c r="P492" s="2">
        <f>IFERROR(__xludf.DUMMYFUNCTION("""COMPUTED_VALUE"""),28.0)</f>
        <v>28</v>
      </c>
      <c r="Q492" s="2">
        <f>IFERROR(__xludf.DUMMYFUNCTION("""COMPUTED_VALUE"""),5.0)</f>
        <v>5</v>
      </c>
      <c r="R492" s="2">
        <f>IFERROR(__xludf.DUMMYFUNCTION("""COMPUTED_VALUE"""),2025.0)</f>
        <v>2025</v>
      </c>
      <c r="S492" s="2" t="str">
        <f>IFERROR(__xludf.DUMMYFUNCTION("""COMPUTED_VALUE"""),"Digizag")</f>
        <v>Digizag</v>
      </c>
      <c r="T492" s="2" t="str">
        <f>IFERROR(__xludf.DUMMYFUNCTION("""COMPUTED_VALUE"""),"Digizag")</f>
        <v>Digizag</v>
      </c>
      <c r="U492" s="5">
        <f>IFERROR(__xludf.DUMMYFUNCTION("""COMPUTED_VALUE"""),27.360550780060002)</f>
        <v>27.36055078</v>
      </c>
      <c r="V492" s="2"/>
      <c r="W492" s="2"/>
      <c r="X492" s="2"/>
      <c r="Y492" s="2"/>
      <c r="Z492" s="2"/>
    </row>
    <row r="493">
      <c r="A493" s="6">
        <f>IFERROR(__xludf.DUMMYFUNCTION("""COMPUTED_VALUE"""),45805.55726851852)</f>
        <v>45805.55727</v>
      </c>
      <c r="B493" s="2" t="str">
        <f>IFERROR(__xludf.DUMMYFUNCTION("""COMPUTED_VALUE"""),"May")</f>
        <v>May</v>
      </c>
      <c r="C493" s="3">
        <f>IFERROR(__xludf.DUMMYFUNCTION("""COMPUTED_VALUE"""),581977.0)</f>
        <v>581977</v>
      </c>
      <c r="D493" s="2" t="str">
        <f>IFERROR(__xludf.DUMMYFUNCTION("""COMPUTED_VALUE"""),"RR22")</f>
        <v>RR22</v>
      </c>
      <c r="E493" s="2" t="str">
        <f>IFERROR(__xludf.DUMMYFUNCTION("""COMPUTED_VALUE"""),"Imported from file Digizag.xlsx")</f>
        <v>Imported from file Digizag.xlsx</v>
      </c>
      <c r="F493" s="2" t="str">
        <f>IFERROR(__xludf.DUMMYFUNCTION("""COMPUTED_VALUE"""),"EXY888604")</f>
        <v>EXY888604</v>
      </c>
      <c r="G493" s="2" t="str">
        <f>IFERROR(__xludf.DUMMYFUNCTION("""COMPUTED_VALUE"""),"UAE")</f>
        <v>UAE</v>
      </c>
      <c r="H493" s="4">
        <f>IFERROR(__xludf.DUMMYFUNCTION("""COMPUTED_VALUE"""),29.0)</f>
        <v>29</v>
      </c>
      <c r="I493" s="3">
        <f>IFERROR(__xludf.DUMMYFUNCTION("""COMPUTED_VALUE"""),0.0)</f>
        <v>0</v>
      </c>
      <c r="J493" s="4">
        <f>IFERROR(__xludf.DUMMYFUNCTION("""COMPUTED_VALUE"""),2.9)</f>
        <v>2.9</v>
      </c>
      <c r="K493" s="2"/>
      <c r="L493" s="2" t="str">
        <f>IFERROR(__xludf.DUMMYFUNCTION("""COMPUTED_VALUE"""),"Processing")</f>
        <v>Processing</v>
      </c>
      <c r="M493" s="2" t="str">
        <f>IFERROR(__xludf.DUMMYFUNCTION("""COMPUTED_VALUE"""),"")</f>
        <v></v>
      </c>
      <c r="N493" s="2" t="str">
        <f>IFERROR(__xludf.DUMMYFUNCTION("""COMPUTED_VALUE"""),"Cash")</f>
        <v>Cash</v>
      </c>
      <c r="O493" s="4">
        <f>IFERROR(__xludf.DUMMYFUNCTION("""COMPUTED_VALUE"""),0.0)</f>
        <v>0</v>
      </c>
      <c r="P493" s="2">
        <f>IFERROR(__xludf.DUMMYFUNCTION("""COMPUTED_VALUE"""),28.0)</f>
        <v>28</v>
      </c>
      <c r="Q493" s="2">
        <f>IFERROR(__xludf.DUMMYFUNCTION("""COMPUTED_VALUE"""),5.0)</f>
        <v>5</v>
      </c>
      <c r="R493" s="2">
        <f>IFERROR(__xludf.DUMMYFUNCTION("""COMPUTED_VALUE"""),2025.0)</f>
        <v>2025</v>
      </c>
      <c r="S493" s="2" t="str">
        <f>IFERROR(__xludf.DUMMYFUNCTION("""COMPUTED_VALUE"""),"Digizag")</f>
        <v>Digizag</v>
      </c>
      <c r="T493" s="2" t="str">
        <f>IFERROR(__xludf.DUMMYFUNCTION("""COMPUTED_VALUE"""),"Digizag")</f>
        <v>Digizag</v>
      </c>
      <c r="U493" s="5">
        <f>IFERROR(__xludf.DUMMYFUNCTION("""COMPUTED_VALUE"""),7.8965282619999995)</f>
        <v>7.896528262</v>
      </c>
      <c r="V493" s="2"/>
      <c r="W493" s="2"/>
      <c r="X493" s="2"/>
      <c r="Y493" s="2"/>
      <c r="Z493" s="2"/>
    </row>
    <row r="494">
      <c r="A494" s="6">
        <f>IFERROR(__xludf.DUMMYFUNCTION("""COMPUTED_VALUE"""),45805.620983796296)</f>
        <v>45805.62098</v>
      </c>
      <c r="B494" s="2" t="str">
        <f>IFERROR(__xludf.DUMMYFUNCTION("""COMPUTED_VALUE"""),"May")</f>
        <v>May</v>
      </c>
      <c r="C494" s="3">
        <f>IFERROR(__xludf.DUMMYFUNCTION("""COMPUTED_VALUE"""),62568.0)</f>
        <v>62568</v>
      </c>
      <c r="D494" s="2" t="str">
        <f>IFERROR(__xludf.DUMMYFUNCTION("""COMPUTED_VALUE"""),"ZM22")</f>
        <v>ZM22</v>
      </c>
      <c r="E494" s="2" t="str">
        <f>IFERROR(__xludf.DUMMYFUNCTION("""COMPUTED_VALUE"""),"Imported from file Digizag.xlsx")</f>
        <v>Imported from file Digizag.xlsx</v>
      </c>
      <c r="F494" s="2" t="str">
        <f>IFERROR(__xludf.DUMMYFUNCTION("""COMPUTED_VALUE"""),"ULH141266")</f>
        <v>ULH141266</v>
      </c>
      <c r="G494" s="2" t="str">
        <f>IFERROR(__xludf.DUMMYFUNCTION("""COMPUTED_VALUE"""),"UAE")</f>
        <v>UAE</v>
      </c>
      <c r="H494" s="4">
        <f>IFERROR(__xludf.DUMMYFUNCTION("""COMPUTED_VALUE"""),56.19)</f>
        <v>56.19</v>
      </c>
      <c r="I494" s="3">
        <f>IFERROR(__xludf.DUMMYFUNCTION("""COMPUTED_VALUE"""),0.0)</f>
        <v>0</v>
      </c>
      <c r="J494" s="4">
        <f>IFERROR(__xludf.DUMMYFUNCTION("""COMPUTED_VALUE"""),5.61)</f>
        <v>5.61</v>
      </c>
      <c r="K494" s="2"/>
      <c r="L494" s="2" t="str">
        <f>IFERROR(__xludf.DUMMYFUNCTION("""COMPUTED_VALUE"""),"Delivered")</f>
        <v>Delivered</v>
      </c>
      <c r="M494" s="2" t="str">
        <f>IFERROR(__xludf.DUMMYFUNCTION("""COMPUTED_VALUE"""),"")</f>
        <v></v>
      </c>
      <c r="N494" s="2" t="str">
        <f>IFERROR(__xludf.DUMMYFUNCTION("""COMPUTED_VALUE"""),"Credit, Debit , Apple Pay")</f>
        <v>Credit, Debit , Apple Pay</v>
      </c>
      <c r="O494" s="4">
        <f>IFERROR(__xludf.DUMMYFUNCTION("""COMPUTED_VALUE"""),0.0)</f>
        <v>0</v>
      </c>
      <c r="P494" s="2">
        <f>IFERROR(__xludf.DUMMYFUNCTION("""COMPUTED_VALUE"""),28.0)</f>
        <v>28</v>
      </c>
      <c r="Q494" s="2">
        <f>IFERROR(__xludf.DUMMYFUNCTION("""COMPUTED_VALUE"""),5.0)</f>
        <v>5</v>
      </c>
      <c r="R494" s="2">
        <f>IFERROR(__xludf.DUMMYFUNCTION("""COMPUTED_VALUE"""),2025.0)</f>
        <v>2025</v>
      </c>
      <c r="S494" s="2" t="str">
        <f>IFERROR(__xludf.DUMMYFUNCTION("""COMPUTED_VALUE"""),"Digizag")</f>
        <v>Digizag</v>
      </c>
      <c r="T494" s="2" t="str">
        <f>IFERROR(__xludf.DUMMYFUNCTION("""COMPUTED_VALUE"""),"Digizag")</f>
        <v>Digizag</v>
      </c>
      <c r="U494" s="5">
        <f>IFERROR(__xludf.DUMMYFUNCTION("""COMPUTED_VALUE"""),15.30020424282)</f>
        <v>15.30020424</v>
      </c>
      <c r="V494" s="2"/>
      <c r="W494" s="2"/>
      <c r="X494" s="2"/>
      <c r="Y494" s="2"/>
      <c r="Z494" s="2"/>
    </row>
    <row r="495">
      <c r="A495" s="6">
        <f>IFERROR(__xludf.DUMMYFUNCTION("""COMPUTED_VALUE"""),45805.62929398148)</f>
        <v>45805.62929</v>
      </c>
      <c r="B495" s="2" t="str">
        <f>IFERROR(__xludf.DUMMYFUNCTION("""COMPUTED_VALUE"""),"May")</f>
        <v>May</v>
      </c>
      <c r="C495" s="3">
        <f>IFERROR(__xludf.DUMMYFUNCTION("""COMPUTED_VALUE"""),689406.0)</f>
        <v>689406</v>
      </c>
      <c r="D495" s="2" t="str">
        <f>IFERROR(__xludf.DUMMYFUNCTION("""COMPUTED_VALUE"""),"MNN16")</f>
        <v>MNN16</v>
      </c>
      <c r="E495" s="2" t="str">
        <f>IFERROR(__xludf.DUMMYFUNCTION("""COMPUTED_VALUE"""),"Imported from file DigiZag Bidding Codes.xlsx")</f>
        <v>Imported from file DigiZag Bidding Codes.xlsx</v>
      </c>
      <c r="F495" s="2" t="str">
        <f>IFERROR(__xludf.DUMMYFUNCTION("""COMPUTED_VALUE"""),"KQH606235")</f>
        <v>KQH606235</v>
      </c>
      <c r="G495" s="2" t="str">
        <f>IFERROR(__xludf.DUMMYFUNCTION("""COMPUTED_VALUE"""),"Kingdom of Saudi Arabia")</f>
        <v>Kingdom of Saudi Arabia</v>
      </c>
      <c r="H495" s="4">
        <f>IFERROR(__xludf.DUMMYFUNCTION("""COMPUTED_VALUE"""),169.0)</f>
        <v>169</v>
      </c>
      <c r="I495" s="3">
        <f>IFERROR(__xludf.DUMMYFUNCTION("""COMPUTED_VALUE"""),0.0)</f>
        <v>0</v>
      </c>
      <c r="J495" s="4">
        <f>IFERROR(__xludf.DUMMYFUNCTION("""COMPUTED_VALUE"""),30.0)</f>
        <v>30</v>
      </c>
      <c r="K495" s="2"/>
      <c r="L495" s="2" t="str">
        <f>IFERROR(__xludf.DUMMYFUNCTION("""COMPUTED_VALUE"""),"Processing")</f>
        <v>Processing</v>
      </c>
      <c r="M495" s="2" t="str">
        <f>IFERROR(__xludf.DUMMYFUNCTION("""COMPUTED_VALUE"""),"")</f>
        <v></v>
      </c>
      <c r="N495" s="2" t="str">
        <f>IFERROR(__xludf.DUMMYFUNCTION("""COMPUTED_VALUE"""),"Credit, Debit, Apple Pay")</f>
        <v>Credit, Debit, Apple Pay</v>
      </c>
      <c r="O495" s="4">
        <f>IFERROR(__xludf.DUMMYFUNCTION("""COMPUTED_VALUE"""),0.0)</f>
        <v>0</v>
      </c>
      <c r="P495" s="2">
        <f>IFERROR(__xludf.DUMMYFUNCTION("""COMPUTED_VALUE"""),28.0)</f>
        <v>28</v>
      </c>
      <c r="Q495" s="2">
        <f>IFERROR(__xludf.DUMMYFUNCTION("""COMPUTED_VALUE"""),5.0)</f>
        <v>5</v>
      </c>
      <c r="R495" s="2">
        <f>IFERROR(__xludf.DUMMYFUNCTION("""COMPUTED_VALUE"""),2025.0)</f>
        <v>2025</v>
      </c>
      <c r="S495" s="2" t="str">
        <f>IFERROR(__xludf.DUMMYFUNCTION("""COMPUTED_VALUE"""),"Digizag")</f>
        <v>Digizag</v>
      </c>
      <c r="T495" s="2" t="str">
        <f>IFERROR(__xludf.DUMMYFUNCTION("""COMPUTED_VALUE"""),"Digizag")</f>
        <v>Digizag</v>
      </c>
      <c r="U495" s="5">
        <f>IFERROR(__xludf.DUMMYFUNCTION("""COMPUTED_VALUE"""),45.06318177400001)</f>
        <v>45.06318177</v>
      </c>
      <c r="V495" s="2"/>
      <c r="W495" s="2"/>
      <c r="X495" s="2"/>
      <c r="Y495" s="2"/>
      <c r="Z495" s="2"/>
    </row>
    <row r="496">
      <c r="A496" s="6">
        <f>IFERROR(__xludf.DUMMYFUNCTION("""COMPUTED_VALUE"""),45805.65039351852)</f>
        <v>45805.65039</v>
      </c>
      <c r="B496" s="2" t="str">
        <f>IFERROR(__xludf.DUMMYFUNCTION("""COMPUTED_VALUE"""),"May")</f>
        <v>May</v>
      </c>
      <c r="C496" s="3">
        <f>IFERROR(__xludf.DUMMYFUNCTION("""COMPUTED_VALUE"""),453851.0)</f>
        <v>453851</v>
      </c>
      <c r="D496" s="2" t="str">
        <f>IFERROR(__xludf.DUMMYFUNCTION("""COMPUTED_VALUE"""),"ZM22")</f>
        <v>ZM22</v>
      </c>
      <c r="E496" s="2" t="str">
        <f>IFERROR(__xludf.DUMMYFUNCTION("""COMPUTED_VALUE"""),"Imported from file Digizag.xlsx")</f>
        <v>Imported from file Digizag.xlsx</v>
      </c>
      <c r="F496" s="2" t="str">
        <f>IFERROR(__xludf.DUMMYFUNCTION("""COMPUTED_VALUE"""),"RBQ719287")</f>
        <v>RBQ719287</v>
      </c>
      <c r="G496" s="2" t="str">
        <f>IFERROR(__xludf.DUMMYFUNCTION("""COMPUTED_VALUE"""),"UAE")</f>
        <v>UAE</v>
      </c>
      <c r="H496" s="4">
        <f>IFERROR(__xludf.DUMMYFUNCTION("""COMPUTED_VALUE"""),267.75)</f>
        <v>267.75</v>
      </c>
      <c r="I496" s="3">
        <f>IFERROR(__xludf.DUMMYFUNCTION("""COMPUTED_VALUE"""),0.0)</f>
        <v>0</v>
      </c>
      <c r="J496" s="4">
        <f>IFERROR(__xludf.DUMMYFUNCTION("""COMPUTED_VALUE"""),26.77)</f>
        <v>26.77</v>
      </c>
      <c r="K496" s="2"/>
      <c r="L496" s="2" t="str">
        <f>IFERROR(__xludf.DUMMYFUNCTION("""COMPUTED_VALUE"""),"Processing")</f>
        <v>Processing</v>
      </c>
      <c r="M496" s="2" t="str">
        <f>IFERROR(__xludf.DUMMYFUNCTION("""COMPUTED_VALUE"""),"")</f>
        <v></v>
      </c>
      <c r="N496" s="2" t="str">
        <f>IFERROR(__xludf.DUMMYFUNCTION("""COMPUTED_VALUE"""),"Credit, Debit , Apple Pay")</f>
        <v>Credit, Debit , Apple Pay</v>
      </c>
      <c r="O496" s="4">
        <f>IFERROR(__xludf.DUMMYFUNCTION("""COMPUTED_VALUE"""),0.0)</f>
        <v>0</v>
      </c>
      <c r="P496" s="2">
        <f>IFERROR(__xludf.DUMMYFUNCTION("""COMPUTED_VALUE"""),28.0)</f>
        <v>28</v>
      </c>
      <c r="Q496" s="2">
        <f>IFERROR(__xludf.DUMMYFUNCTION("""COMPUTED_VALUE"""),5.0)</f>
        <v>5</v>
      </c>
      <c r="R496" s="2">
        <f>IFERROR(__xludf.DUMMYFUNCTION("""COMPUTED_VALUE"""),2025.0)</f>
        <v>2025</v>
      </c>
      <c r="S496" s="2" t="str">
        <f>IFERROR(__xludf.DUMMYFUNCTION("""COMPUTED_VALUE"""),"Digizag")</f>
        <v>Digizag</v>
      </c>
      <c r="T496" s="2" t="str">
        <f>IFERROR(__xludf.DUMMYFUNCTION("""COMPUTED_VALUE"""),"Digizag")</f>
        <v>Digizag</v>
      </c>
      <c r="U496" s="5">
        <f>IFERROR(__xludf.DUMMYFUNCTION("""COMPUTED_VALUE"""),72.9067393845)</f>
        <v>72.90673938</v>
      </c>
      <c r="V496" s="2"/>
      <c r="W496" s="2"/>
      <c r="X496" s="2"/>
      <c r="Y496" s="2"/>
      <c r="Z496" s="2"/>
    </row>
    <row r="497">
      <c r="A497" s="6">
        <f>IFERROR(__xludf.DUMMYFUNCTION("""COMPUTED_VALUE"""),45805.66013888889)</f>
        <v>45805.66014</v>
      </c>
      <c r="B497" s="2" t="str">
        <f>IFERROR(__xludf.DUMMYFUNCTION("""COMPUTED_VALUE"""),"May")</f>
        <v>May</v>
      </c>
      <c r="C497" s="3">
        <f>IFERROR(__xludf.DUMMYFUNCTION("""COMPUTED_VALUE"""),747201.0)</f>
        <v>747201</v>
      </c>
      <c r="D497" s="2" t="str">
        <f>IFERROR(__xludf.DUMMYFUNCTION("""COMPUTED_VALUE"""),"ZM22")</f>
        <v>ZM22</v>
      </c>
      <c r="E497" s="2" t="str">
        <f>IFERROR(__xludf.DUMMYFUNCTION("""COMPUTED_VALUE"""),"Imported from file Digizag.xlsx")</f>
        <v>Imported from file Digizag.xlsx</v>
      </c>
      <c r="F497" s="2" t="str">
        <f>IFERROR(__xludf.DUMMYFUNCTION("""COMPUTED_VALUE"""),"QZB189780")</f>
        <v>QZB189780</v>
      </c>
      <c r="G497" s="2" t="str">
        <f>IFERROR(__xludf.DUMMYFUNCTION("""COMPUTED_VALUE"""),"UAE")</f>
        <v>UAE</v>
      </c>
      <c r="H497" s="4">
        <f>IFERROR(__xludf.DUMMYFUNCTION("""COMPUTED_VALUE"""),141.0)</f>
        <v>141</v>
      </c>
      <c r="I497" s="3">
        <f>IFERROR(__xludf.DUMMYFUNCTION("""COMPUTED_VALUE"""),0.0)</f>
        <v>0</v>
      </c>
      <c r="J497" s="4">
        <f>IFERROR(__xludf.DUMMYFUNCTION("""COMPUTED_VALUE"""),14.1)</f>
        <v>14.1</v>
      </c>
      <c r="K497" s="2"/>
      <c r="L497" s="2" t="str">
        <f>IFERROR(__xludf.DUMMYFUNCTION("""COMPUTED_VALUE"""),"Processing")</f>
        <v>Processing</v>
      </c>
      <c r="M497" s="2" t="str">
        <f>IFERROR(__xludf.DUMMYFUNCTION("""COMPUTED_VALUE"""),"")</f>
        <v></v>
      </c>
      <c r="N497" s="2" t="str">
        <f>IFERROR(__xludf.DUMMYFUNCTION("""COMPUTED_VALUE"""),"Credit, Debit , Apple Pay")</f>
        <v>Credit, Debit , Apple Pay</v>
      </c>
      <c r="O497" s="4">
        <f>IFERROR(__xludf.DUMMYFUNCTION("""COMPUTED_VALUE"""),0.0)</f>
        <v>0</v>
      </c>
      <c r="P497" s="2">
        <f>IFERROR(__xludf.DUMMYFUNCTION("""COMPUTED_VALUE"""),28.0)</f>
        <v>28</v>
      </c>
      <c r="Q497" s="2">
        <f>IFERROR(__xludf.DUMMYFUNCTION("""COMPUTED_VALUE"""),5.0)</f>
        <v>5</v>
      </c>
      <c r="R497" s="2">
        <f>IFERROR(__xludf.DUMMYFUNCTION("""COMPUTED_VALUE"""),2025.0)</f>
        <v>2025</v>
      </c>
      <c r="S497" s="2" t="str">
        <f>IFERROR(__xludf.DUMMYFUNCTION("""COMPUTED_VALUE"""),"Digizag")</f>
        <v>Digizag</v>
      </c>
      <c r="T497" s="2" t="str">
        <f>IFERROR(__xludf.DUMMYFUNCTION("""COMPUTED_VALUE"""),"Digizag")</f>
        <v>Digizag</v>
      </c>
      <c r="U497" s="5">
        <f>IFERROR(__xludf.DUMMYFUNCTION("""COMPUTED_VALUE"""),38.393464998)</f>
        <v>38.393465</v>
      </c>
      <c r="V497" s="2"/>
      <c r="W497" s="2"/>
      <c r="X497" s="2"/>
      <c r="Y497" s="2"/>
      <c r="Z497" s="2"/>
    </row>
    <row r="498">
      <c r="A498" s="6">
        <f>IFERROR(__xludf.DUMMYFUNCTION("""COMPUTED_VALUE"""),45805.70193287037)</f>
        <v>45805.70193</v>
      </c>
      <c r="B498" s="2" t="str">
        <f>IFERROR(__xludf.DUMMYFUNCTION("""COMPUTED_VALUE"""),"May")</f>
        <v>May</v>
      </c>
      <c r="C498" s="3">
        <f>IFERROR(__xludf.DUMMYFUNCTION("""COMPUTED_VALUE"""),644534.0)</f>
        <v>644534</v>
      </c>
      <c r="D498" s="2" t="str">
        <f>IFERROR(__xludf.DUMMYFUNCTION("""COMPUTED_VALUE"""),"MNN16")</f>
        <v>MNN16</v>
      </c>
      <c r="E498" s="2" t="str">
        <f>IFERROR(__xludf.DUMMYFUNCTION("""COMPUTED_VALUE"""),"Imported from file DigiZag Codes 25Feb25.xlsx")</f>
        <v>Imported from file DigiZag Codes 25Feb25.xlsx</v>
      </c>
      <c r="F498" s="2" t="str">
        <f>IFERROR(__xludf.DUMMYFUNCTION("""COMPUTED_VALUE"""),"HPG503246")</f>
        <v>HPG503246</v>
      </c>
      <c r="G498" s="2" t="str">
        <f>IFERROR(__xludf.DUMMYFUNCTION("""COMPUTED_VALUE"""),"UAE")</f>
        <v>UAE</v>
      </c>
      <c r="H498" s="4">
        <f>IFERROR(__xludf.DUMMYFUNCTION("""COMPUTED_VALUE"""),826.55)</f>
        <v>826.55</v>
      </c>
      <c r="I498" s="3">
        <f>IFERROR(__xludf.DUMMYFUNCTION("""COMPUTED_VALUE"""),0.0)</f>
        <v>0</v>
      </c>
      <c r="J498" s="4">
        <f>IFERROR(__xludf.DUMMYFUNCTION("""COMPUTED_VALUE"""),82.65)</f>
        <v>82.65</v>
      </c>
      <c r="K498" s="2"/>
      <c r="L498" s="2" t="str">
        <f>IFERROR(__xludf.DUMMYFUNCTION("""COMPUTED_VALUE"""),"Processing")</f>
        <v>Processing</v>
      </c>
      <c r="M498" s="2" t="str">
        <f>IFERROR(__xludf.DUMMYFUNCTION("""COMPUTED_VALUE"""),"")</f>
        <v></v>
      </c>
      <c r="N498" s="2" t="str">
        <f>IFERROR(__xludf.DUMMYFUNCTION("""COMPUTED_VALUE"""),"Tamara: split in 3, interest-free")</f>
        <v>Tamara: split in 3, interest-free</v>
      </c>
      <c r="O498" s="4">
        <f>IFERROR(__xludf.DUMMYFUNCTION("""COMPUTED_VALUE"""),0.0)</f>
        <v>0</v>
      </c>
      <c r="P498" s="2">
        <f>IFERROR(__xludf.DUMMYFUNCTION("""COMPUTED_VALUE"""),28.0)</f>
        <v>28</v>
      </c>
      <c r="Q498" s="2">
        <f>IFERROR(__xludf.DUMMYFUNCTION("""COMPUTED_VALUE"""),5.0)</f>
        <v>5</v>
      </c>
      <c r="R498" s="2">
        <f>IFERROR(__xludf.DUMMYFUNCTION("""COMPUTED_VALUE"""),2025.0)</f>
        <v>2025</v>
      </c>
      <c r="S498" s="2" t="str">
        <f>IFERROR(__xludf.DUMMYFUNCTION("""COMPUTED_VALUE"""),"Digizag")</f>
        <v>Digizag</v>
      </c>
      <c r="T498" s="2" t="str">
        <f>IFERROR(__xludf.DUMMYFUNCTION("""COMPUTED_VALUE"""),"Digizag")</f>
        <v>Digizag</v>
      </c>
      <c r="U498" s="5">
        <f>IFERROR(__xludf.DUMMYFUNCTION("""COMPUTED_VALUE"""),225.06467017089997)</f>
        <v>225.0646702</v>
      </c>
      <c r="V498" s="2"/>
      <c r="W498" s="2"/>
      <c r="X498" s="2"/>
      <c r="Y498" s="2"/>
      <c r="Z498" s="2"/>
    </row>
    <row r="499">
      <c r="A499" s="6">
        <f>IFERROR(__xludf.DUMMYFUNCTION("""COMPUTED_VALUE"""),45805.97184027777)</f>
        <v>45805.97184</v>
      </c>
      <c r="B499" s="2" t="str">
        <f>IFERROR(__xludf.DUMMYFUNCTION("""COMPUTED_VALUE"""),"May")</f>
        <v>May</v>
      </c>
      <c r="C499" s="3">
        <f>IFERROR(__xludf.DUMMYFUNCTION("""COMPUTED_VALUE"""),411036.0)</f>
        <v>411036</v>
      </c>
      <c r="D499" s="2" t="str">
        <f>IFERROR(__xludf.DUMMYFUNCTION("""COMPUTED_VALUE"""),"MNN16")</f>
        <v>MNN16</v>
      </c>
      <c r="E499" s="2" t="str">
        <f>IFERROR(__xludf.DUMMYFUNCTION("""COMPUTED_VALUE"""),"Imported from file DigiZag Codes 25Feb25.xlsx")</f>
        <v>Imported from file DigiZag Codes 25Feb25.xlsx</v>
      </c>
      <c r="F499" s="2" t="str">
        <f>IFERROR(__xludf.DUMMYFUNCTION("""COMPUTED_VALUE"""),"RVR121264")</f>
        <v>RVR121264</v>
      </c>
      <c r="G499" s="2" t="str">
        <f>IFERROR(__xludf.DUMMYFUNCTION("""COMPUTED_VALUE"""),"UAE")</f>
        <v>UAE</v>
      </c>
      <c r="H499" s="4">
        <f>IFERROR(__xludf.DUMMYFUNCTION("""COMPUTED_VALUE"""),162.76)</f>
        <v>162.76</v>
      </c>
      <c r="I499" s="3">
        <f>IFERROR(__xludf.DUMMYFUNCTION("""COMPUTED_VALUE"""),0.0)</f>
        <v>0</v>
      </c>
      <c r="J499" s="4">
        <f>IFERROR(__xludf.DUMMYFUNCTION("""COMPUTED_VALUE"""),16.27)</f>
        <v>16.27</v>
      </c>
      <c r="K499" s="2"/>
      <c r="L499" s="2" t="str">
        <f>IFERROR(__xludf.DUMMYFUNCTION("""COMPUTED_VALUE"""),"Processing")</f>
        <v>Processing</v>
      </c>
      <c r="M499" s="2" t="str">
        <f>IFERROR(__xludf.DUMMYFUNCTION("""COMPUTED_VALUE"""),"")</f>
        <v></v>
      </c>
      <c r="N499" s="2" t="str">
        <f>IFERROR(__xludf.DUMMYFUNCTION("""COMPUTED_VALUE"""),"Credit, Debit , Apple Pay")</f>
        <v>Credit, Debit , Apple Pay</v>
      </c>
      <c r="O499" s="4">
        <f>IFERROR(__xludf.DUMMYFUNCTION("""COMPUTED_VALUE"""),0.0)</f>
        <v>0</v>
      </c>
      <c r="P499" s="2">
        <f>IFERROR(__xludf.DUMMYFUNCTION("""COMPUTED_VALUE"""),28.0)</f>
        <v>28</v>
      </c>
      <c r="Q499" s="2">
        <f>IFERROR(__xludf.DUMMYFUNCTION("""COMPUTED_VALUE"""),5.0)</f>
        <v>5</v>
      </c>
      <c r="R499" s="2">
        <f>IFERROR(__xludf.DUMMYFUNCTION("""COMPUTED_VALUE"""),2025.0)</f>
        <v>2025</v>
      </c>
      <c r="S499" s="2" t="str">
        <f>IFERROR(__xludf.DUMMYFUNCTION("""COMPUTED_VALUE"""),"Digizag")</f>
        <v>Digizag</v>
      </c>
      <c r="T499" s="2" t="str">
        <f>IFERROR(__xludf.DUMMYFUNCTION("""COMPUTED_VALUE"""),"Digizag")</f>
        <v>Digizag</v>
      </c>
      <c r="U499" s="5">
        <f>IFERROR(__xludf.DUMMYFUNCTION("""COMPUTED_VALUE"""),44.31858413528)</f>
        <v>44.31858414</v>
      </c>
      <c r="V499" s="2"/>
      <c r="W499" s="2"/>
      <c r="X499" s="2"/>
      <c r="Y499" s="2"/>
      <c r="Z499" s="2"/>
    </row>
    <row r="500">
      <c r="A500" s="6">
        <f>IFERROR(__xludf.DUMMYFUNCTION("""COMPUTED_VALUE"""),45806.32552083333)</f>
        <v>45806.32552</v>
      </c>
      <c r="B500" s="2" t="str">
        <f>IFERROR(__xludf.DUMMYFUNCTION("""COMPUTED_VALUE"""),"May")</f>
        <v>May</v>
      </c>
      <c r="C500" s="3">
        <f>IFERROR(__xludf.DUMMYFUNCTION("""COMPUTED_VALUE"""),591014.0)</f>
        <v>591014</v>
      </c>
      <c r="D500" s="2" t="str">
        <f>IFERROR(__xludf.DUMMYFUNCTION("""COMPUTED_VALUE"""),"DB1")</f>
        <v>DB1</v>
      </c>
      <c r="E500" s="2" t="str">
        <f>IFERROR(__xludf.DUMMYFUNCTION("""COMPUTED_VALUE"""),"Imported from file Digizag.xlsx")</f>
        <v>Imported from file Digizag.xlsx</v>
      </c>
      <c r="F500" s="2" t="str">
        <f>IFERROR(__xludf.DUMMYFUNCTION("""COMPUTED_VALUE"""),"XWV380112")</f>
        <v>XWV380112</v>
      </c>
      <c r="G500" s="2" t="str">
        <f>IFERROR(__xludf.DUMMYFUNCTION("""COMPUTED_VALUE"""),"Kuwait")</f>
        <v>Kuwait</v>
      </c>
      <c r="H500" s="4">
        <f>IFERROR(__xludf.DUMMYFUNCTION("""COMPUTED_VALUE"""),56.2)</f>
        <v>56.2</v>
      </c>
      <c r="I500" s="3">
        <f>IFERROR(__xludf.DUMMYFUNCTION("""COMPUTED_VALUE"""),0.0)</f>
        <v>0</v>
      </c>
      <c r="J500" s="4">
        <f>IFERROR(__xludf.DUMMYFUNCTION("""COMPUTED_VALUE"""),5.62)</f>
        <v>5.62</v>
      </c>
      <c r="K500" s="2"/>
      <c r="L500" s="2" t="str">
        <f>IFERROR(__xludf.DUMMYFUNCTION("""COMPUTED_VALUE"""),"Delivered")</f>
        <v>Delivered</v>
      </c>
      <c r="M500" s="2" t="str">
        <f>IFERROR(__xludf.DUMMYFUNCTION("""COMPUTED_VALUE"""),"KD")</f>
        <v>KD</v>
      </c>
      <c r="N500" s="2" t="str">
        <f>IFERROR(__xludf.DUMMYFUNCTION("""COMPUTED_VALUE"""),"Credit, Debit, Knet")</f>
        <v>Credit, Debit, Knet</v>
      </c>
      <c r="O500" s="4">
        <f>IFERROR(__xludf.DUMMYFUNCTION("""COMPUTED_VALUE"""),0.0)</f>
        <v>0</v>
      </c>
      <c r="P500" s="2">
        <f>IFERROR(__xludf.DUMMYFUNCTION("""COMPUTED_VALUE"""),29.0)</f>
        <v>29</v>
      </c>
      <c r="Q500" s="2">
        <f>IFERROR(__xludf.DUMMYFUNCTION("""COMPUTED_VALUE"""),5.0)</f>
        <v>5</v>
      </c>
      <c r="R500" s="2">
        <f>IFERROR(__xludf.DUMMYFUNCTION("""COMPUTED_VALUE"""),2025.0)</f>
        <v>2025</v>
      </c>
      <c r="S500" s="2" t="str">
        <f>IFERROR(__xludf.DUMMYFUNCTION("""COMPUTED_VALUE"""),"Digizag")</f>
        <v>Digizag</v>
      </c>
      <c r="T500" s="2" t="str">
        <f>IFERROR(__xludf.DUMMYFUNCTION("""COMPUTED_VALUE"""),"Digizag")</f>
        <v>Digizag</v>
      </c>
      <c r="U500" s="5">
        <f>IFERROR(__xludf.DUMMYFUNCTION("""COMPUTED_VALUE"""),183.246844)</f>
        <v>183.246844</v>
      </c>
      <c r="V500" s="2"/>
      <c r="W500" s="2"/>
      <c r="X500" s="2"/>
      <c r="Y500" s="2"/>
      <c r="Z500" s="2"/>
    </row>
    <row r="501">
      <c r="A501" s="6">
        <f>IFERROR(__xludf.DUMMYFUNCTION("""COMPUTED_VALUE"""),45806.40793981481)</f>
        <v>45806.40794</v>
      </c>
      <c r="B501" s="2" t="str">
        <f>IFERROR(__xludf.DUMMYFUNCTION("""COMPUTED_VALUE"""),"May")</f>
        <v>May</v>
      </c>
      <c r="C501" s="3">
        <f>IFERROR(__xludf.DUMMYFUNCTION("""COMPUTED_VALUE"""),747421.0)</f>
        <v>747421</v>
      </c>
      <c r="D501" s="2" t="str">
        <f>IFERROR(__xludf.DUMMYFUNCTION("""COMPUTED_VALUE"""),"DB1")</f>
        <v>DB1</v>
      </c>
      <c r="E501" s="2" t="str">
        <f>IFERROR(__xludf.DUMMYFUNCTION("""COMPUTED_VALUE"""),"Imported from file Digizag.xlsx")</f>
        <v>Imported from file Digizag.xlsx</v>
      </c>
      <c r="F501" s="2" t="str">
        <f>IFERROR(__xludf.DUMMYFUNCTION("""COMPUTED_VALUE"""),"HDA545318")</f>
        <v>HDA545318</v>
      </c>
      <c r="G501" s="2" t="str">
        <f>IFERROR(__xludf.DUMMYFUNCTION("""COMPUTED_VALUE"""),"UAE")</f>
        <v>UAE</v>
      </c>
      <c r="H501" s="4">
        <f>IFERROR(__xludf.DUMMYFUNCTION("""COMPUTED_VALUE"""),217.0)</f>
        <v>217</v>
      </c>
      <c r="I501" s="3">
        <f>IFERROR(__xludf.DUMMYFUNCTION("""COMPUTED_VALUE"""),0.0)</f>
        <v>0</v>
      </c>
      <c r="J501" s="4">
        <f>IFERROR(__xludf.DUMMYFUNCTION("""COMPUTED_VALUE"""),21.7)</f>
        <v>21.7</v>
      </c>
      <c r="K501" s="2"/>
      <c r="L501" s="2" t="str">
        <f>IFERROR(__xludf.DUMMYFUNCTION("""COMPUTED_VALUE"""),"Delivered")</f>
        <v>Delivered</v>
      </c>
      <c r="M501" s="2" t="str">
        <f>IFERROR(__xludf.DUMMYFUNCTION("""COMPUTED_VALUE"""),"")</f>
        <v></v>
      </c>
      <c r="N501" s="2" t="str">
        <f>IFERROR(__xludf.DUMMYFUNCTION("""COMPUTED_VALUE"""),"Credit, Debit , Apple Pay")</f>
        <v>Credit, Debit , Apple Pay</v>
      </c>
      <c r="O501" s="4">
        <f>IFERROR(__xludf.DUMMYFUNCTION("""COMPUTED_VALUE"""),0.0)</f>
        <v>0</v>
      </c>
      <c r="P501" s="2">
        <f>IFERROR(__xludf.DUMMYFUNCTION("""COMPUTED_VALUE"""),29.0)</f>
        <v>29</v>
      </c>
      <c r="Q501" s="2">
        <f>IFERROR(__xludf.DUMMYFUNCTION("""COMPUTED_VALUE"""),5.0)</f>
        <v>5</v>
      </c>
      <c r="R501" s="2">
        <f>IFERROR(__xludf.DUMMYFUNCTION("""COMPUTED_VALUE"""),2025.0)</f>
        <v>2025</v>
      </c>
      <c r="S501" s="2" t="str">
        <f>IFERROR(__xludf.DUMMYFUNCTION("""COMPUTED_VALUE"""),"Digizag")</f>
        <v>Digizag</v>
      </c>
      <c r="T501" s="2" t="str">
        <f>IFERROR(__xludf.DUMMYFUNCTION("""COMPUTED_VALUE"""),"Digizag")</f>
        <v>Digizag</v>
      </c>
      <c r="U501" s="5">
        <f>IFERROR(__xludf.DUMMYFUNCTION("""COMPUTED_VALUE"""),59.087814926)</f>
        <v>59.08781493</v>
      </c>
      <c r="V501" s="2"/>
      <c r="W501" s="2"/>
      <c r="X501" s="2"/>
      <c r="Y501" s="2"/>
      <c r="Z501" s="2"/>
    </row>
    <row r="502">
      <c r="A502" s="6">
        <f>IFERROR(__xludf.DUMMYFUNCTION("""COMPUTED_VALUE"""),45806.45170138888)</f>
        <v>45806.4517</v>
      </c>
      <c r="B502" s="2" t="str">
        <f>IFERROR(__xludf.DUMMYFUNCTION("""COMPUTED_VALUE"""),"May")</f>
        <v>May</v>
      </c>
      <c r="C502" s="3">
        <f>IFERROR(__xludf.DUMMYFUNCTION("""COMPUTED_VALUE"""),639941.0)</f>
        <v>639941</v>
      </c>
      <c r="D502" s="2" t="str">
        <f>IFERROR(__xludf.DUMMYFUNCTION("""COMPUTED_VALUE"""),"ZM22")</f>
        <v>ZM22</v>
      </c>
      <c r="E502" s="2" t="str">
        <f>IFERROR(__xludf.DUMMYFUNCTION("""COMPUTED_VALUE"""),"Imported from file Digizag.xlsx")</f>
        <v>Imported from file Digizag.xlsx</v>
      </c>
      <c r="F502" s="2" t="str">
        <f>IFERROR(__xludf.DUMMYFUNCTION("""COMPUTED_VALUE"""),"BYY641469")</f>
        <v>BYY641469</v>
      </c>
      <c r="G502" s="2" t="str">
        <f>IFERROR(__xludf.DUMMYFUNCTION("""COMPUTED_VALUE"""),"UAE")</f>
        <v>UAE</v>
      </c>
      <c r="H502" s="4">
        <f>IFERROR(__xludf.DUMMYFUNCTION("""COMPUTED_VALUE"""),75.0)</f>
        <v>75</v>
      </c>
      <c r="I502" s="3">
        <f>IFERROR(__xludf.DUMMYFUNCTION("""COMPUTED_VALUE"""),0.0)</f>
        <v>0</v>
      </c>
      <c r="J502" s="4">
        <f>IFERROR(__xludf.DUMMYFUNCTION("""COMPUTED_VALUE"""),7.5)</f>
        <v>7.5</v>
      </c>
      <c r="K502" s="2"/>
      <c r="L502" s="2" t="str">
        <f>IFERROR(__xludf.DUMMYFUNCTION("""COMPUTED_VALUE"""),"Processing")</f>
        <v>Processing</v>
      </c>
      <c r="M502" s="2" t="str">
        <f>IFERROR(__xludf.DUMMYFUNCTION("""COMPUTED_VALUE"""),"")</f>
        <v></v>
      </c>
      <c r="N502" s="2" t="str">
        <f>IFERROR(__xludf.DUMMYFUNCTION("""COMPUTED_VALUE"""),"Credit, Debit , Apple Pay")</f>
        <v>Credit, Debit , Apple Pay</v>
      </c>
      <c r="O502" s="4">
        <f>IFERROR(__xludf.DUMMYFUNCTION("""COMPUTED_VALUE"""),0.0)</f>
        <v>0</v>
      </c>
      <c r="P502" s="2">
        <f>IFERROR(__xludf.DUMMYFUNCTION("""COMPUTED_VALUE"""),29.0)</f>
        <v>29</v>
      </c>
      <c r="Q502" s="2">
        <f>IFERROR(__xludf.DUMMYFUNCTION("""COMPUTED_VALUE"""),5.0)</f>
        <v>5</v>
      </c>
      <c r="R502" s="2">
        <f>IFERROR(__xludf.DUMMYFUNCTION("""COMPUTED_VALUE"""),2025.0)</f>
        <v>2025</v>
      </c>
      <c r="S502" s="2" t="str">
        <f>IFERROR(__xludf.DUMMYFUNCTION("""COMPUTED_VALUE"""),"Digizag")</f>
        <v>Digizag</v>
      </c>
      <c r="T502" s="2" t="str">
        <f>IFERROR(__xludf.DUMMYFUNCTION("""COMPUTED_VALUE"""),"Digizag")</f>
        <v>Digizag</v>
      </c>
      <c r="U502" s="5">
        <f>IFERROR(__xludf.DUMMYFUNCTION("""COMPUTED_VALUE"""),20.42205585)</f>
        <v>20.42205585</v>
      </c>
      <c r="V502" s="2"/>
      <c r="W502" s="2"/>
      <c r="X502" s="2"/>
      <c r="Y502" s="2"/>
      <c r="Z502" s="2"/>
    </row>
    <row r="503">
      <c r="A503" s="6">
        <f>IFERROR(__xludf.DUMMYFUNCTION("""COMPUTED_VALUE"""),45806.46142361111)</f>
        <v>45806.46142</v>
      </c>
      <c r="B503" s="2" t="str">
        <f>IFERROR(__xludf.DUMMYFUNCTION("""COMPUTED_VALUE"""),"May")</f>
        <v>May</v>
      </c>
      <c r="C503" s="3">
        <f>IFERROR(__xludf.DUMMYFUNCTION("""COMPUTED_VALUE"""),454066.0)</f>
        <v>454066</v>
      </c>
      <c r="D503" s="2" t="str">
        <f>IFERROR(__xludf.DUMMYFUNCTION("""COMPUTED_VALUE"""),"MNN16")</f>
        <v>MNN16</v>
      </c>
      <c r="E503" s="2" t="str">
        <f>IFERROR(__xludf.DUMMYFUNCTION("""COMPUTED_VALUE"""),"Imported from file DigiZag Bidding Codes.xlsx")</f>
        <v>Imported from file DigiZag Bidding Codes.xlsx</v>
      </c>
      <c r="F503" s="2" t="str">
        <f>IFERROR(__xludf.DUMMYFUNCTION("""COMPUTED_VALUE"""),"NAW604516")</f>
        <v>NAW604516</v>
      </c>
      <c r="G503" s="2" t="str">
        <f>IFERROR(__xludf.DUMMYFUNCTION("""COMPUTED_VALUE"""),"Kingdom of Saudi Arabia")</f>
        <v>Kingdom of Saudi Arabia</v>
      </c>
      <c r="H503" s="4">
        <f>IFERROR(__xludf.DUMMYFUNCTION("""COMPUTED_VALUE"""),206.8)</f>
        <v>206.8</v>
      </c>
      <c r="I503" s="3">
        <f>IFERROR(__xludf.DUMMYFUNCTION("""COMPUTED_VALUE"""),0.0)</f>
        <v>0</v>
      </c>
      <c r="J503" s="4">
        <f>IFERROR(__xludf.DUMMYFUNCTION("""COMPUTED_VALUE"""),30.0)</f>
        <v>30</v>
      </c>
      <c r="K503" s="2"/>
      <c r="L503" s="2" t="str">
        <f>IFERROR(__xludf.DUMMYFUNCTION("""COMPUTED_VALUE"""),"Processing")</f>
        <v>Processing</v>
      </c>
      <c r="M503" s="2" t="str">
        <f>IFERROR(__xludf.DUMMYFUNCTION("""COMPUTED_VALUE"""),"")</f>
        <v></v>
      </c>
      <c r="N503" s="2" t="str">
        <f>IFERROR(__xludf.DUMMYFUNCTION("""COMPUTED_VALUE"""),"Pay in 4. No interest, no fees")</f>
        <v>Pay in 4. No interest, no fees</v>
      </c>
      <c r="O503" s="4">
        <f>IFERROR(__xludf.DUMMYFUNCTION("""COMPUTED_VALUE"""),0.0)</f>
        <v>0</v>
      </c>
      <c r="P503" s="2">
        <f>IFERROR(__xludf.DUMMYFUNCTION("""COMPUTED_VALUE"""),29.0)</f>
        <v>29</v>
      </c>
      <c r="Q503" s="2">
        <f>IFERROR(__xludf.DUMMYFUNCTION("""COMPUTED_VALUE"""),5.0)</f>
        <v>5</v>
      </c>
      <c r="R503" s="2">
        <f>IFERROR(__xludf.DUMMYFUNCTION("""COMPUTED_VALUE"""),2025.0)</f>
        <v>2025</v>
      </c>
      <c r="S503" s="2" t="str">
        <f>IFERROR(__xludf.DUMMYFUNCTION("""COMPUTED_VALUE"""),"Digizag")</f>
        <v>Digizag</v>
      </c>
      <c r="T503" s="2" t="str">
        <f>IFERROR(__xludf.DUMMYFUNCTION("""COMPUTED_VALUE"""),"Digizag")</f>
        <v>Digizag</v>
      </c>
      <c r="U503" s="5">
        <f>IFERROR(__xludf.DUMMYFUNCTION("""COMPUTED_VALUE"""),55.14240231280001)</f>
        <v>55.14240231</v>
      </c>
      <c r="V503" s="2"/>
      <c r="W503" s="2"/>
      <c r="X503" s="2"/>
      <c r="Y503" s="2"/>
      <c r="Z503" s="2"/>
    </row>
    <row r="504">
      <c r="A504" s="6">
        <f>IFERROR(__xludf.DUMMYFUNCTION("""COMPUTED_VALUE"""),45806.46241898148)</f>
        <v>45806.46242</v>
      </c>
      <c r="B504" s="2" t="str">
        <f>IFERROR(__xludf.DUMMYFUNCTION("""COMPUTED_VALUE"""),"May")</f>
        <v>May</v>
      </c>
      <c r="C504" s="3">
        <f>IFERROR(__xludf.DUMMYFUNCTION("""COMPUTED_VALUE"""),338292.0)</f>
        <v>338292</v>
      </c>
      <c r="D504" s="2" t="str">
        <f>IFERROR(__xludf.DUMMYFUNCTION("""COMPUTED_VALUE"""),"DB12")</f>
        <v>DB12</v>
      </c>
      <c r="E504" s="2" t="str">
        <f>IFERROR(__xludf.DUMMYFUNCTION("""COMPUTED_VALUE"""),"Imported from file Digizag.xlsx")</f>
        <v>Imported from file Digizag.xlsx</v>
      </c>
      <c r="F504" s="2" t="str">
        <f>IFERROR(__xludf.DUMMYFUNCTION("""COMPUTED_VALUE"""),"ZCH552186")</f>
        <v>ZCH552186</v>
      </c>
      <c r="G504" s="2" t="str">
        <f>IFERROR(__xludf.DUMMYFUNCTION("""COMPUTED_VALUE"""),"Kuwait")</f>
        <v>Kuwait</v>
      </c>
      <c r="H504" s="4">
        <f>IFERROR(__xludf.DUMMYFUNCTION("""COMPUTED_VALUE"""),26.31)</f>
        <v>26.31</v>
      </c>
      <c r="I504" s="3">
        <f>IFERROR(__xludf.DUMMYFUNCTION("""COMPUTED_VALUE"""),0.0)</f>
        <v>0</v>
      </c>
      <c r="J504" s="4">
        <f>IFERROR(__xludf.DUMMYFUNCTION("""COMPUTED_VALUE"""),2.631)</f>
        <v>2.631</v>
      </c>
      <c r="K504" s="2"/>
      <c r="L504" s="2" t="str">
        <f>IFERROR(__xludf.DUMMYFUNCTION("""COMPUTED_VALUE"""),"Delivered")</f>
        <v>Delivered</v>
      </c>
      <c r="M504" s="2" t="str">
        <f>IFERROR(__xludf.DUMMYFUNCTION("""COMPUTED_VALUE"""),"KD")</f>
        <v>KD</v>
      </c>
      <c r="N504" s="2" t="str">
        <f>IFERROR(__xludf.DUMMYFUNCTION("""COMPUTED_VALUE"""),"Credit, Debit, Knet")</f>
        <v>Credit, Debit, Knet</v>
      </c>
      <c r="O504" s="4">
        <f>IFERROR(__xludf.DUMMYFUNCTION("""COMPUTED_VALUE"""),0.0)</f>
        <v>0</v>
      </c>
      <c r="P504" s="2">
        <f>IFERROR(__xludf.DUMMYFUNCTION("""COMPUTED_VALUE"""),29.0)</f>
        <v>29</v>
      </c>
      <c r="Q504" s="2">
        <f>IFERROR(__xludf.DUMMYFUNCTION("""COMPUTED_VALUE"""),5.0)</f>
        <v>5</v>
      </c>
      <c r="R504" s="2">
        <f>IFERROR(__xludf.DUMMYFUNCTION("""COMPUTED_VALUE"""),2025.0)</f>
        <v>2025</v>
      </c>
      <c r="S504" s="2" t="str">
        <f>IFERROR(__xludf.DUMMYFUNCTION("""COMPUTED_VALUE"""),"Digizag")</f>
        <v>Digizag</v>
      </c>
      <c r="T504" s="2" t="str">
        <f>IFERROR(__xludf.DUMMYFUNCTION("""COMPUTED_VALUE"""),"Digizag")</f>
        <v>Digizag</v>
      </c>
      <c r="U504" s="5">
        <f>IFERROR(__xludf.DUMMYFUNCTION("""COMPUTED_VALUE"""),85.78691219999999)</f>
        <v>85.7869122</v>
      </c>
      <c r="V504" s="2"/>
      <c r="W504" s="2"/>
      <c r="X504" s="2"/>
      <c r="Y504" s="2"/>
      <c r="Z504" s="2"/>
    </row>
    <row r="505">
      <c r="A505" s="6">
        <f>IFERROR(__xludf.DUMMYFUNCTION("""COMPUTED_VALUE"""),45806.602951388886)</f>
        <v>45806.60295</v>
      </c>
      <c r="B505" s="2" t="str">
        <f>IFERROR(__xludf.DUMMYFUNCTION("""COMPUTED_VALUE"""),"May")</f>
        <v>May</v>
      </c>
      <c r="C505" s="3">
        <f>IFERROR(__xludf.DUMMYFUNCTION("""COMPUTED_VALUE"""),748008.0)</f>
        <v>748008</v>
      </c>
      <c r="D505" s="2" t="str">
        <f>IFERROR(__xludf.DUMMYFUNCTION("""COMPUTED_VALUE"""),"ZM22")</f>
        <v>ZM22</v>
      </c>
      <c r="E505" s="2" t="str">
        <f>IFERROR(__xludf.DUMMYFUNCTION("""COMPUTED_VALUE"""),"Imported from file Digizag.xlsx")</f>
        <v>Imported from file Digizag.xlsx</v>
      </c>
      <c r="F505" s="2" t="str">
        <f>IFERROR(__xludf.DUMMYFUNCTION("""COMPUTED_VALUE"""),"WUB905619")</f>
        <v>WUB905619</v>
      </c>
      <c r="G505" s="2" t="str">
        <f>IFERROR(__xludf.DUMMYFUNCTION("""COMPUTED_VALUE"""),"UAE")</f>
        <v>UAE</v>
      </c>
      <c r="H505" s="4">
        <f>IFERROR(__xludf.DUMMYFUNCTION("""COMPUTED_VALUE"""),205.0)</f>
        <v>205</v>
      </c>
      <c r="I505" s="3">
        <f>IFERROR(__xludf.DUMMYFUNCTION("""COMPUTED_VALUE"""),0.0)</f>
        <v>0</v>
      </c>
      <c r="J505" s="4">
        <f>IFERROR(__xludf.DUMMYFUNCTION("""COMPUTED_VALUE"""),20.5)</f>
        <v>20.5</v>
      </c>
      <c r="K505" s="2"/>
      <c r="L505" s="2" t="str">
        <f>IFERROR(__xludf.DUMMYFUNCTION("""COMPUTED_VALUE"""),"Processing")</f>
        <v>Processing</v>
      </c>
      <c r="M505" s="2" t="str">
        <f>IFERROR(__xludf.DUMMYFUNCTION("""COMPUTED_VALUE"""),"")</f>
        <v></v>
      </c>
      <c r="N505" s="2" t="str">
        <f>IFERROR(__xludf.DUMMYFUNCTION("""COMPUTED_VALUE"""),"Credit, Debit , Apple Pay")</f>
        <v>Credit, Debit , Apple Pay</v>
      </c>
      <c r="O505" s="4">
        <f>IFERROR(__xludf.DUMMYFUNCTION("""COMPUTED_VALUE"""),0.0)</f>
        <v>0</v>
      </c>
      <c r="P505" s="2">
        <f>IFERROR(__xludf.DUMMYFUNCTION("""COMPUTED_VALUE"""),29.0)</f>
        <v>29</v>
      </c>
      <c r="Q505" s="2">
        <f>IFERROR(__xludf.DUMMYFUNCTION("""COMPUTED_VALUE"""),5.0)</f>
        <v>5</v>
      </c>
      <c r="R505" s="2">
        <f>IFERROR(__xludf.DUMMYFUNCTION("""COMPUTED_VALUE"""),2025.0)</f>
        <v>2025</v>
      </c>
      <c r="S505" s="2" t="str">
        <f>IFERROR(__xludf.DUMMYFUNCTION("""COMPUTED_VALUE"""),"Digizag")</f>
        <v>Digizag</v>
      </c>
      <c r="T505" s="2" t="str">
        <f>IFERROR(__xludf.DUMMYFUNCTION("""COMPUTED_VALUE"""),"Digizag")</f>
        <v>Digizag</v>
      </c>
      <c r="U505" s="5">
        <f>IFERROR(__xludf.DUMMYFUNCTION("""COMPUTED_VALUE"""),55.82028599)</f>
        <v>55.82028599</v>
      </c>
      <c r="V505" s="2"/>
      <c r="W505" s="2"/>
      <c r="X505" s="2"/>
      <c r="Y505" s="2"/>
      <c r="Z505" s="2"/>
    </row>
    <row r="506">
      <c r="A506" s="6">
        <f>IFERROR(__xludf.DUMMYFUNCTION("""COMPUTED_VALUE"""),45806.81969907407)</f>
        <v>45806.8197</v>
      </c>
      <c r="B506" s="2" t="str">
        <f>IFERROR(__xludf.DUMMYFUNCTION("""COMPUTED_VALUE"""),"May")</f>
        <v>May</v>
      </c>
      <c r="C506" s="3">
        <f>IFERROR(__xludf.DUMMYFUNCTION("""COMPUTED_VALUE"""),579658.0)</f>
        <v>579658</v>
      </c>
      <c r="D506" s="2" t="str">
        <f>IFERROR(__xludf.DUMMYFUNCTION("""COMPUTED_VALUE"""),"DB1")</f>
        <v>DB1</v>
      </c>
      <c r="E506" s="2" t="str">
        <f>IFERROR(__xludf.DUMMYFUNCTION("""COMPUTED_VALUE"""),"Imported from file Digizag.xlsx")</f>
        <v>Imported from file Digizag.xlsx</v>
      </c>
      <c r="F506" s="2" t="str">
        <f>IFERROR(__xludf.DUMMYFUNCTION("""COMPUTED_VALUE"""),"NEC929868")</f>
        <v>NEC929868</v>
      </c>
      <c r="G506" s="2" t="str">
        <f>IFERROR(__xludf.DUMMYFUNCTION("""COMPUTED_VALUE"""),"Kuwait")</f>
        <v>Kuwait</v>
      </c>
      <c r="H506" s="4">
        <f>IFERROR(__xludf.DUMMYFUNCTION("""COMPUTED_VALUE"""),6.7)</f>
        <v>6.7</v>
      </c>
      <c r="I506" s="3">
        <f>IFERROR(__xludf.DUMMYFUNCTION("""COMPUTED_VALUE"""),0.0)</f>
        <v>0</v>
      </c>
      <c r="J506" s="4">
        <f>IFERROR(__xludf.DUMMYFUNCTION("""COMPUTED_VALUE"""),0.67)</f>
        <v>0.67</v>
      </c>
      <c r="K506" s="2"/>
      <c r="L506" s="2" t="str">
        <f>IFERROR(__xludf.DUMMYFUNCTION("""COMPUTED_VALUE"""),"Processing")</f>
        <v>Processing</v>
      </c>
      <c r="M506" s="2" t="str">
        <f>IFERROR(__xludf.DUMMYFUNCTION("""COMPUTED_VALUE"""),"KD")</f>
        <v>KD</v>
      </c>
      <c r="N506" s="2" t="str">
        <f>IFERROR(__xludf.DUMMYFUNCTION("""COMPUTED_VALUE"""),"Credit, Debit, Knet")</f>
        <v>Credit, Debit, Knet</v>
      </c>
      <c r="O506" s="4">
        <f>IFERROR(__xludf.DUMMYFUNCTION("""COMPUTED_VALUE"""),0.0)</f>
        <v>0</v>
      </c>
      <c r="P506" s="2">
        <f>IFERROR(__xludf.DUMMYFUNCTION("""COMPUTED_VALUE"""),29.0)</f>
        <v>29</v>
      </c>
      <c r="Q506" s="2">
        <f>IFERROR(__xludf.DUMMYFUNCTION("""COMPUTED_VALUE"""),5.0)</f>
        <v>5</v>
      </c>
      <c r="R506" s="2">
        <f>IFERROR(__xludf.DUMMYFUNCTION("""COMPUTED_VALUE"""),2025.0)</f>
        <v>2025</v>
      </c>
      <c r="S506" s="2" t="str">
        <f>IFERROR(__xludf.DUMMYFUNCTION("""COMPUTED_VALUE"""),"Digizag")</f>
        <v>Digizag</v>
      </c>
      <c r="T506" s="2" t="str">
        <f>IFERROR(__xludf.DUMMYFUNCTION("""COMPUTED_VALUE"""),"Digizag")</f>
        <v>Digizag</v>
      </c>
      <c r="U506" s="5">
        <f>IFERROR(__xludf.DUMMYFUNCTION("""COMPUTED_VALUE"""),21.846154)</f>
        <v>21.846154</v>
      </c>
      <c r="V506" s="2"/>
      <c r="W506" s="2"/>
      <c r="X506" s="2"/>
      <c r="Y506" s="2"/>
      <c r="Z506" s="2"/>
    </row>
    <row r="507">
      <c r="A507" s="6">
        <f>IFERROR(__xludf.DUMMYFUNCTION("""COMPUTED_VALUE"""),45806.82347222222)</f>
        <v>45806.82347</v>
      </c>
      <c r="B507" s="2" t="str">
        <f>IFERROR(__xludf.DUMMYFUNCTION("""COMPUTED_VALUE"""),"May")</f>
        <v>May</v>
      </c>
      <c r="C507" s="3">
        <f>IFERROR(__xludf.DUMMYFUNCTION("""COMPUTED_VALUE"""),703601.0)</f>
        <v>703601</v>
      </c>
      <c r="D507" s="2" t="str">
        <f>IFERROR(__xludf.DUMMYFUNCTION("""COMPUTED_VALUE"""),"ZM22")</f>
        <v>ZM22</v>
      </c>
      <c r="E507" s="2" t="str">
        <f>IFERROR(__xludf.DUMMYFUNCTION("""COMPUTED_VALUE"""),"Imported from file Digizag.xlsx")</f>
        <v>Imported from file Digizag.xlsx</v>
      </c>
      <c r="F507" s="2" t="str">
        <f>IFERROR(__xludf.DUMMYFUNCTION("""COMPUTED_VALUE"""),"NGL389458")</f>
        <v>NGL389458</v>
      </c>
      <c r="G507" s="2" t="str">
        <f>IFERROR(__xludf.DUMMYFUNCTION("""COMPUTED_VALUE"""),"Kingdom of Saudi Arabia")</f>
        <v>Kingdom of Saudi Arabia</v>
      </c>
      <c r="H507" s="4">
        <f>IFERROR(__xludf.DUMMYFUNCTION("""COMPUTED_VALUE"""),42.86)</f>
        <v>42.86</v>
      </c>
      <c r="I507" s="3">
        <f>IFERROR(__xludf.DUMMYFUNCTION("""COMPUTED_VALUE"""),0.0)</f>
        <v>0</v>
      </c>
      <c r="J507" s="4">
        <f>IFERROR(__xludf.DUMMYFUNCTION("""COMPUTED_VALUE"""),21.43)</f>
        <v>21.43</v>
      </c>
      <c r="K507" s="2"/>
      <c r="L507" s="2" t="str">
        <f>IFERROR(__xludf.DUMMYFUNCTION("""COMPUTED_VALUE"""),"Processing")</f>
        <v>Processing</v>
      </c>
      <c r="M507" s="2" t="str">
        <f>IFERROR(__xludf.DUMMYFUNCTION("""COMPUTED_VALUE"""),"")</f>
        <v></v>
      </c>
      <c r="N507" s="2" t="str">
        <f>IFERROR(__xludf.DUMMYFUNCTION("""COMPUTED_VALUE"""),"Credit, Debit, Apple Pay")</f>
        <v>Credit, Debit, Apple Pay</v>
      </c>
      <c r="O507" s="4">
        <f>IFERROR(__xludf.DUMMYFUNCTION("""COMPUTED_VALUE"""),0.0)</f>
        <v>0</v>
      </c>
      <c r="P507" s="2">
        <f>IFERROR(__xludf.DUMMYFUNCTION("""COMPUTED_VALUE"""),29.0)</f>
        <v>29</v>
      </c>
      <c r="Q507" s="2">
        <f>IFERROR(__xludf.DUMMYFUNCTION("""COMPUTED_VALUE"""),5.0)</f>
        <v>5</v>
      </c>
      <c r="R507" s="2">
        <f>IFERROR(__xludf.DUMMYFUNCTION("""COMPUTED_VALUE"""),2025.0)</f>
        <v>2025</v>
      </c>
      <c r="S507" s="2" t="str">
        <f>IFERROR(__xludf.DUMMYFUNCTION("""COMPUTED_VALUE"""),"Digizag")</f>
        <v>Digizag</v>
      </c>
      <c r="T507" s="2" t="str">
        <f>IFERROR(__xludf.DUMMYFUNCTION("""COMPUTED_VALUE"""),"Digizag")</f>
        <v>Digizag</v>
      </c>
      <c r="U507" s="5">
        <f>IFERROR(__xludf.DUMMYFUNCTION("""COMPUTED_VALUE"""),11.42844953156)</f>
        <v>11.42844953</v>
      </c>
      <c r="V507" s="2"/>
      <c r="W507" s="2"/>
      <c r="X507" s="2"/>
      <c r="Y507" s="2"/>
      <c r="Z507" s="2"/>
    </row>
    <row r="508">
      <c r="A508" s="6">
        <f>IFERROR(__xludf.DUMMYFUNCTION("""COMPUTED_VALUE"""),45806.86033564815)</f>
        <v>45806.86034</v>
      </c>
      <c r="B508" s="2" t="str">
        <f>IFERROR(__xludf.DUMMYFUNCTION("""COMPUTED_VALUE"""),"May")</f>
        <v>May</v>
      </c>
      <c r="C508" s="3">
        <f>IFERROR(__xludf.DUMMYFUNCTION("""COMPUTED_VALUE"""),25706.0)</f>
        <v>25706</v>
      </c>
      <c r="D508" s="2" t="str">
        <f>IFERROR(__xludf.DUMMYFUNCTION("""COMPUTED_VALUE"""),"HABIBI")</f>
        <v>HABIBI</v>
      </c>
      <c r="E508" s="2" t="str">
        <f>IFERROR(__xludf.DUMMYFUNCTION("""COMPUTED_VALUE"""),"DigiZag")</f>
        <v>DigiZag</v>
      </c>
      <c r="F508" s="2" t="str">
        <f>IFERROR(__xludf.DUMMYFUNCTION("""COMPUTED_VALUE"""),"NWG877620")</f>
        <v>NWG877620</v>
      </c>
      <c r="G508" s="2" t="str">
        <f>IFERROR(__xludf.DUMMYFUNCTION("""COMPUTED_VALUE"""),"Kuwait")</f>
        <v>Kuwait</v>
      </c>
      <c r="H508" s="4">
        <f>IFERROR(__xludf.DUMMYFUNCTION("""COMPUTED_VALUE"""),18.5)</f>
        <v>18.5</v>
      </c>
      <c r="I508" s="3">
        <f>IFERROR(__xludf.DUMMYFUNCTION("""COMPUTED_VALUE"""),0.0)</f>
        <v>0</v>
      </c>
      <c r="J508" s="4">
        <f>IFERROR(__xludf.DUMMYFUNCTION("""COMPUTED_VALUE"""),1.85)</f>
        <v>1.85</v>
      </c>
      <c r="K508" s="2"/>
      <c r="L508" s="2" t="str">
        <f>IFERROR(__xludf.DUMMYFUNCTION("""COMPUTED_VALUE"""),"Processing")</f>
        <v>Processing</v>
      </c>
      <c r="M508" s="2" t="str">
        <f>IFERROR(__xludf.DUMMYFUNCTION("""COMPUTED_VALUE"""),"KD")</f>
        <v>KD</v>
      </c>
      <c r="N508" s="2" t="str">
        <f>IFERROR(__xludf.DUMMYFUNCTION("""COMPUTED_VALUE"""),"Credit, Debit, Knet")</f>
        <v>Credit, Debit, Knet</v>
      </c>
      <c r="O508" s="4">
        <f>IFERROR(__xludf.DUMMYFUNCTION("""COMPUTED_VALUE"""),0.0)</f>
        <v>0</v>
      </c>
      <c r="P508" s="2">
        <f>IFERROR(__xludf.DUMMYFUNCTION("""COMPUTED_VALUE"""),29.0)</f>
        <v>29</v>
      </c>
      <c r="Q508" s="2">
        <f>IFERROR(__xludf.DUMMYFUNCTION("""COMPUTED_VALUE"""),5.0)</f>
        <v>5</v>
      </c>
      <c r="R508" s="2">
        <f>IFERROR(__xludf.DUMMYFUNCTION("""COMPUTED_VALUE"""),2025.0)</f>
        <v>2025</v>
      </c>
      <c r="S508" s="2" t="str">
        <f>IFERROR(__xludf.DUMMYFUNCTION("""COMPUTED_VALUE"""),"Digizag")</f>
        <v>Digizag</v>
      </c>
      <c r="T508" s="2" t="str">
        <f>IFERROR(__xludf.DUMMYFUNCTION("""COMPUTED_VALUE"""),"Digizag")</f>
        <v>Digizag</v>
      </c>
      <c r="U508" s="5">
        <f>IFERROR(__xludf.DUMMYFUNCTION("""COMPUTED_VALUE"""),60.32147)</f>
        <v>60.32147</v>
      </c>
      <c r="V508" s="2"/>
      <c r="W508" s="2"/>
      <c r="X508" s="2"/>
      <c r="Y508" s="2"/>
      <c r="Z508" s="2"/>
    </row>
    <row r="509">
      <c r="A509" s="6">
        <f>IFERROR(__xludf.DUMMYFUNCTION("""COMPUTED_VALUE"""),45806.927569444444)</f>
        <v>45806.92757</v>
      </c>
      <c r="B509" s="2" t="str">
        <f>IFERROR(__xludf.DUMMYFUNCTION("""COMPUTED_VALUE"""),"May")</f>
        <v>May</v>
      </c>
      <c r="C509" s="3">
        <f>IFERROR(__xludf.DUMMYFUNCTION("""COMPUTED_VALUE"""),96194.0)</f>
        <v>96194</v>
      </c>
      <c r="D509" s="2" t="str">
        <f>IFERROR(__xludf.DUMMYFUNCTION("""COMPUTED_VALUE"""),"DB1")</f>
        <v>DB1</v>
      </c>
      <c r="E509" s="2" t="str">
        <f>IFERROR(__xludf.DUMMYFUNCTION("""COMPUTED_VALUE"""),"Imported from file Digizag.xlsx")</f>
        <v>Imported from file Digizag.xlsx</v>
      </c>
      <c r="F509" s="2" t="str">
        <f>IFERROR(__xludf.DUMMYFUNCTION("""COMPUTED_VALUE"""),"UQA242441")</f>
        <v>UQA242441</v>
      </c>
      <c r="G509" s="2" t="str">
        <f>IFERROR(__xludf.DUMMYFUNCTION("""COMPUTED_VALUE"""),"Kuwait")</f>
        <v>Kuwait</v>
      </c>
      <c r="H509" s="4">
        <f>IFERROR(__xludf.DUMMYFUNCTION("""COMPUTED_VALUE"""),10.2)</f>
        <v>10.2</v>
      </c>
      <c r="I509" s="3">
        <f>IFERROR(__xludf.DUMMYFUNCTION("""COMPUTED_VALUE"""),0.0)</f>
        <v>0</v>
      </c>
      <c r="J509" s="4">
        <f>IFERROR(__xludf.DUMMYFUNCTION("""COMPUTED_VALUE"""),1.02)</f>
        <v>1.02</v>
      </c>
      <c r="K509" s="2"/>
      <c r="L509" s="2" t="str">
        <f>IFERROR(__xludf.DUMMYFUNCTION("""COMPUTED_VALUE"""),"Processing")</f>
        <v>Processing</v>
      </c>
      <c r="M509" s="2" t="str">
        <f>IFERROR(__xludf.DUMMYFUNCTION("""COMPUTED_VALUE"""),"KD")</f>
        <v>KD</v>
      </c>
      <c r="N509" s="2" t="str">
        <f>IFERROR(__xludf.DUMMYFUNCTION("""COMPUTED_VALUE"""),"Credit, Debit, Knet")</f>
        <v>Credit, Debit, Knet</v>
      </c>
      <c r="O509" s="4">
        <f>IFERROR(__xludf.DUMMYFUNCTION("""COMPUTED_VALUE"""),0.0)</f>
        <v>0</v>
      </c>
      <c r="P509" s="2">
        <f>IFERROR(__xludf.DUMMYFUNCTION("""COMPUTED_VALUE"""),29.0)</f>
        <v>29</v>
      </c>
      <c r="Q509" s="2">
        <f>IFERROR(__xludf.DUMMYFUNCTION("""COMPUTED_VALUE"""),5.0)</f>
        <v>5</v>
      </c>
      <c r="R509" s="2">
        <f>IFERROR(__xludf.DUMMYFUNCTION("""COMPUTED_VALUE"""),2025.0)</f>
        <v>2025</v>
      </c>
      <c r="S509" s="2" t="str">
        <f>IFERROR(__xludf.DUMMYFUNCTION("""COMPUTED_VALUE"""),"Digizag")</f>
        <v>Digizag</v>
      </c>
      <c r="T509" s="2" t="str">
        <f>IFERROR(__xludf.DUMMYFUNCTION("""COMPUTED_VALUE"""),"Digizag")</f>
        <v>Digizag</v>
      </c>
      <c r="U509" s="5">
        <f>IFERROR(__xludf.DUMMYFUNCTION("""COMPUTED_VALUE"""),33.258323999999995)</f>
        <v>33.258324</v>
      </c>
      <c r="V509" s="2"/>
      <c r="W509" s="2"/>
      <c r="X509" s="2"/>
      <c r="Y509" s="2"/>
      <c r="Z509" s="2"/>
    </row>
    <row r="510">
      <c r="A510" s="6">
        <f>IFERROR(__xludf.DUMMYFUNCTION("""COMPUTED_VALUE"""),45806.96314814815)</f>
        <v>45806.96315</v>
      </c>
      <c r="B510" s="2" t="str">
        <f>IFERROR(__xludf.DUMMYFUNCTION("""COMPUTED_VALUE"""),"May")</f>
        <v>May</v>
      </c>
      <c r="C510" s="3">
        <f>IFERROR(__xludf.DUMMYFUNCTION("""COMPUTED_VALUE"""),170970.0)</f>
        <v>170970</v>
      </c>
      <c r="D510" s="2" t="str">
        <f>IFERROR(__xludf.DUMMYFUNCTION("""COMPUTED_VALUE"""),"RR22")</f>
        <v>RR22</v>
      </c>
      <c r="E510" s="2" t="str">
        <f>IFERROR(__xludf.DUMMYFUNCTION("""COMPUTED_VALUE"""),"Imported from file Digizag.xlsx")</f>
        <v>Imported from file Digizag.xlsx</v>
      </c>
      <c r="F510" s="2" t="str">
        <f>IFERROR(__xludf.DUMMYFUNCTION("""COMPUTED_VALUE"""),"XNX970441")</f>
        <v>XNX970441</v>
      </c>
      <c r="G510" s="2" t="str">
        <f>IFERROR(__xludf.DUMMYFUNCTION("""COMPUTED_VALUE"""),"UAE")</f>
        <v>UAE</v>
      </c>
      <c r="H510" s="4">
        <f>IFERROR(__xludf.DUMMYFUNCTION("""COMPUTED_VALUE"""),316.0)</f>
        <v>316</v>
      </c>
      <c r="I510" s="3">
        <f>IFERROR(__xludf.DUMMYFUNCTION("""COMPUTED_VALUE"""),0.0)</f>
        <v>0</v>
      </c>
      <c r="J510" s="4">
        <f>IFERROR(__xludf.DUMMYFUNCTION("""COMPUTED_VALUE"""),31.6)</f>
        <v>31.6</v>
      </c>
      <c r="K510" s="2"/>
      <c r="L510" s="2" t="str">
        <f>IFERROR(__xludf.DUMMYFUNCTION("""COMPUTED_VALUE"""),"Processing")</f>
        <v>Processing</v>
      </c>
      <c r="M510" s="2" t="str">
        <f>IFERROR(__xludf.DUMMYFUNCTION("""COMPUTED_VALUE"""),"")</f>
        <v></v>
      </c>
      <c r="N510" s="2" t="str">
        <f>IFERROR(__xludf.DUMMYFUNCTION("""COMPUTED_VALUE"""),"Tamara: split in 3, interest-free")</f>
        <v>Tamara: split in 3, interest-free</v>
      </c>
      <c r="O510" s="4">
        <f>IFERROR(__xludf.DUMMYFUNCTION("""COMPUTED_VALUE"""),0.0)</f>
        <v>0</v>
      </c>
      <c r="P510" s="2">
        <f>IFERROR(__xludf.DUMMYFUNCTION("""COMPUTED_VALUE"""),29.0)</f>
        <v>29</v>
      </c>
      <c r="Q510" s="2">
        <f>IFERROR(__xludf.DUMMYFUNCTION("""COMPUTED_VALUE"""),5.0)</f>
        <v>5</v>
      </c>
      <c r="R510" s="2">
        <f>IFERROR(__xludf.DUMMYFUNCTION("""COMPUTED_VALUE"""),2025.0)</f>
        <v>2025</v>
      </c>
      <c r="S510" s="2" t="str">
        <f>IFERROR(__xludf.DUMMYFUNCTION("""COMPUTED_VALUE"""),"Digizag")</f>
        <v>Digizag</v>
      </c>
      <c r="T510" s="2" t="str">
        <f>IFERROR(__xludf.DUMMYFUNCTION("""COMPUTED_VALUE"""),"Digizag")</f>
        <v>Digizag</v>
      </c>
      <c r="U510" s="5">
        <f>IFERROR(__xludf.DUMMYFUNCTION("""COMPUTED_VALUE"""),86.044928648)</f>
        <v>86.04492865</v>
      </c>
      <c r="V510" s="2"/>
      <c r="W510" s="2"/>
      <c r="X510" s="2"/>
      <c r="Y510" s="2"/>
      <c r="Z510" s="2"/>
    </row>
    <row r="511">
      <c r="A511" s="6">
        <f>IFERROR(__xludf.DUMMYFUNCTION("""COMPUTED_VALUE"""),45807.00711805555)</f>
        <v>45807.00712</v>
      </c>
      <c r="B511" s="2" t="str">
        <f>IFERROR(__xludf.DUMMYFUNCTION("""COMPUTED_VALUE"""),"May")</f>
        <v>May</v>
      </c>
      <c r="C511" s="3">
        <f>IFERROR(__xludf.DUMMYFUNCTION("""COMPUTED_VALUE"""),724942.0)</f>
        <v>724942</v>
      </c>
      <c r="D511" s="2" t="str">
        <f>IFERROR(__xludf.DUMMYFUNCTION("""COMPUTED_VALUE"""),"DB1")</f>
        <v>DB1</v>
      </c>
      <c r="E511" s="2" t="str">
        <f>IFERROR(__xludf.DUMMYFUNCTION("""COMPUTED_VALUE"""),"Imported from file Digizag.xlsx")</f>
        <v>Imported from file Digizag.xlsx</v>
      </c>
      <c r="F511" s="2" t="str">
        <f>IFERROR(__xludf.DUMMYFUNCTION("""COMPUTED_VALUE"""),"LCY217422")</f>
        <v>LCY217422</v>
      </c>
      <c r="G511" s="2" t="str">
        <f>IFERROR(__xludf.DUMMYFUNCTION("""COMPUTED_VALUE"""),"Kingdom of Saudi Arabia")</f>
        <v>Kingdom of Saudi Arabia</v>
      </c>
      <c r="H511" s="4">
        <f>IFERROR(__xludf.DUMMYFUNCTION("""COMPUTED_VALUE"""),155.0)</f>
        <v>155</v>
      </c>
      <c r="I511" s="3">
        <f>IFERROR(__xludf.DUMMYFUNCTION("""COMPUTED_VALUE"""),0.0)</f>
        <v>0</v>
      </c>
      <c r="J511" s="4">
        <f>IFERROR(__xludf.DUMMYFUNCTION("""COMPUTED_VALUE"""),30.0)</f>
        <v>30</v>
      </c>
      <c r="K511" s="2"/>
      <c r="L511" s="2" t="str">
        <f>IFERROR(__xludf.DUMMYFUNCTION("""COMPUTED_VALUE"""),"Processing")</f>
        <v>Processing</v>
      </c>
      <c r="M511" s="2" t="str">
        <f>IFERROR(__xludf.DUMMYFUNCTION("""COMPUTED_VALUE"""),"")</f>
        <v></v>
      </c>
      <c r="N511" s="2" t="str">
        <f>IFERROR(__xludf.DUMMYFUNCTION("""COMPUTED_VALUE"""),"Credit, Debit, Apple Pay")</f>
        <v>Credit, Debit, Apple Pay</v>
      </c>
      <c r="O511" s="4">
        <f>IFERROR(__xludf.DUMMYFUNCTION("""COMPUTED_VALUE"""),0.0)</f>
        <v>0</v>
      </c>
      <c r="P511" s="2">
        <f>IFERROR(__xludf.DUMMYFUNCTION("""COMPUTED_VALUE"""),30.0)</f>
        <v>30</v>
      </c>
      <c r="Q511" s="2">
        <f>IFERROR(__xludf.DUMMYFUNCTION("""COMPUTED_VALUE"""),5.0)</f>
        <v>5</v>
      </c>
      <c r="R511" s="2">
        <f>IFERROR(__xludf.DUMMYFUNCTION("""COMPUTED_VALUE"""),2025.0)</f>
        <v>2025</v>
      </c>
      <c r="S511" s="2" t="str">
        <f>IFERROR(__xludf.DUMMYFUNCTION("""COMPUTED_VALUE"""),"Digizag")</f>
        <v>Digizag</v>
      </c>
      <c r="T511" s="2" t="str">
        <f>IFERROR(__xludf.DUMMYFUNCTION("""COMPUTED_VALUE"""),"Digizag")</f>
        <v>Digizag</v>
      </c>
      <c r="U511" s="5">
        <f>IFERROR(__xludf.DUMMYFUNCTION("""COMPUTED_VALUE"""),41.330137130000004)</f>
        <v>41.33013713</v>
      </c>
      <c r="V511" s="2"/>
      <c r="W511" s="2"/>
      <c r="X511" s="2"/>
      <c r="Y511" s="2"/>
      <c r="Z511" s="2"/>
    </row>
    <row r="512">
      <c r="A512" s="6">
        <f>IFERROR(__xludf.DUMMYFUNCTION("""COMPUTED_VALUE"""),45807.086747685185)</f>
        <v>45807.08675</v>
      </c>
      <c r="B512" s="2" t="str">
        <f>IFERROR(__xludf.DUMMYFUNCTION("""COMPUTED_VALUE"""),"May")</f>
        <v>May</v>
      </c>
      <c r="C512" s="3">
        <f>IFERROR(__xludf.DUMMYFUNCTION("""COMPUTED_VALUE"""),33161.0)</f>
        <v>33161</v>
      </c>
      <c r="D512" s="2" t="str">
        <f>IFERROR(__xludf.DUMMYFUNCTION("""COMPUTED_VALUE"""),"ZM22")</f>
        <v>ZM22</v>
      </c>
      <c r="E512" s="2" t="str">
        <f>IFERROR(__xludf.DUMMYFUNCTION("""COMPUTED_VALUE"""),"Imported from file Digizag.xlsx")</f>
        <v>Imported from file Digizag.xlsx</v>
      </c>
      <c r="F512" s="2" t="str">
        <f>IFERROR(__xludf.DUMMYFUNCTION("""COMPUTED_VALUE"""),"NRS533789")</f>
        <v>NRS533789</v>
      </c>
      <c r="G512" s="2" t="str">
        <f>IFERROR(__xludf.DUMMYFUNCTION("""COMPUTED_VALUE"""),"UAE")</f>
        <v>UAE</v>
      </c>
      <c r="H512" s="4">
        <f>IFERROR(__xludf.DUMMYFUNCTION("""COMPUTED_VALUE"""),1352.8)</f>
        <v>1352.8</v>
      </c>
      <c r="I512" s="3">
        <f>IFERROR(__xludf.DUMMYFUNCTION("""COMPUTED_VALUE"""),0.0)</f>
        <v>0</v>
      </c>
      <c r="J512" s="4">
        <f>IFERROR(__xludf.DUMMYFUNCTION("""COMPUTED_VALUE"""),135.28)</f>
        <v>135.28</v>
      </c>
      <c r="K512" s="2"/>
      <c r="L512" s="2" t="str">
        <f>IFERROR(__xludf.DUMMYFUNCTION("""COMPUTED_VALUE"""),"Delivered")</f>
        <v>Delivered</v>
      </c>
      <c r="M512" s="2" t="str">
        <f>IFERROR(__xludf.DUMMYFUNCTION("""COMPUTED_VALUE"""),"")</f>
        <v></v>
      </c>
      <c r="N512" s="2" t="str">
        <f>IFERROR(__xludf.DUMMYFUNCTION("""COMPUTED_VALUE"""),"Credit, Debit , Apple Pay")</f>
        <v>Credit, Debit , Apple Pay</v>
      </c>
      <c r="O512" s="4">
        <f>IFERROR(__xludf.DUMMYFUNCTION("""COMPUTED_VALUE"""),0.0)</f>
        <v>0</v>
      </c>
      <c r="P512" s="2">
        <f>IFERROR(__xludf.DUMMYFUNCTION("""COMPUTED_VALUE"""),30.0)</f>
        <v>30</v>
      </c>
      <c r="Q512" s="2">
        <f>IFERROR(__xludf.DUMMYFUNCTION("""COMPUTED_VALUE"""),5.0)</f>
        <v>5</v>
      </c>
      <c r="R512" s="2">
        <f>IFERROR(__xludf.DUMMYFUNCTION("""COMPUTED_VALUE"""),2025.0)</f>
        <v>2025</v>
      </c>
      <c r="S512" s="2" t="str">
        <f>IFERROR(__xludf.DUMMYFUNCTION("""COMPUTED_VALUE"""),"Digizag")</f>
        <v>Digizag</v>
      </c>
      <c r="T512" s="2" t="str">
        <f>IFERROR(__xludf.DUMMYFUNCTION("""COMPUTED_VALUE"""),"Digizag")</f>
        <v>Digizag</v>
      </c>
      <c r="U512" s="5">
        <f>IFERROR(__xludf.DUMMYFUNCTION("""COMPUTED_VALUE"""),368.35942871839995)</f>
        <v>368.3594287</v>
      </c>
      <c r="V512" s="2"/>
      <c r="W512" s="2"/>
      <c r="X512" s="2"/>
      <c r="Y512" s="2"/>
      <c r="Z512" s="2"/>
    </row>
    <row r="513">
      <c r="A513" s="6">
        <f>IFERROR(__xludf.DUMMYFUNCTION("""COMPUTED_VALUE"""),45807.20837962963)</f>
        <v>45807.20838</v>
      </c>
      <c r="B513" s="2" t="str">
        <f>IFERROR(__xludf.DUMMYFUNCTION("""COMPUTED_VALUE"""),"May")</f>
        <v>May</v>
      </c>
      <c r="C513" s="3">
        <f>IFERROR(__xludf.DUMMYFUNCTION("""COMPUTED_VALUE"""),748527.0)</f>
        <v>748527</v>
      </c>
      <c r="D513" s="2" t="str">
        <f>IFERROR(__xludf.DUMMYFUNCTION("""COMPUTED_VALUE"""),"MNN16")</f>
        <v>MNN16</v>
      </c>
      <c r="E513" s="2" t="str">
        <f>IFERROR(__xludf.DUMMYFUNCTION("""COMPUTED_VALUE"""),"Imported from file DigiZag Bidding Codes.xlsx")</f>
        <v>Imported from file DigiZag Bidding Codes.xlsx</v>
      </c>
      <c r="F513" s="2" t="str">
        <f>IFERROR(__xludf.DUMMYFUNCTION("""COMPUTED_VALUE"""),"ZAH852030")</f>
        <v>ZAH852030</v>
      </c>
      <c r="G513" s="2" t="str">
        <f>IFERROR(__xludf.DUMMYFUNCTION("""COMPUTED_VALUE"""),"Kingdom of Saudi Arabia")</f>
        <v>Kingdom of Saudi Arabia</v>
      </c>
      <c r="H513" s="4">
        <f>IFERROR(__xludf.DUMMYFUNCTION("""COMPUTED_VALUE"""),345.0)</f>
        <v>345</v>
      </c>
      <c r="I513" s="3">
        <f>IFERROR(__xludf.DUMMYFUNCTION("""COMPUTED_VALUE"""),0.0)</f>
        <v>0</v>
      </c>
      <c r="J513" s="4">
        <f>IFERROR(__xludf.DUMMYFUNCTION("""COMPUTED_VALUE"""),30.0)</f>
        <v>30</v>
      </c>
      <c r="K513" s="2"/>
      <c r="L513" s="2" t="str">
        <f>IFERROR(__xludf.DUMMYFUNCTION("""COMPUTED_VALUE"""),"Delivered")</f>
        <v>Delivered</v>
      </c>
      <c r="M513" s="2" t="str">
        <f>IFERROR(__xludf.DUMMYFUNCTION("""COMPUTED_VALUE"""),"")</f>
        <v></v>
      </c>
      <c r="N513" s="2" t="str">
        <f>IFERROR(__xludf.DUMMYFUNCTION("""COMPUTED_VALUE"""),"Credit, Debit, Apple Pay")</f>
        <v>Credit, Debit, Apple Pay</v>
      </c>
      <c r="O513" s="4">
        <f>IFERROR(__xludf.DUMMYFUNCTION("""COMPUTED_VALUE"""),0.0)</f>
        <v>0</v>
      </c>
      <c r="P513" s="2">
        <f>IFERROR(__xludf.DUMMYFUNCTION("""COMPUTED_VALUE"""),30.0)</f>
        <v>30</v>
      </c>
      <c r="Q513" s="2">
        <f>IFERROR(__xludf.DUMMYFUNCTION("""COMPUTED_VALUE"""),5.0)</f>
        <v>5</v>
      </c>
      <c r="R513" s="2">
        <f>IFERROR(__xludf.DUMMYFUNCTION("""COMPUTED_VALUE"""),2025.0)</f>
        <v>2025</v>
      </c>
      <c r="S513" s="2" t="str">
        <f>IFERROR(__xludf.DUMMYFUNCTION("""COMPUTED_VALUE"""),"Digizag")</f>
        <v>Digizag</v>
      </c>
      <c r="T513" s="2" t="str">
        <f>IFERROR(__xludf.DUMMYFUNCTION("""COMPUTED_VALUE"""),"Digizag")</f>
        <v>Digizag</v>
      </c>
      <c r="U513" s="5">
        <f>IFERROR(__xludf.DUMMYFUNCTION("""COMPUTED_VALUE"""),91.99288587000001)</f>
        <v>91.99288587</v>
      </c>
      <c r="V513" s="2"/>
      <c r="W513" s="2"/>
      <c r="X513" s="2"/>
      <c r="Y513" s="2"/>
      <c r="Z513" s="2"/>
    </row>
    <row r="514">
      <c r="A514" s="6">
        <f>IFERROR(__xludf.DUMMYFUNCTION("""COMPUTED_VALUE"""),45807.296747685185)</f>
        <v>45807.29675</v>
      </c>
      <c r="B514" s="2" t="str">
        <f>IFERROR(__xludf.DUMMYFUNCTION("""COMPUTED_VALUE"""),"May")</f>
        <v>May</v>
      </c>
      <c r="C514" s="3">
        <f>IFERROR(__xludf.DUMMYFUNCTION("""COMPUTED_VALUE"""),183102.0)</f>
        <v>183102</v>
      </c>
      <c r="D514" s="2" t="str">
        <f>IFERROR(__xludf.DUMMYFUNCTION("""COMPUTED_VALUE"""),"DB1")</f>
        <v>DB1</v>
      </c>
      <c r="E514" s="2" t="str">
        <f>IFERROR(__xludf.DUMMYFUNCTION("""COMPUTED_VALUE"""),"Imported from file Digizag.xlsx")</f>
        <v>Imported from file Digizag.xlsx</v>
      </c>
      <c r="F514" s="2" t="str">
        <f>IFERROR(__xludf.DUMMYFUNCTION("""COMPUTED_VALUE"""),"GVA653183")</f>
        <v>GVA653183</v>
      </c>
      <c r="G514" s="2" t="str">
        <f>IFERROR(__xludf.DUMMYFUNCTION("""COMPUTED_VALUE"""),"UAE")</f>
        <v>UAE</v>
      </c>
      <c r="H514" s="4">
        <f>IFERROR(__xludf.DUMMYFUNCTION("""COMPUTED_VALUE"""),149.0)</f>
        <v>149</v>
      </c>
      <c r="I514" s="3">
        <f>IFERROR(__xludf.DUMMYFUNCTION("""COMPUTED_VALUE"""),0.0)</f>
        <v>0</v>
      </c>
      <c r="J514" s="4">
        <f>IFERROR(__xludf.DUMMYFUNCTION("""COMPUTED_VALUE"""),14.9)</f>
        <v>14.9</v>
      </c>
      <c r="K514" s="2"/>
      <c r="L514" s="2" t="str">
        <f>IFERROR(__xludf.DUMMYFUNCTION("""COMPUTED_VALUE"""),"Delivered")</f>
        <v>Delivered</v>
      </c>
      <c r="M514" s="2" t="str">
        <f>IFERROR(__xludf.DUMMYFUNCTION("""COMPUTED_VALUE"""),"")</f>
        <v></v>
      </c>
      <c r="N514" s="2" t="str">
        <f>IFERROR(__xludf.DUMMYFUNCTION("""COMPUTED_VALUE"""),"Credit, Debit , Apple Pay")</f>
        <v>Credit, Debit , Apple Pay</v>
      </c>
      <c r="O514" s="4">
        <f>IFERROR(__xludf.DUMMYFUNCTION("""COMPUTED_VALUE"""),0.0)</f>
        <v>0</v>
      </c>
      <c r="P514" s="2">
        <f>IFERROR(__xludf.DUMMYFUNCTION("""COMPUTED_VALUE"""),30.0)</f>
        <v>30</v>
      </c>
      <c r="Q514" s="2">
        <f>IFERROR(__xludf.DUMMYFUNCTION("""COMPUTED_VALUE"""),5.0)</f>
        <v>5</v>
      </c>
      <c r="R514" s="2">
        <f>IFERROR(__xludf.DUMMYFUNCTION("""COMPUTED_VALUE"""),2025.0)</f>
        <v>2025</v>
      </c>
      <c r="S514" s="2" t="str">
        <f>IFERROR(__xludf.DUMMYFUNCTION("""COMPUTED_VALUE"""),"Digizag")</f>
        <v>Digizag</v>
      </c>
      <c r="T514" s="2" t="str">
        <f>IFERROR(__xludf.DUMMYFUNCTION("""COMPUTED_VALUE"""),"Digizag")</f>
        <v>Digizag</v>
      </c>
      <c r="U514" s="5">
        <f>IFERROR(__xludf.DUMMYFUNCTION("""COMPUTED_VALUE"""),40.571817622)</f>
        <v>40.57181762</v>
      </c>
      <c r="V514" s="2"/>
      <c r="W514" s="2"/>
      <c r="X514" s="2"/>
      <c r="Y514" s="2"/>
      <c r="Z514" s="2"/>
    </row>
    <row r="515">
      <c r="A515" s="6">
        <f>IFERROR(__xludf.DUMMYFUNCTION("""COMPUTED_VALUE"""),45807.36289351852)</f>
        <v>45807.36289</v>
      </c>
      <c r="B515" s="2" t="str">
        <f>IFERROR(__xludf.DUMMYFUNCTION("""COMPUTED_VALUE"""),"May")</f>
        <v>May</v>
      </c>
      <c r="C515" s="3">
        <f>IFERROR(__xludf.DUMMYFUNCTION("""COMPUTED_VALUE"""),361096.0)</f>
        <v>361096</v>
      </c>
      <c r="D515" s="2" t="str">
        <f>IFERROR(__xludf.DUMMYFUNCTION("""COMPUTED_VALUE"""),"ZM22")</f>
        <v>ZM22</v>
      </c>
      <c r="E515" s="2" t="str">
        <f>IFERROR(__xludf.DUMMYFUNCTION("""COMPUTED_VALUE"""),"Imported from file Digizag.xlsx")</f>
        <v>Imported from file Digizag.xlsx</v>
      </c>
      <c r="F515" s="2" t="str">
        <f>IFERROR(__xludf.DUMMYFUNCTION("""COMPUTED_VALUE"""),"LLA276345")</f>
        <v>LLA276345</v>
      </c>
      <c r="G515" s="2" t="str">
        <f>IFERROR(__xludf.DUMMYFUNCTION("""COMPUTED_VALUE"""),"UAE")</f>
        <v>UAE</v>
      </c>
      <c r="H515" s="4">
        <f>IFERROR(__xludf.DUMMYFUNCTION("""COMPUTED_VALUE"""),159.88)</f>
        <v>159.88</v>
      </c>
      <c r="I515" s="3">
        <f>IFERROR(__xludf.DUMMYFUNCTION("""COMPUTED_VALUE"""),0.0)</f>
        <v>0</v>
      </c>
      <c r="J515" s="4">
        <f>IFERROR(__xludf.DUMMYFUNCTION("""COMPUTED_VALUE"""),15.98)</f>
        <v>15.98</v>
      </c>
      <c r="K515" s="2"/>
      <c r="L515" s="2" t="str">
        <f>IFERROR(__xludf.DUMMYFUNCTION("""COMPUTED_VALUE"""),"Delivered")</f>
        <v>Delivered</v>
      </c>
      <c r="M515" s="2" t="str">
        <f>IFERROR(__xludf.DUMMYFUNCTION("""COMPUTED_VALUE"""),"")</f>
        <v></v>
      </c>
      <c r="N515" s="2" t="str">
        <f>IFERROR(__xludf.DUMMYFUNCTION("""COMPUTED_VALUE"""),"Credit, Debit , Apple Pay")</f>
        <v>Credit, Debit , Apple Pay</v>
      </c>
      <c r="O515" s="4">
        <f>IFERROR(__xludf.DUMMYFUNCTION("""COMPUTED_VALUE"""),0.0)</f>
        <v>0</v>
      </c>
      <c r="P515" s="2">
        <f>IFERROR(__xludf.DUMMYFUNCTION("""COMPUTED_VALUE"""),30.0)</f>
        <v>30</v>
      </c>
      <c r="Q515" s="2">
        <f>IFERROR(__xludf.DUMMYFUNCTION("""COMPUTED_VALUE"""),5.0)</f>
        <v>5</v>
      </c>
      <c r="R515" s="2">
        <f>IFERROR(__xludf.DUMMYFUNCTION("""COMPUTED_VALUE"""),2025.0)</f>
        <v>2025</v>
      </c>
      <c r="S515" s="2" t="str">
        <f>IFERROR(__xludf.DUMMYFUNCTION("""COMPUTED_VALUE"""),"Digizag")</f>
        <v>Digizag</v>
      </c>
      <c r="T515" s="2" t="str">
        <f>IFERROR(__xludf.DUMMYFUNCTION("""COMPUTED_VALUE"""),"Digizag")</f>
        <v>Digizag</v>
      </c>
      <c r="U515" s="5">
        <f>IFERROR(__xludf.DUMMYFUNCTION("""COMPUTED_VALUE"""),43.53437719064)</f>
        <v>43.53437719</v>
      </c>
      <c r="V515" s="2"/>
      <c r="W515" s="2"/>
      <c r="X515" s="2"/>
      <c r="Y515" s="2"/>
      <c r="Z515" s="2"/>
    </row>
    <row r="516">
      <c r="A516" s="6">
        <f>IFERROR(__xludf.DUMMYFUNCTION("""COMPUTED_VALUE"""),45807.37971064814)</f>
        <v>45807.37971</v>
      </c>
      <c r="B516" s="2" t="str">
        <f>IFERROR(__xludf.DUMMYFUNCTION("""COMPUTED_VALUE"""),"May")</f>
        <v>May</v>
      </c>
      <c r="C516" s="3">
        <f>IFERROR(__xludf.DUMMYFUNCTION("""COMPUTED_VALUE"""),495163.0)</f>
        <v>495163</v>
      </c>
      <c r="D516" s="2" t="str">
        <f>IFERROR(__xludf.DUMMYFUNCTION("""COMPUTED_VALUE"""),"MNN16")</f>
        <v>MNN16</v>
      </c>
      <c r="E516" s="2" t="str">
        <f>IFERROR(__xludf.DUMMYFUNCTION("""COMPUTED_VALUE"""),"Imported from file DigiZag Codes 25Feb25.xlsx")</f>
        <v>Imported from file DigiZag Codes 25Feb25.xlsx</v>
      </c>
      <c r="F516" s="2" t="str">
        <f>IFERROR(__xludf.DUMMYFUNCTION("""COMPUTED_VALUE"""),"SLA432186")</f>
        <v>SLA432186</v>
      </c>
      <c r="G516" s="2" t="str">
        <f>IFERROR(__xludf.DUMMYFUNCTION("""COMPUTED_VALUE"""),"Kuwait")</f>
        <v>Kuwait</v>
      </c>
      <c r="H516" s="4">
        <f>IFERROR(__xludf.DUMMYFUNCTION("""COMPUTED_VALUE"""),13.6)</f>
        <v>13.6</v>
      </c>
      <c r="I516" s="3">
        <f>IFERROR(__xludf.DUMMYFUNCTION("""COMPUTED_VALUE"""),0.0)</f>
        <v>0</v>
      </c>
      <c r="J516" s="4">
        <f>IFERROR(__xludf.DUMMYFUNCTION("""COMPUTED_VALUE"""),1.36)</f>
        <v>1.36</v>
      </c>
      <c r="K516" s="2"/>
      <c r="L516" s="2" t="str">
        <f>IFERROR(__xludf.DUMMYFUNCTION("""COMPUTED_VALUE"""),"Delivered")</f>
        <v>Delivered</v>
      </c>
      <c r="M516" s="2" t="str">
        <f>IFERROR(__xludf.DUMMYFUNCTION("""COMPUTED_VALUE"""),"KD")</f>
        <v>KD</v>
      </c>
      <c r="N516" s="2" t="str">
        <f>IFERROR(__xludf.DUMMYFUNCTION("""COMPUTED_VALUE"""),"Credit, Debit, Knet")</f>
        <v>Credit, Debit, Knet</v>
      </c>
      <c r="O516" s="4">
        <f>IFERROR(__xludf.DUMMYFUNCTION("""COMPUTED_VALUE"""),0.0)</f>
        <v>0</v>
      </c>
      <c r="P516" s="2">
        <f>IFERROR(__xludf.DUMMYFUNCTION("""COMPUTED_VALUE"""),30.0)</f>
        <v>30</v>
      </c>
      <c r="Q516" s="2">
        <f>IFERROR(__xludf.DUMMYFUNCTION("""COMPUTED_VALUE"""),5.0)</f>
        <v>5</v>
      </c>
      <c r="R516" s="2">
        <f>IFERROR(__xludf.DUMMYFUNCTION("""COMPUTED_VALUE"""),2025.0)</f>
        <v>2025</v>
      </c>
      <c r="S516" s="2" t="str">
        <f>IFERROR(__xludf.DUMMYFUNCTION("""COMPUTED_VALUE"""),"Digizag")</f>
        <v>Digizag</v>
      </c>
      <c r="T516" s="2" t="str">
        <f>IFERROR(__xludf.DUMMYFUNCTION("""COMPUTED_VALUE"""),"Digizag")</f>
        <v>Digizag</v>
      </c>
      <c r="U516" s="5">
        <f>IFERROR(__xludf.DUMMYFUNCTION("""COMPUTED_VALUE"""),44.344432)</f>
        <v>44.344432</v>
      </c>
      <c r="V516" s="2"/>
      <c r="W516" s="2"/>
      <c r="X516" s="2"/>
      <c r="Y516" s="2"/>
      <c r="Z516" s="2"/>
    </row>
    <row r="517">
      <c r="A517" s="6">
        <f>IFERROR(__xludf.DUMMYFUNCTION("""COMPUTED_VALUE"""),45807.41883101852)</f>
        <v>45807.41883</v>
      </c>
      <c r="B517" s="2" t="str">
        <f>IFERROR(__xludf.DUMMYFUNCTION("""COMPUTED_VALUE"""),"May")</f>
        <v>May</v>
      </c>
      <c r="C517" s="3">
        <f>IFERROR(__xludf.DUMMYFUNCTION("""COMPUTED_VALUE"""),564583.0)</f>
        <v>564583</v>
      </c>
      <c r="D517" s="2" t="str">
        <f>IFERROR(__xludf.DUMMYFUNCTION("""COMPUTED_VALUE"""),"MNN16")</f>
        <v>MNN16</v>
      </c>
      <c r="E517" s="2" t="str">
        <f>IFERROR(__xludf.DUMMYFUNCTION("""COMPUTED_VALUE"""),"Imported from file DigiZag Codes 25Feb25.xlsx")</f>
        <v>Imported from file DigiZag Codes 25Feb25.xlsx</v>
      </c>
      <c r="F517" s="2" t="str">
        <f>IFERROR(__xludf.DUMMYFUNCTION("""COMPUTED_VALUE"""),"XHE632872")</f>
        <v>XHE632872</v>
      </c>
      <c r="G517" s="2" t="str">
        <f>IFERROR(__xludf.DUMMYFUNCTION("""COMPUTED_VALUE"""),"UAE")</f>
        <v>UAE</v>
      </c>
      <c r="H517" s="4">
        <f>IFERROR(__xludf.DUMMYFUNCTION("""COMPUTED_VALUE"""),187.0)</f>
        <v>187</v>
      </c>
      <c r="I517" s="3">
        <f>IFERROR(__xludf.DUMMYFUNCTION("""COMPUTED_VALUE"""),0.0)</f>
        <v>0</v>
      </c>
      <c r="J517" s="4">
        <f>IFERROR(__xludf.DUMMYFUNCTION("""COMPUTED_VALUE"""),18.7)</f>
        <v>18.7</v>
      </c>
      <c r="K517" s="2"/>
      <c r="L517" s="2" t="str">
        <f>IFERROR(__xludf.DUMMYFUNCTION("""COMPUTED_VALUE"""),"Processing")</f>
        <v>Processing</v>
      </c>
      <c r="M517" s="2" t="str">
        <f>IFERROR(__xludf.DUMMYFUNCTION("""COMPUTED_VALUE"""),"")</f>
        <v></v>
      </c>
      <c r="N517" s="2" t="str">
        <f>IFERROR(__xludf.DUMMYFUNCTION("""COMPUTED_VALUE"""),"Credit, Debit , Apple Pay")</f>
        <v>Credit, Debit , Apple Pay</v>
      </c>
      <c r="O517" s="4">
        <f>IFERROR(__xludf.DUMMYFUNCTION("""COMPUTED_VALUE"""),0.0)</f>
        <v>0</v>
      </c>
      <c r="P517" s="2">
        <f>IFERROR(__xludf.DUMMYFUNCTION("""COMPUTED_VALUE"""),30.0)</f>
        <v>30</v>
      </c>
      <c r="Q517" s="2">
        <f>IFERROR(__xludf.DUMMYFUNCTION("""COMPUTED_VALUE"""),5.0)</f>
        <v>5</v>
      </c>
      <c r="R517" s="2">
        <f>IFERROR(__xludf.DUMMYFUNCTION("""COMPUTED_VALUE"""),2025.0)</f>
        <v>2025</v>
      </c>
      <c r="S517" s="2" t="str">
        <f>IFERROR(__xludf.DUMMYFUNCTION("""COMPUTED_VALUE"""),"Digizag")</f>
        <v>Digizag</v>
      </c>
      <c r="T517" s="2" t="str">
        <f>IFERROR(__xludf.DUMMYFUNCTION("""COMPUTED_VALUE"""),"Digizag")</f>
        <v>Digizag</v>
      </c>
      <c r="U517" s="5">
        <f>IFERROR(__xludf.DUMMYFUNCTION("""COMPUTED_VALUE"""),50.918992586)</f>
        <v>50.91899259</v>
      </c>
      <c r="V517" s="2"/>
      <c r="W517" s="2"/>
      <c r="X517" s="2"/>
      <c r="Y517" s="2"/>
      <c r="Z517" s="2"/>
    </row>
    <row r="518">
      <c r="A518" s="6">
        <f>IFERROR(__xludf.DUMMYFUNCTION("""COMPUTED_VALUE"""),45807.49208333333)</f>
        <v>45807.49208</v>
      </c>
      <c r="B518" s="2" t="str">
        <f>IFERROR(__xludf.DUMMYFUNCTION("""COMPUTED_VALUE"""),"May")</f>
        <v>May</v>
      </c>
      <c r="C518" s="3">
        <f>IFERROR(__xludf.DUMMYFUNCTION("""COMPUTED_VALUE"""),748786.0)</f>
        <v>748786</v>
      </c>
      <c r="D518" s="2" t="str">
        <f>IFERROR(__xludf.DUMMYFUNCTION("""COMPUTED_VALUE"""),"MNN16")</f>
        <v>MNN16</v>
      </c>
      <c r="E518" s="2" t="str">
        <f>IFERROR(__xludf.DUMMYFUNCTION("""COMPUTED_VALUE"""),"Imported from file DigiZag Codes 25Feb25.xlsx")</f>
        <v>Imported from file DigiZag Codes 25Feb25.xlsx</v>
      </c>
      <c r="F518" s="2" t="str">
        <f>IFERROR(__xludf.DUMMYFUNCTION("""COMPUTED_VALUE"""),"QWV222450")</f>
        <v>QWV222450</v>
      </c>
      <c r="G518" s="2" t="str">
        <f>IFERROR(__xludf.DUMMYFUNCTION("""COMPUTED_VALUE"""),"UAE")</f>
        <v>UAE</v>
      </c>
      <c r="H518" s="4">
        <f>IFERROR(__xludf.DUMMYFUNCTION("""COMPUTED_VALUE"""),46.8)</f>
        <v>46.8</v>
      </c>
      <c r="I518" s="3">
        <f>IFERROR(__xludf.DUMMYFUNCTION("""COMPUTED_VALUE"""),0.0)</f>
        <v>0</v>
      </c>
      <c r="J518" s="4">
        <f>IFERROR(__xludf.DUMMYFUNCTION("""COMPUTED_VALUE"""),4.68)</f>
        <v>4.68</v>
      </c>
      <c r="K518" s="2"/>
      <c r="L518" s="2" t="str">
        <f>IFERROR(__xludf.DUMMYFUNCTION("""COMPUTED_VALUE"""),"Processing")</f>
        <v>Processing</v>
      </c>
      <c r="M518" s="2" t="str">
        <f>IFERROR(__xludf.DUMMYFUNCTION("""COMPUTED_VALUE"""),"")</f>
        <v></v>
      </c>
      <c r="N518" s="2" t="str">
        <f>IFERROR(__xludf.DUMMYFUNCTION("""COMPUTED_VALUE"""),"Credit, Debit , Apple Pay")</f>
        <v>Credit, Debit , Apple Pay</v>
      </c>
      <c r="O518" s="4">
        <f>IFERROR(__xludf.DUMMYFUNCTION("""COMPUTED_VALUE"""),0.0)</f>
        <v>0</v>
      </c>
      <c r="P518" s="2">
        <f>IFERROR(__xludf.DUMMYFUNCTION("""COMPUTED_VALUE"""),30.0)</f>
        <v>30</v>
      </c>
      <c r="Q518" s="2">
        <f>IFERROR(__xludf.DUMMYFUNCTION("""COMPUTED_VALUE"""),5.0)</f>
        <v>5</v>
      </c>
      <c r="R518" s="2">
        <f>IFERROR(__xludf.DUMMYFUNCTION("""COMPUTED_VALUE"""),2025.0)</f>
        <v>2025</v>
      </c>
      <c r="S518" s="2" t="str">
        <f>IFERROR(__xludf.DUMMYFUNCTION("""COMPUTED_VALUE"""),"Digizag")</f>
        <v>Digizag</v>
      </c>
      <c r="T518" s="2" t="str">
        <f>IFERROR(__xludf.DUMMYFUNCTION("""COMPUTED_VALUE"""),"Digizag")</f>
        <v>Digizag</v>
      </c>
      <c r="U518" s="5">
        <f>IFERROR(__xludf.DUMMYFUNCTION("""COMPUTED_VALUE"""),12.743362850399999)</f>
        <v>12.74336285</v>
      </c>
      <c r="V518" s="2"/>
      <c r="W518" s="2"/>
      <c r="X518" s="2"/>
      <c r="Y518" s="2"/>
      <c r="Z518" s="2"/>
    </row>
    <row r="519">
      <c r="A519" s="6">
        <f>IFERROR(__xludf.DUMMYFUNCTION("""COMPUTED_VALUE"""),45807.57565972222)</f>
        <v>45807.57566</v>
      </c>
      <c r="B519" s="2" t="str">
        <f>IFERROR(__xludf.DUMMYFUNCTION("""COMPUTED_VALUE"""),"May")</f>
        <v>May</v>
      </c>
      <c r="C519" s="3">
        <f>IFERROR(__xludf.DUMMYFUNCTION("""COMPUTED_VALUE"""),115392.0)</f>
        <v>115392</v>
      </c>
      <c r="D519" s="2" t="str">
        <f>IFERROR(__xludf.DUMMYFUNCTION("""COMPUTED_VALUE"""),"DB1")</f>
        <v>DB1</v>
      </c>
      <c r="E519" s="2" t="str">
        <f>IFERROR(__xludf.DUMMYFUNCTION("""COMPUTED_VALUE"""),"Imported from file Digizag.xlsx")</f>
        <v>Imported from file Digizag.xlsx</v>
      </c>
      <c r="F519" s="2" t="str">
        <f>IFERROR(__xludf.DUMMYFUNCTION("""COMPUTED_VALUE"""),"SZH514109")</f>
        <v>SZH514109</v>
      </c>
      <c r="G519" s="2" t="str">
        <f>IFERROR(__xludf.DUMMYFUNCTION("""COMPUTED_VALUE"""),"UAE")</f>
        <v>UAE</v>
      </c>
      <c r="H519" s="4">
        <f>IFERROR(__xludf.DUMMYFUNCTION("""COMPUTED_VALUE"""),258.0)</f>
        <v>258</v>
      </c>
      <c r="I519" s="3">
        <f>IFERROR(__xludf.DUMMYFUNCTION("""COMPUTED_VALUE"""),0.0)</f>
        <v>0</v>
      </c>
      <c r="J519" s="4">
        <f>IFERROR(__xludf.DUMMYFUNCTION("""COMPUTED_VALUE"""),25.8)</f>
        <v>25.8</v>
      </c>
      <c r="K519" s="2"/>
      <c r="L519" s="2" t="str">
        <f>IFERROR(__xludf.DUMMYFUNCTION("""COMPUTED_VALUE"""),"Delivered")</f>
        <v>Delivered</v>
      </c>
      <c r="M519" s="2" t="str">
        <f>IFERROR(__xludf.DUMMYFUNCTION("""COMPUTED_VALUE"""),"")</f>
        <v></v>
      </c>
      <c r="N519" s="2" t="str">
        <f>IFERROR(__xludf.DUMMYFUNCTION("""COMPUTED_VALUE"""),"Credit, Debit , Apple Pay")</f>
        <v>Credit, Debit , Apple Pay</v>
      </c>
      <c r="O519" s="4">
        <f>IFERROR(__xludf.DUMMYFUNCTION("""COMPUTED_VALUE"""),0.0)</f>
        <v>0</v>
      </c>
      <c r="P519" s="2">
        <f>IFERROR(__xludf.DUMMYFUNCTION("""COMPUTED_VALUE"""),30.0)</f>
        <v>30</v>
      </c>
      <c r="Q519" s="2">
        <f>IFERROR(__xludf.DUMMYFUNCTION("""COMPUTED_VALUE"""),5.0)</f>
        <v>5</v>
      </c>
      <c r="R519" s="2">
        <f>IFERROR(__xludf.DUMMYFUNCTION("""COMPUTED_VALUE"""),2025.0)</f>
        <v>2025</v>
      </c>
      <c r="S519" s="2" t="str">
        <f>IFERROR(__xludf.DUMMYFUNCTION("""COMPUTED_VALUE"""),"Digizag")</f>
        <v>Digizag</v>
      </c>
      <c r="T519" s="2" t="str">
        <f>IFERROR(__xludf.DUMMYFUNCTION("""COMPUTED_VALUE"""),"Digizag")</f>
        <v>Digizag</v>
      </c>
      <c r="U519" s="5">
        <f>IFERROR(__xludf.DUMMYFUNCTION("""COMPUTED_VALUE"""),70.251872124)</f>
        <v>70.25187212</v>
      </c>
      <c r="V519" s="2"/>
      <c r="W519" s="2"/>
      <c r="X519" s="2"/>
      <c r="Y519" s="2"/>
      <c r="Z519" s="2"/>
    </row>
    <row r="520">
      <c r="A520" s="6">
        <f>IFERROR(__xludf.DUMMYFUNCTION("""COMPUTED_VALUE"""),45807.65509259259)</f>
        <v>45807.65509</v>
      </c>
      <c r="B520" s="2" t="str">
        <f>IFERROR(__xludf.DUMMYFUNCTION("""COMPUTED_VALUE"""),"May")</f>
        <v>May</v>
      </c>
      <c r="C520" s="3">
        <f>IFERROR(__xludf.DUMMYFUNCTION("""COMPUTED_VALUE"""),749020.0)</f>
        <v>749020</v>
      </c>
      <c r="D520" s="2" t="str">
        <f>IFERROR(__xludf.DUMMYFUNCTION("""COMPUTED_VALUE"""),"DB1")</f>
        <v>DB1</v>
      </c>
      <c r="E520" s="2" t="str">
        <f>IFERROR(__xludf.DUMMYFUNCTION("""COMPUTED_VALUE"""),"Imported from file Digizag.xlsx")</f>
        <v>Imported from file Digizag.xlsx</v>
      </c>
      <c r="F520" s="2" t="str">
        <f>IFERROR(__xludf.DUMMYFUNCTION("""COMPUTED_VALUE"""),"HQB540613")</f>
        <v>HQB540613</v>
      </c>
      <c r="G520" s="2" t="str">
        <f>IFERROR(__xludf.DUMMYFUNCTION("""COMPUTED_VALUE"""),"Kingdom of Saudi Arabia")</f>
        <v>Kingdom of Saudi Arabia</v>
      </c>
      <c r="H520" s="4">
        <f>IFERROR(__xludf.DUMMYFUNCTION("""COMPUTED_VALUE"""),189.57)</f>
        <v>189.57</v>
      </c>
      <c r="I520" s="3">
        <f>IFERROR(__xludf.DUMMYFUNCTION("""COMPUTED_VALUE"""),0.0)</f>
        <v>0</v>
      </c>
      <c r="J520" s="4">
        <f>IFERROR(__xludf.DUMMYFUNCTION("""COMPUTED_VALUE"""),30.0)</f>
        <v>30</v>
      </c>
      <c r="K520" s="2"/>
      <c r="L520" s="2" t="str">
        <f>IFERROR(__xludf.DUMMYFUNCTION("""COMPUTED_VALUE"""),"Processing")</f>
        <v>Processing</v>
      </c>
      <c r="M520" s="2" t="str">
        <f>IFERROR(__xludf.DUMMYFUNCTION("""COMPUTED_VALUE"""),"")</f>
        <v></v>
      </c>
      <c r="N520" s="2" t="str">
        <f>IFERROR(__xludf.DUMMYFUNCTION("""COMPUTED_VALUE"""),"Credit, Debit, Apple Pay")</f>
        <v>Credit, Debit, Apple Pay</v>
      </c>
      <c r="O520" s="4">
        <f>IFERROR(__xludf.DUMMYFUNCTION("""COMPUTED_VALUE"""),0.0)</f>
        <v>0</v>
      </c>
      <c r="P520" s="2">
        <f>IFERROR(__xludf.DUMMYFUNCTION("""COMPUTED_VALUE"""),30.0)</f>
        <v>30</v>
      </c>
      <c r="Q520" s="2">
        <f>IFERROR(__xludf.DUMMYFUNCTION("""COMPUTED_VALUE"""),5.0)</f>
        <v>5</v>
      </c>
      <c r="R520" s="2">
        <f>IFERROR(__xludf.DUMMYFUNCTION("""COMPUTED_VALUE"""),2025.0)</f>
        <v>2025</v>
      </c>
      <c r="S520" s="2" t="str">
        <f>IFERROR(__xludf.DUMMYFUNCTION("""COMPUTED_VALUE"""),"Digizag")</f>
        <v>Digizag</v>
      </c>
      <c r="T520" s="2" t="str">
        <f>IFERROR(__xludf.DUMMYFUNCTION("""COMPUTED_VALUE"""),"Digizag")</f>
        <v>Digizag</v>
      </c>
      <c r="U520" s="5">
        <f>IFERROR(__xludf.DUMMYFUNCTION("""COMPUTED_VALUE"""),50.54809094022)</f>
        <v>50.54809094</v>
      </c>
      <c r="V520" s="2"/>
      <c r="W520" s="2"/>
      <c r="X520" s="2"/>
      <c r="Y520" s="2"/>
      <c r="Z520" s="2"/>
    </row>
    <row r="521">
      <c r="A521" s="6">
        <f>IFERROR(__xludf.DUMMYFUNCTION("""COMPUTED_VALUE"""),45807.728368055556)</f>
        <v>45807.72837</v>
      </c>
      <c r="B521" s="2" t="str">
        <f>IFERROR(__xludf.DUMMYFUNCTION("""COMPUTED_VALUE"""),"May")</f>
        <v>May</v>
      </c>
      <c r="C521" s="3">
        <f>IFERROR(__xludf.DUMMYFUNCTION("""COMPUTED_VALUE"""),745537.0)</f>
        <v>745537</v>
      </c>
      <c r="D521" s="2" t="str">
        <f>IFERROR(__xludf.DUMMYFUNCTION("""COMPUTED_VALUE"""),"DB1")</f>
        <v>DB1</v>
      </c>
      <c r="E521" s="2" t="str">
        <f>IFERROR(__xludf.DUMMYFUNCTION("""COMPUTED_VALUE"""),"Imported from file Digizag.xlsx")</f>
        <v>Imported from file Digizag.xlsx</v>
      </c>
      <c r="F521" s="2" t="str">
        <f>IFERROR(__xludf.DUMMYFUNCTION("""COMPUTED_VALUE"""),"NTZ241173")</f>
        <v>NTZ241173</v>
      </c>
      <c r="G521" s="2" t="str">
        <f>IFERROR(__xludf.DUMMYFUNCTION("""COMPUTED_VALUE"""),"Kingdom of Saudi Arabia")</f>
        <v>Kingdom of Saudi Arabia</v>
      </c>
      <c r="H521" s="4">
        <f>IFERROR(__xludf.DUMMYFUNCTION("""COMPUTED_VALUE"""),225.0)</f>
        <v>225</v>
      </c>
      <c r="I521" s="3">
        <f>IFERROR(__xludf.DUMMYFUNCTION("""COMPUTED_VALUE"""),0.0)</f>
        <v>0</v>
      </c>
      <c r="J521" s="4">
        <f>IFERROR(__xludf.DUMMYFUNCTION("""COMPUTED_VALUE"""),30.0)</f>
        <v>30</v>
      </c>
      <c r="K521" s="2"/>
      <c r="L521" s="2" t="str">
        <f>IFERROR(__xludf.DUMMYFUNCTION("""COMPUTED_VALUE"""),"Processing")</f>
        <v>Processing</v>
      </c>
      <c r="M521" s="2" t="str">
        <f>IFERROR(__xludf.DUMMYFUNCTION("""COMPUTED_VALUE"""),"")</f>
        <v></v>
      </c>
      <c r="N521" s="2" t="str">
        <f>IFERROR(__xludf.DUMMYFUNCTION("""COMPUTED_VALUE"""),"Credit, Debit, Apple Pay")</f>
        <v>Credit, Debit, Apple Pay</v>
      </c>
      <c r="O521" s="4">
        <f>IFERROR(__xludf.DUMMYFUNCTION("""COMPUTED_VALUE"""),0.0)</f>
        <v>0</v>
      </c>
      <c r="P521" s="2">
        <f>IFERROR(__xludf.DUMMYFUNCTION("""COMPUTED_VALUE"""),30.0)</f>
        <v>30</v>
      </c>
      <c r="Q521" s="2">
        <f>IFERROR(__xludf.DUMMYFUNCTION("""COMPUTED_VALUE"""),5.0)</f>
        <v>5</v>
      </c>
      <c r="R521" s="2">
        <f>IFERROR(__xludf.DUMMYFUNCTION("""COMPUTED_VALUE"""),2025.0)</f>
        <v>2025</v>
      </c>
      <c r="S521" s="2" t="str">
        <f>IFERROR(__xludf.DUMMYFUNCTION("""COMPUTED_VALUE"""),"Digizag")</f>
        <v>Digizag</v>
      </c>
      <c r="T521" s="2" t="str">
        <f>IFERROR(__xludf.DUMMYFUNCTION("""COMPUTED_VALUE"""),"Digizag")</f>
        <v>Digizag</v>
      </c>
      <c r="U521" s="5">
        <f>IFERROR(__xludf.DUMMYFUNCTION("""COMPUTED_VALUE"""),59.995360350000006)</f>
        <v>59.99536035</v>
      </c>
      <c r="V521" s="2"/>
      <c r="W521" s="2"/>
      <c r="X521" s="2"/>
      <c r="Y521" s="2"/>
      <c r="Z521" s="2"/>
    </row>
    <row r="522">
      <c r="A522" s="6">
        <f>IFERROR(__xludf.DUMMYFUNCTION("""COMPUTED_VALUE"""),45807.8325462963)</f>
        <v>45807.83255</v>
      </c>
      <c r="B522" s="2" t="str">
        <f>IFERROR(__xludf.DUMMYFUNCTION("""COMPUTED_VALUE"""),"May")</f>
        <v>May</v>
      </c>
      <c r="C522" s="3">
        <f>IFERROR(__xludf.DUMMYFUNCTION("""COMPUTED_VALUE"""),105421.0)</f>
        <v>105421</v>
      </c>
      <c r="D522" s="2" t="str">
        <f>IFERROR(__xludf.DUMMYFUNCTION("""COMPUTED_VALUE"""),"ZM22")</f>
        <v>ZM22</v>
      </c>
      <c r="E522" s="2" t="str">
        <f>IFERROR(__xludf.DUMMYFUNCTION("""COMPUTED_VALUE"""),"Imported from file Digizag.xlsx")</f>
        <v>Imported from file Digizag.xlsx</v>
      </c>
      <c r="F522" s="2" t="str">
        <f>IFERROR(__xludf.DUMMYFUNCTION("""COMPUTED_VALUE"""),"GAP911770")</f>
        <v>GAP911770</v>
      </c>
      <c r="G522" s="2" t="str">
        <f>IFERROR(__xludf.DUMMYFUNCTION("""COMPUTED_VALUE"""),"Kuwait")</f>
        <v>Kuwait</v>
      </c>
      <c r="H522" s="4">
        <f>IFERROR(__xludf.DUMMYFUNCTION("""COMPUTED_VALUE"""),14.95)</f>
        <v>14.95</v>
      </c>
      <c r="I522" s="3">
        <f>IFERROR(__xludf.DUMMYFUNCTION("""COMPUTED_VALUE"""),0.0)</f>
        <v>0</v>
      </c>
      <c r="J522" s="4">
        <f>IFERROR(__xludf.DUMMYFUNCTION("""COMPUTED_VALUE"""),1.495)</f>
        <v>1.495</v>
      </c>
      <c r="K522" s="2"/>
      <c r="L522" s="2" t="str">
        <f>IFERROR(__xludf.DUMMYFUNCTION("""COMPUTED_VALUE"""),"Processing")</f>
        <v>Processing</v>
      </c>
      <c r="M522" s="2" t="str">
        <f>IFERROR(__xludf.DUMMYFUNCTION("""COMPUTED_VALUE"""),"KD")</f>
        <v>KD</v>
      </c>
      <c r="N522" s="2" t="str">
        <f>IFERROR(__xludf.DUMMYFUNCTION("""COMPUTED_VALUE"""),"Credit, Debit, Knet")</f>
        <v>Credit, Debit, Knet</v>
      </c>
      <c r="O522" s="4">
        <f>IFERROR(__xludf.DUMMYFUNCTION("""COMPUTED_VALUE"""),0.0)</f>
        <v>0</v>
      </c>
      <c r="P522" s="2">
        <f>IFERROR(__xludf.DUMMYFUNCTION("""COMPUTED_VALUE"""),30.0)</f>
        <v>30</v>
      </c>
      <c r="Q522" s="2">
        <f>IFERROR(__xludf.DUMMYFUNCTION("""COMPUTED_VALUE"""),5.0)</f>
        <v>5</v>
      </c>
      <c r="R522" s="2">
        <f>IFERROR(__xludf.DUMMYFUNCTION("""COMPUTED_VALUE"""),2025.0)</f>
        <v>2025</v>
      </c>
      <c r="S522" s="2" t="str">
        <f>IFERROR(__xludf.DUMMYFUNCTION("""COMPUTED_VALUE"""),"Digizag")</f>
        <v>Digizag</v>
      </c>
      <c r="T522" s="2" t="str">
        <f>IFERROR(__xludf.DUMMYFUNCTION("""COMPUTED_VALUE"""),"Digizag")</f>
        <v>Digizag</v>
      </c>
      <c r="U522" s="5">
        <f>IFERROR(__xludf.DUMMYFUNCTION("""COMPUTED_VALUE"""),48.746269)</f>
        <v>48.746269</v>
      </c>
      <c r="V522" s="2"/>
      <c r="W522" s="2"/>
      <c r="X522" s="2"/>
      <c r="Y522" s="2"/>
      <c r="Z522" s="2"/>
    </row>
    <row r="523">
      <c r="A523" s="6">
        <f>IFERROR(__xludf.DUMMYFUNCTION("""COMPUTED_VALUE"""),45807.841875)</f>
        <v>45807.84188</v>
      </c>
      <c r="B523" s="2" t="str">
        <f>IFERROR(__xludf.DUMMYFUNCTION("""COMPUTED_VALUE"""),"May")</f>
        <v>May</v>
      </c>
      <c r="C523" s="3">
        <f>IFERROR(__xludf.DUMMYFUNCTION("""COMPUTED_VALUE"""),556549.0)</f>
        <v>556549</v>
      </c>
      <c r="D523" s="2" t="str">
        <f>IFERROR(__xludf.DUMMYFUNCTION("""COMPUTED_VALUE"""),"MNN16")</f>
        <v>MNN16</v>
      </c>
      <c r="E523" s="2" t="str">
        <f>IFERROR(__xludf.DUMMYFUNCTION("""COMPUTED_VALUE"""),"Imported from file DigiZag Codes 25Feb25.xlsx")</f>
        <v>Imported from file DigiZag Codes 25Feb25.xlsx</v>
      </c>
      <c r="F523" s="2" t="str">
        <f>IFERROR(__xludf.DUMMYFUNCTION("""COMPUTED_VALUE"""),"STZ875244")</f>
        <v>STZ875244</v>
      </c>
      <c r="G523" s="2" t="str">
        <f>IFERROR(__xludf.DUMMYFUNCTION("""COMPUTED_VALUE"""),"Kuwait")</f>
        <v>Kuwait</v>
      </c>
      <c r="H523" s="4">
        <f>IFERROR(__xludf.DUMMYFUNCTION("""COMPUTED_VALUE"""),18.85)</f>
        <v>18.85</v>
      </c>
      <c r="I523" s="3">
        <f>IFERROR(__xludf.DUMMYFUNCTION("""COMPUTED_VALUE"""),0.0)</f>
        <v>0</v>
      </c>
      <c r="J523" s="4">
        <f>IFERROR(__xludf.DUMMYFUNCTION("""COMPUTED_VALUE"""),1.885)</f>
        <v>1.885</v>
      </c>
      <c r="K523" s="2"/>
      <c r="L523" s="2" t="str">
        <f>IFERROR(__xludf.DUMMYFUNCTION("""COMPUTED_VALUE"""),"Processing")</f>
        <v>Processing</v>
      </c>
      <c r="M523" s="2" t="str">
        <f>IFERROR(__xludf.DUMMYFUNCTION("""COMPUTED_VALUE"""),"KD")</f>
        <v>KD</v>
      </c>
      <c r="N523" s="2" t="str">
        <f>IFERROR(__xludf.DUMMYFUNCTION("""COMPUTED_VALUE"""),"Credit, Debit, Knet")</f>
        <v>Credit, Debit, Knet</v>
      </c>
      <c r="O523" s="4">
        <f>IFERROR(__xludf.DUMMYFUNCTION("""COMPUTED_VALUE"""),0.0)</f>
        <v>0</v>
      </c>
      <c r="P523" s="2">
        <f>IFERROR(__xludf.DUMMYFUNCTION("""COMPUTED_VALUE"""),30.0)</f>
        <v>30</v>
      </c>
      <c r="Q523" s="2">
        <f>IFERROR(__xludf.DUMMYFUNCTION("""COMPUTED_VALUE"""),5.0)</f>
        <v>5</v>
      </c>
      <c r="R523" s="2">
        <f>IFERROR(__xludf.DUMMYFUNCTION("""COMPUTED_VALUE"""),2025.0)</f>
        <v>2025</v>
      </c>
      <c r="S523" s="2" t="str">
        <f>IFERROR(__xludf.DUMMYFUNCTION("""COMPUTED_VALUE"""),"Digizag")</f>
        <v>Digizag</v>
      </c>
      <c r="T523" s="2" t="str">
        <f>IFERROR(__xludf.DUMMYFUNCTION("""COMPUTED_VALUE"""),"Digizag")</f>
        <v>Digizag</v>
      </c>
      <c r="U523" s="5">
        <f>IFERROR(__xludf.DUMMYFUNCTION("""COMPUTED_VALUE"""),61.462687)</f>
        <v>61.462687</v>
      </c>
      <c r="V523" s="2"/>
      <c r="W523" s="2"/>
      <c r="X523" s="2"/>
      <c r="Y523" s="2"/>
      <c r="Z523" s="2"/>
    </row>
    <row r="524">
      <c r="A524" s="6">
        <f>IFERROR(__xludf.DUMMYFUNCTION("""COMPUTED_VALUE"""),45807.984201388885)</f>
        <v>45807.9842</v>
      </c>
      <c r="B524" s="2" t="str">
        <f>IFERROR(__xludf.DUMMYFUNCTION("""COMPUTED_VALUE"""),"May")</f>
        <v>May</v>
      </c>
      <c r="C524" s="3">
        <f>IFERROR(__xludf.DUMMYFUNCTION("""COMPUTED_VALUE"""),17665.0)</f>
        <v>17665</v>
      </c>
      <c r="D524" s="2" t="str">
        <f>IFERROR(__xludf.DUMMYFUNCTION("""COMPUTED_VALUE"""),"DB1")</f>
        <v>DB1</v>
      </c>
      <c r="E524" s="2" t="str">
        <f>IFERROR(__xludf.DUMMYFUNCTION("""COMPUTED_VALUE"""),"Imported from file Digizag.xlsx")</f>
        <v>Imported from file Digizag.xlsx</v>
      </c>
      <c r="F524" s="2" t="str">
        <f>IFERROR(__xludf.DUMMYFUNCTION("""COMPUTED_VALUE"""),"RKS689160")</f>
        <v>RKS689160</v>
      </c>
      <c r="G524" s="2" t="str">
        <f>IFERROR(__xludf.DUMMYFUNCTION("""COMPUTED_VALUE"""),"Kingdom of Saudi Arabia")</f>
        <v>Kingdom of Saudi Arabia</v>
      </c>
      <c r="H524" s="4">
        <f>IFERROR(__xludf.DUMMYFUNCTION("""COMPUTED_VALUE"""),135.35)</f>
        <v>135.35</v>
      </c>
      <c r="I524" s="3">
        <f>IFERROR(__xludf.DUMMYFUNCTION("""COMPUTED_VALUE"""),0.0)</f>
        <v>0</v>
      </c>
      <c r="J524" s="4">
        <f>IFERROR(__xludf.DUMMYFUNCTION("""COMPUTED_VALUE"""),30.0)</f>
        <v>30</v>
      </c>
      <c r="K524" s="2"/>
      <c r="L524" s="2" t="str">
        <f>IFERROR(__xludf.DUMMYFUNCTION("""COMPUTED_VALUE"""),"Processing")</f>
        <v>Processing</v>
      </c>
      <c r="M524" s="2" t="str">
        <f>IFERROR(__xludf.DUMMYFUNCTION("""COMPUTED_VALUE"""),"")</f>
        <v></v>
      </c>
      <c r="N524" s="2" t="str">
        <f>IFERROR(__xludf.DUMMYFUNCTION("""COMPUTED_VALUE"""),"Credit, Debit, Apple Pay")</f>
        <v>Credit, Debit, Apple Pay</v>
      </c>
      <c r="O524" s="4">
        <f>IFERROR(__xludf.DUMMYFUNCTION("""COMPUTED_VALUE"""),0.0)</f>
        <v>0</v>
      </c>
      <c r="P524" s="2">
        <f>IFERROR(__xludf.DUMMYFUNCTION("""COMPUTED_VALUE"""),30.0)</f>
        <v>30</v>
      </c>
      <c r="Q524" s="2">
        <f>IFERROR(__xludf.DUMMYFUNCTION("""COMPUTED_VALUE"""),5.0)</f>
        <v>5</v>
      </c>
      <c r="R524" s="2">
        <f>IFERROR(__xludf.DUMMYFUNCTION("""COMPUTED_VALUE"""),2025.0)</f>
        <v>2025</v>
      </c>
      <c r="S524" s="2" t="str">
        <f>IFERROR(__xludf.DUMMYFUNCTION("""COMPUTED_VALUE"""),"Digizag")</f>
        <v>Digizag</v>
      </c>
      <c r="T524" s="2" t="str">
        <f>IFERROR(__xludf.DUMMYFUNCTION("""COMPUTED_VALUE"""),"Digizag")</f>
        <v>Digizag</v>
      </c>
      <c r="U524" s="5">
        <f>IFERROR(__xludf.DUMMYFUNCTION("""COMPUTED_VALUE"""),36.0905423261)</f>
        <v>36.09054233</v>
      </c>
      <c r="V524" s="2"/>
      <c r="W524" s="2"/>
      <c r="X524" s="2"/>
      <c r="Y524" s="2"/>
      <c r="Z524" s="2"/>
    </row>
    <row r="525">
      <c r="A525" s="6">
        <f>IFERROR(__xludf.DUMMYFUNCTION("""COMPUTED_VALUE"""),45807.98836805555)</f>
        <v>45807.98837</v>
      </c>
      <c r="B525" s="2" t="str">
        <f>IFERROR(__xludf.DUMMYFUNCTION("""COMPUTED_VALUE"""),"May")</f>
        <v>May</v>
      </c>
      <c r="C525" s="3">
        <f>IFERROR(__xludf.DUMMYFUNCTION("""COMPUTED_VALUE"""),749146.0)</f>
        <v>749146</v>
      </c>
      <c r="D525" s="2" t="str">
        <f>IFERROR(__xludf.DUMMYFUNCTION("""COMPUTED_VALUE"""),"DB1")</f>
        <v>DB1</v>
      </c>
      <c r="E525" s="2" t="str">
        <f>IFERROR(__xludf.DUMMYFUNCTION("""COMPUTED_VALUE"""),"Imported from file Digizag.xlsx")</f>
        <v>Imported from file Digizag.xlsx</v>
      </c>
      <c r="F525" s="2" t="str">
        <f>IFERROR(__xludf.DUMMYFUNCTION("""COMPUTED_VALUE"""),"BMY671861")</f>
        <v>BMY671861</v>
      </c>
      <c r="G525" s="2" t="str">
        <f>IFERROR(__xludf.DUMMYFUNCTION("""COMPUTED_VALUE"""),"Kuwait")</f>
        <v>Kuwait</v>
      </c>
      <c r="H525" s="4">
        <f>IFERROR(__xludf.DUMMYFUNCTION("""COMPUTED_VALUE"""),52.85)</f>
        <v>52.85</v>
      </c>
      <c r="I525" s="3">
        <f>IFERROR(__xludf.DUMMYFUNCTION("""COMPUTED_VALUE"""),0.0)</f>
        <v>0</v>
      </c>
      <c r="J525" s="4">
        <f>IFERROR(__xludf.DUMMYFUNCTION("""COMPUTED_VALUE"""),5.285)</f>
        <v>5.285</v>
      </c>
      <c r="K525" s="2"/>
      <c r="L525" s="2" t="str">
        <f>IFERROR(__xludf.DUMMYFUNCTION("""COMPUTED_VALUE"""),"Processing")</f>
        <v>Processing</v>
      </c>
      <c r="M525" s="2" t="str">
        <f>IFERROR(__xludf.DUMMYFUNCTION("""COMPUTED_VALUE"""),"KD")</f>
        <v>KD</v>
      </c>
      <c r="N525" s="2" t="str">
        <f>IFERROR(__xludf.DUMMYFUNCTION("""COMPUTED_VALUE"""),"Credit, Debit, Knet")</f>
        <v>Credit, Debit, Knet</v>
      </c>
      <c r="O525" s="4">
        <f>IFERROR(__xludf.DUMMYFUNCTION("""COMPUTED_VALUE"""),0.0)</f>
        <v>0</v>
      </c>
      <c r="P525" s="2">
        <f>IFERROR(__xludf.DUMMYFUNCTION("""COMPUTED_VALUE"""),30.0)</f>
        <v>30</v>
      </c>
      <c r="Q525" s="2">
        <f>IFERROR(__xludf.DUMMYFUNCTION("""COMPUTED_VALUE"""),5.0)</f>
        <v>5</v>
      </c>
      <c r="R525" s="2">
        <f>IFERROR(__xludf.DUMMYFUNCTION("""COMPUTED_VALUE"""),2025.0)</f>
        <v>2025</v>
      </c>
      <c r="S525" s="2" t="str">
        <f>IFERROR(__xludf.DUMMYFUNCTION("""COMPUTED_VALUE"""),"Digizag")</f>
        <v>Digizag</v>
      </c>
      <c r="T525" s="2" t="str">
        <f>IFERROR(__xludf.DUMMYFUNCTION("""COMPUTED_VALUE"""),"Digizag")</f>
        <v>Digizag</v>
      </c>
      <c r="U525" s="5">
        <f>IFERROR(__xludf.DUMMYFUNCTION("""COMPUTED_VALUE"""),172.323767)</f>
        <v>172.323767</v>
      </c>
      <c r="V525" s="2"/>
      <c r="W525" s="2"/>
      <c r="X525" s="2"/>
      <c r="Y525" s="2"/>
      <c r="Z525" s="2"/>
    </row>
    <row r="526">
      <c r="A526" s="6">
        <f>IFERROR(__xludf.DUMMYFUNCTION("""COMPUTED_VALUE"""),45808.34190972222)</f>
        <v>45808.34191</v>
      </c>
      <c r="B526" s="2" t="str">
        <f>IFERROR(__xludf.DUMMYFUNCTION("""COMPUTED_VALUE"""),"May")</f>
        <v>May</v>
      </c>
      <c r="C526" s="3">
        <f>IFERROR(__xludf.DUMMYFUNCTION("""COMPUTED_VALUE"""),301998.0)</f>
        <v>301998</v>
      </c>
      <c r="D526" s="2" t="str">
        <f>IFERROR(__xludf.DUMMYFUNCTION("""COMPUTED_VALUE"""),"RR22")</f>
        <v>RR22</v>
      </c>
      <c r="E526" s="2" t="str">
        <f>IFERROR(__xludf.DUMMYFUNCTION("""COMPUTED_VALUE"""),"Imported from file Digizag.xlsx")</f>
        <v>Imported from file Digizag.xlsx</v>
      </c>
      <c r="F526" s="2" t="str">
        <f>IFERROR(__xludf.DUMMYFUNCTION("""COMPUTED_VALUE"""),"LKU781040")</f>
        <v>LKU781040</v>
      </c>
      <c r="G526" s="2" t="str">
        <f>IFERROR(__xludf.DUMMYFUNCTION("""COMPUTED_VALUE"""),"UAE")</f>
        <v>UAE</v>
      </c>
      <c r="H526" s="4">
        <f>IFERROR(__xludf.DUMMYFUNCTION("""COMPUTED_VALUE"""),122.0)</f>
        <v>122</v>
      </c>
      <c r="I526" s="3">
        <f>IFERROR(__xludf.DUMMYFUNCTION("""COMPUTED_VALUE"""),0.0)</f>
        <v>0</v>
      </c>
      <c r="J526" s="4">
        <f>IFERROR(__xludf.DUMMYFUNCTION("""COMPUTED_VALUE"""),12.2)</f>
        <v>12.2</v>
      </c>
      <c r="K526" s="2"/>
      <c r="L526" s="2" t="str">
        <f>IFERROR(__xludf.DUMMYFUNCTION("""COMPUTED_VALUE"""),"Delivered")</f>
        <v>Delivered</v>
      </c>
      <c r="M526" s="2" t="str">
        <f>IFERROR(__xludf.DUMMYFUNCTION("""COMPUTED_VALUE"""),"")</f>
        <v></v>
      </c>
      <c r="N526" s="2" t="str">
        <f>IFERROR(__xludf.DUMMYFUNCTION("""COMPUTED_VALUE"""),"Credit, Debit , Apple Pay")</f>
        <v>Credit, Debit , Apple Pay</v>
      </c>
      <c r="O526" s="4">
        <f>IFERROR(__xludf.DUMMYFUNCTION("""COMPUTED_VALUE"""),0.0)</f>
        <v>0</v>
      </c>
      <c r="P526" s="2">
        <f>IFERROR(__xludf.DUMMYFUNCTION("""COMPUTED_VALUE"""),31.0)</f>
        <v>31</v>
      </c>
      <c r="Q526" s="2">
        <f>IFERROR(__xludf.DUMMYFUNCTION("""COMPUTED_VALUE"""),5.0)</f>
        <v>5</v>
      </c>
      <c r="R526" s="2">
        <f>IFERROR(__xludf.DUMMYFUNCTION("""COMPUTED_VALUE"""),2025.0)</f>
        <v>2025</v>
      </c>
      <c r="S526" s="2" t="str">
        <f>IFERROR(__xludf.DUMMYFUNCTION("""COMPUTED_VALUE"""),"Digizag")</f>
        <v>Digizag</v>
      </c>
      <c r="T526" s="2" t="str">
        <f>IFERROR(__xludf.DUMMYFUNCTION("""COMPUTED_VALUE"""),"Digizag")</f>
        <v>Digizag</v>
      </c>
      <c r="U526" s="5">
        <f>IFERROR(__xludf.DUMMYFUNCTION("""COMPUTED_VALUE"""),33.219877516)</f>
        <v>33.21987752</v>
      </c>
      <c r="V526" s="2"/>
      <c r="W526" s="2"/>
      <c r="X526" s="2"/>
      <c r="Y526" s="2"/>
      <c r="Z526" s="2"/>
    </row>
    <row r="527">
      <c r="A527" s="6">
        <f>IFERROR(__xludf.DUMMYFUNCTION("""COMPUTED_VALUE"""),45808.38193287037)</f>
        <v>45808.38193</v>
      </c>
      <c r="B527" s="2" t="str">
        <f>IFERROR(__xludf.DUMMYFUNCTION("""COMPUTED_VALUE"""),"May")</f>
        <v>May</v>
      </c>
      <c r="C527" s="3">
        <f>IFERROR(__xludf.DUMMYFUNCTION("""COMPUTED_VALUE"""),64961.0)</f>
        <v>64961</v>
      </c>
      <c r="D527" s="2" t="str">
        <f>IFERROR(__xludf.DUMMYFUNCTION("""COMPUTED_VALUE"""),"DB1")</f>
        <v>DB1</v>
      </c>
      <c r="E527" s="2" t="str">
        <f>IFERROR(__xludf.DUMMYFUNCTION("""COMPUTED_VALUE"""),"Imported from file Digizag.xlsx")</f>
        <v>Imported from file Digizag.xlsx</v>
      </c>
      <c r="F527" s="2" t="str">
        <f>IFERROR(__xludf.DUMMYFUNCTION("""COMPUTED_VALUE"""),"PRL909359")</f>
        <v>PRL909359</v>
      </c>
      <c r="G527" s="2" t="str">
        <f>IFERROR(__xludf.DUMMYFUNCTION("""COMPUTED_VALUE"""),"Kingdom of Saudi Arabia")</f>
        <v>Kingdom of Saudi Arabia</v>
      </c>
      <c r="H527" s="4">
        <f>IFERROR(__xludf.DUMMYFUNCTION("""COMPUTED_VALUE"""),288.0)</f>
        <v>288</v>
      </c>
      <c r="I527" s="3">
        <f>IFERROR(__xludf.DUMMYFUNCTION("""COMPUTED_VALUE"""),0.0)</f>
        <v>0</v>
      </c>
      <c r="J527" s="4">
        <f>IFERROR(__xludf.DUMMYFUNCTION("""COMPUTED_VALUE"""),30.0)</f>
        <v>30</v>
      </c>
      <c r="K527" s="2"/>
      <c r="L527" s="2" t="str">
        <f>IFERROR(__xludf.DUMMYFUNCTION("""COMPUTED_VALUE"""),"Delivered")</f>
        <v>Delivered</v>
      </c>
      <c r="M527" s="2" t="str">
        <f>IFERROR(__xludf.DUMMYFUNCTION("""COMPUTED_VALUE"""),"")</f>
        <v></v>
      </c>
      <c r="N527" s="2" t="str">
        <f>IFERROR(__xludf.DUMMYFUNCTION("""COMPUTED_VALUE"""),"Pay in 4. No interest, no fees")</f>
        <v>Pay in 4. No interest, no fees</v>
      </c>
      <c r="O527" s="4">
        <f>IFERROR(__xludf.DUMMYFUNCTION("""COMPUTED_VALUE"""),0.0)</f>
        <v>0</v>
      </c>
      <c r="P527" s="2">
        <f>IFERROR(__xludf.DUMMYFUNCTION("""COMPUTED_VALUE"""),31.0)</f>
        <v>31</v>
      </c>
      <c r="Q527" s="2">
        <f>IFERROR(__xludf.DUMMYFUNCTION("""COMPUTED_VALUE"""),5.0)</f>
        <v>5</v>
      </c>
      <c r="R527" s="2">
        <f>IFERROR(__xludf.DUMMYFUNCTION("""COMPUTED_VALUE"""),2025.0)</f>
        <v>2025</v>
      </c>
      <c r="S527" s="2" t="str">
        <f>IFERROR(__xludf.DUMMYFUNCTION("""COMPUTED_VALUE"""),"Digizag")</f>
        <v>Digizag</v>
      </c>
      <c r="T527" s="2" t="str">
        <f>IFERROR(__xludf.DUMMYFUNCTION("""COMPUTED_VALUE"""),"Digizag")</f>
        <v>Digizag</v>
      </c>
      <c r="U527" s="5">
        <f>IFERROR(__xludf.DUMMYFUNCTION("""COMPUTED_VALUE"""),76.794061248)</f>
        <v>76.79406125</v>
      </c>
      <c r="V527" s="2"/>
      <c r="W527" s="2"/>
      <c r="X527" s="2"/>
      <c r="Y527" s="2"/>
      <c r="Z527" s="2"/>
    </row>
    <row r="528">
      <c r="A528" s="6">
        <f>IFERROR(__xludf.DUMMYFUNCTION("""COMPUTED_VALUE"""),45808.38324074074)</f>
        <v>45808.38324</v>
      </c>
      <c r="B528" s="2" t="str">
        <f>IFERROR(__xludf.DUMMYFUNCTION("""COMPUTED_VALUE"""),"May")</f>
        <v>May</v>
      </c>
      <c r="C528" s="3">
        <f>IFERROR(__xludf.DUMMYFUNCTION("""COMPUTED_VALUE"""),183614.0)</f>
        <v>183614</v>
      </c>
      <c r="D528" s="2" t="str">
        <f>IFERROR(__xludf.DUMMYFUNCTION("""COMPUTED_VALUE"""),"MNN16")</f>
        <v>MNN16</v>
      </c>
      <c r="E528" s="2" t="str">
        <f>IFERROR(__xludf.DUMMYFUNCTION("""COMPUTED_VALUE"""),"Imported from file DigiZag Codes 25Feb25.xlsx")</f>
        <v>Imported from file DigiZag Codes 25Feb25.xlsx</v>
      </c>
      <c r="F528" s="2" t="str">
        <f>IFERROR(__xludf.DUMMYFUNCTION("""COMPUTED_VALUE"""),"TEB412609")</f>
        <v>TEB412609</v>
      </c>
      <c r="G528" s="2" t="str">
        <f>IFERROR(__xludf.DUMMYFUNCTION("""COMPUTED_VALUE"""),"UAE")</f>
        <v>UAE</v>
      </c>
      <c r="H528" s="4">
        <f>IFERROR(__xludf.DUMMYFUNCTION("""COMPUTED_VALUE"""),468.0)</f>
        <v>468</v>
      </c>
      <c r="I528" s="3">
        <f>IFERROR(__xludf.DUMMYFUNCTION("""COMPUTED_VALUE"""),0.0)</f>
        <v>0</v>
      </c>
      <c r="J528" s="4">
        <f>IFERROR(__xludf.DUMMYFUNCTION("""COMPUTED_VALUE"""),46.8)</f>
        <v>46.8</v>
      </c>
      <c r="K528" s="2"/>
      <c r="L528" s="2" t="str">
        <f>IFERROR(__xludf.DUMMYFUNCTION("""COMPUTED_VALUE"""),"Processing")</f>
        <v>Processing</v>
      </c>
      <c r="M528" s="2" t="str">
        <f>IFERROR(__xludf.DUMMYFUNCTION("""COMPUTED_VALUE"""),"")</f>
        <v></v>
      </c>
      <c r="N528" s="2" t="str">
        <f>IFERROR(__xludf.DUMMYFUNCTION("""COMPUTED_VALUE"""),"Credit, Debit , Apple Pay")</f>
        <v>Credit, Debit , Apple Pay</v>
      </c>
      <c r="O528" s="4">
        <f>IFERROR(__xludf.DUMMYFUNCTION("""COMPUTED_VALUE"""),0.0)</f>
        <v>0</v>
      </c>
      <c r="P528" s="2">
        <f>IFERROR(__xludf.DUMMYFUNCTION("""COMPUTED_VALUE"""),31.0)</f>
        <v>31</v>
      </c>
      <c r="Q528" s="2">
        <f>IFERROR(__xludf.DUMMYFUNCTION("""COMPUTED_VALUE"""),5.0)</f>
        <v>5</v>
      </c>
      <c r="R528" s="2">
        <f>IFERROR(__xludf.DUMMYFUNCTION("""COMPUTED_VALUE"""),2025.0)</f>
        <v>2025</v>
      </c>
      <c r="S528" s="2" t="str">
        <f>IFERROR(__xludf.DUMMYFUNCTION("""COMPUTED_VALUE"""),"Digizag")</f>
        <v>Digizag</v>
      </c>
      <c r="T528" s="2" t="str">
        <f>IFERROR(__xludf.DUMMYFUNCTION("""COMPUTED_VALUE"""),"Digizag")</f>
        <v>Digizag</v>
      </c>
      <c r="U528" s="5">
        <f>IFERROR(__xludf.DUMMYFUNCTION("""COMPUTED_VALUE"""),127.433628504)</f>
        <v>127.4336285</v>
      </c>
      <c r="V528" s="2"/>
      <c r="W528" s="2"/>
      <c r="X528" s="2"/>
      <c r="Y528" s="2"/>
      <c r="Z528" s="2"/>
    </row>
    <row r="529">
      <c r="A529" s="6">
        <f>IFERROR(__xludf.DUMMYFUNCTION("""COMPUTED_VALUE"""),45808.3861574074)</f>
        <v>45808.38616</v>
      </c>
      <c r="B529" s="2" t="str">
        <f>IFERROR(__xludf.DUMMYFUNCTION("""COMPUTED_VALUE"""),"May")</f>
        <v>May</v>
      </c>
      <c r="C529" s="3">
        <f>IFERROR(__xludf.DUMMYFUNCTION("""COMPUTED_VALUE"""),436872.0)</f>
        <v>436872</v>
      </c>
      <c r="D529" s="2" t="str">
        <f>IFERROR(__xludf.DUMMYFUNCTION("""COMPUTED_VALUE"""),"DB1")</f>
        <v>DB1</v>
      </c>
      <c r="E529" s="2" t="str">
        <f>IFERROR(__xludf.DUMMYFUNCTION("""COMPUTED_VALUE"""),"Imported from file Digizag.xlsx")</f>
        <v>Imported from file Digizag.xlsx</v>
      </c>
      <c r="F529" s="2" t="str">
        <f>IFERROR(__xludf.DUMMYFUNCTION("""COMPUTED_VALUE"""),"VMX293118")</f>
        <v>VMX293118</v>
      </c>
      <c r="G529" s="2" t="str">
        <f>IFERROR(__xludf.DUMMYFUNCTION("""COMPUTED_VALUE"""),"Bahrain")</f>
        <v>Bahrain</v>
      </c>
      <c r="H529" s="4">
        <f>IFERROR(__xludf.DUMMYFUNCTION("""COMPUTED_VALUE"""),10.8)</f>
        <v>10.8</v>
      </c>
      <c r="I529" s="3">
        <f>IFERROR(__xludf.DUMMYFUNCTION("""COMPUTED_VALUE"""),0.0)</f>
        <v>0</v>
      </c>
      <c r="J529" s="4">
        <f>IFERROR(__xludf.DUMMYFUNCTION("""COMPUTED_VALUE"""),1.07)</f>
        <v>1.07</v>
      </c>
      <c r="K529" s="2"/>
      <c r="L529" s="2" t="str">
        <f>IFERROR(__xludf.DUMMYFUNCTION("""COMPUTED_VALUE"""),"Delivered")</f>
        <v>Delivered</v>
      </c>
      <c r="M529" s="2" t="str">
        <f>IFERROR(__xludf.DUMMYFUNCTION("""COMPUTED_VALUE"""),"BHD")</f>
        <v>BHD</v>
      </c>
      <c r="N529" s="2" t="str">
        <f>IFERROR(__xludf.DUMMYFUNCTION("""COMPUTED_VALUE"""),"Credit, Debit")</f>
        <v>Credit, Debit</v>
      </c>
      <c r="O529" s="4">
        <f>IFERROR(__xludf.DUMMYFUNCTION("""COMPUTED_VALUE"""),0.0)</f>
        <v>0</v>
      </c>
      <c r="P529" s="2">
        <f>IFERROR(__xludf.DUMMYFUNCTION("""COMPUTED_VALUE"""),31.0)</f>
        <v>31</v>
      </c>
      <c r="Q529" s="2">
        <f>IFERROR(__xludf.DUMMYFUNCTION("""COMPUTED_VALUE"""),5.0)</f>
        <v>5</v>
      </c>
      <c r="R529" s="2">
        <f>IFERROR(__xludf.DUMMYFUNCTION("""COMPUTED_VALUE"""),2025.0)</f>
        <v>2025</v>
      </c>
      <c r="S529" s="2" t="str">
        <f>IFERROR(__xludf.DUMMYFUNCTION("""COMPUTED_VALUE"""),"Digizag")</f>
        <v>Digizag</v>
      </c>
      <c r="T529" s="2" t="str">
        <f>IFERROR(__xludf.DUMMYFUNCTION("""COMPUTED_VALUE"""),"Digizag")</f>
        <v>Digizag</v>
      </c>
      <c r="U529" s="5">
        <f>IFERROR(__xludf.DUMMYFUNCTION("""COMPUTED_VALUE"""),28.6515036)</f>
        <v>28.6515036</v>
      </c>
      <c r="V529" s="2"/>
      <c r="W529" s="2"/>
      <c r="X529" s="2"/>
      <c r="Y529" s="2"/>
      <c r="Z529" s="2"/>
    </row>
    <row r="530">
      <c r="A530" s="6">
        <f>IFERROR(__xludf.DUMMYFUNCTION("""COMPUTED_VALUE"""),45808.39679398148)</f>
        <v>45808.39679</v>
      </c>
      <c r="B530" s="2" t="str">
        <f>IFERROR(__xludf.DUMMYFUNCTION("""COMPUTED_VALUE"""),"May")</f>
        <v>May</v>
      </c>
      <c r="C530" s="3">
        <f>IFERROR(__xludf.DUMMYFUNCTION("""COMPUTED_VALUE"""),218301.0)</f>
        <v>218301</v>
      </c>
      <c r="D530" s="2" t="str">
        <f>IFERROR(__xludf.DUMMYFUNCTION("""COMPUTED_VALUE"""),"ZM22")</f>
        <v>ZM22</v>
      </c>
      <c r="E530" s="2" t="str">
        <f>IFERROR(__xludf.DUMMYFUNCTION("""COMPUTED_VALUE"""),"Imported from file Digizag.xlsx")</f>
        <v>Imported from file Digizag.xlsx</v>
      </c>
      <c r="F530" s="2" t="str">
        <f>IFERROR(__xludf.DUMMYFUNCTION("""COMPUTED_VALUE"""),"WMB718382")</f>
        <v>WMB718382</v>
      </c>
      <c r="G530" s="2" t="str">
        <f>IFERROR(__xludf.DUMMYFUNCTION("""COMPUTED_VALUE"""),"UAE")</f>
        <v>UAE</v>
      </c>
      <c r="H530" s="4">
        <f>IFERROR(__xludf.DUMMYFUNCTION("""COMPUTED_VALUE"""),519.48)</f>
        <v>519.48</v>
      </c>
      <c r="I530" s="3">
        <f>IFERROR(__xludf.DUMMYFUNCTION("""COMPUTED_VALUE"""),0.0)</f>
        <v>0</v>
      </c>
      <c r="J530" s="4">
        <f>IFERROR(__xludf.DUMMYFUNCTION("""COMPUTED_VALUE"""),51.94)</f>
        <v>51.94</v>
      </c>
      <c r="K530" s="2"/>
      <c r="L530" s="2" t="str">
        <f>IFERROR(__xludf.DUMMYFUNCTION("""COMPUTED_VALUE"""),"Processing")</f>
        <v>Processing</v>
      </c>
      <c r="M530" s="2" t="str">
        <f>IFERROR(__xludf.DUMMYFUNCTION("""COMPUTED_VALUE"""),"")</f>
        <v></v>
      </c>
      <c r="N530" s="2" t="str">
        <f>IFERROR(__xludf.DUMMYFUNCTION("""COMPUTED_VALUE"""),"Credit, Debit , Apple Pay")</f>
        <v>Credit, Debit , Apple Pay</v>
      </c>
      <c r="O530" s="4">
        <f>IFERROR(__xludf.DUMMYFUNCTION("""COMPUTED_VALUE"""),0.0)</f>
        <v>0</v>
      </c>
      <c r="P530" s="2">
        <f>IFERROR(__xludf.DUMMYFUNCTION("""COMPUTED_VALUE"""),31.0)</f>
        <v>31</v>
      </c>
      <c r="Q530" s="2">
        <f>IFERROR(__xludf.DUMMYFUNCTION("""COMPUTED_VALUE"""),5.0)</f>
        <v>5</v>
      </c>
      <c r="R530" s="2">
        <f>IFERROR(__xludf.DUMMYFUNCTION("""COMPUTED_VALUE"""),2025.0)</f>
        <v>2025</v>
      </c>
      <c r="S530" s="2" t="str">
        <f>IFERROR(__xludf.DUMMYFUNCTION("""COMPUTED_VALUE"""),"Digizag")</f>
        <v>Digizag</v>
      </c>
      <c r="T530" s="2" t="str">
        <f>IFERROR(__xludf.DUMMYFUNCTION("""COMPUTED_VALUE"""),"Digizag")</f>
        <v>Digizag</v>
      </c>
      <c r="U530" s="5">
        <f>IFERROR(__xludf.DUMMYFUNCTION("""COMPUTED_VALUE"""),141.45132763944)</f>
        <v>141.4513276</v>
      </c>
      <c r="V530" s="2"/>
      <c r="W530" s="2"/>
      <c r="X530" s="2"/>
      <c r="Y530" s="2"/>
      <c r="Z530" s="2"/>
    </row>
    <row r="531">
      <c r="A531" s="6">
        <f>IFERROR(__xludf.DUMMYFUNCTION("""COMPUTED_VALUE"""),45808.46818287037)</f>
        <v>45808.46818</v>
      </c>
      <c r="B531" s="2" t="str">
        <f>IFERROR(__xludf.DUMMYFUNCTION("""COMPUTED_VALUE"""),"May")</f>
        <v>May</v>
      </c>
      <c r="C531" s="3">
        <f>IFERROR(__xludf.DUMMYFUNCTION("""COMPUTED_VALUE"""),689406.0)</f>
        <v>689406</v>
      </c>
      <c r="D531" s="2" t="str">
        <f>IFERROR(__xludf.DUMMYFUNCTION("""COMPUTED_VALUE"""),"MNN16")</f>
        <v>MNN16</v>
      </c>
      <c r="E531" s="2" t="str">
        <f>IFERROR(__xludf.DUMMYFUNCTION("""COMPUTED_VALUE"""),"Imported from file DigiZag Bidding Codes.xlsx")</f>
        <v>Imported from file DigiZag Bidding Codes.xlsx</v>
      </c>
      <c r="F531" s="2" t="str">
        <f>IFERROR(__xludf.DUMMYFUNCTION("""COMPUTED_VALUE"""),"GDZ821799")</f>
        <v>GDZ821799</v>
      </c>
      <c r="G531" s="2" t="str">
        <f>IFERROR(__xludf.DUMMYFUNCTION("""COMPUTED_VALUE"""),"Kingdom of Saudi Arabia")</f>
        <v>Kingdom of Saudi Arabia</v>
      </c>
      <c r="H531" s="4">
        <f>IFERROR(__xludf.DUMMYFUNCTION("""COMPUTED_VALUE"""),68.7)</f>
        <v>68.7</v>
      </c>
      <c r="I531" s="3">
        <f>IFERROR(__xludf.DUMMYFUNCTION("""COMPUTED_VALUE"""),0.0)</f>
        <v>0</v>
      </c>
      <c r="J531" s="4">
        <f>IFERROR(__xludf.DUMMYFUNCTION("""COMPUTED_VALUE"""),30.0)</f>
        <v>30</v>
      </c>
      <c r="K531" s="2"/>
      <c r="L531" s="2" t="str">
        <f>IFERROR(__xludf.DUMMYFUNCTION("""COMPUTED_VALUE"""),"Processing")</f>
        <v>Processing</v>
      </c>
      <c r="M531" s="2" t="str">
        <f>IFERROR(__xludf.DUMMYFUNCTION("""COMPUTED_VALUE"""),"")</f>
        <v></v>
      </c>
      <c r="N531" s="2" t="str">
        <f>IFERROR(__xludf.DUMMYFUNCTION("""COMPUTED_VALUE"""),"Credit, Debit, Apple Pay")</f>
        <v>Credit, Debit, Apple Pay</v>
      </c>
      <c r="O531" s="4">
        <f>IFERROR(__xludf.DUMMYFUNCTION("""COMPUTED_VALUE"""),0.0)</f>
        <v>0</v>
      </c>
      <c r="P531" s="2">
        <f>IFERROR(__xludf.DUMMYFUNCTION("""COMPUTED_VALUE"""),31.0)</f>
        <v>31</v>
      </c>
      <c r="Q531" s="2">
        <f>IFERROR(__xludf.DUMMYFUNCTION("""COMPUTED_VALUE"""),5.0)</f>
        <v>5</v>
      </c>
      <c r="R531" s="2">
        <f>IFERROR(__xludf.DUMMYFUNCTION("""COMPUTED_VALUE"""),2025.0)</f>
        <v>2025</v>
      </c>
      <c r="S531" s="2" t="str">
        <f>IFERROR(__xludf.DUMMYFUNCTION("""COMPUTED_VALUE"""),"Digizag")</f>
        <v>Digizag</v>
      </c>
      <c r="T531" s="2" t="str">
        <f>IFERROR(__xludf.DUMMYFUNCTION("""COMPUTED_VALUE"""),"Digizag")</f>
        <v>Digizag</v>
      </c>
      <c r="U531" s="5">
        <f>IFERROR(__xludf.DUMMYFUNCTION("""COMPUTED_VALUE"""),18.3185833602)</f>
        <v>18.31858336</v>
      </c>
      <c r="V531" s="2"/>
      <c r="W531" s="2"/>
      <c r="X531" s="2"/>
      <c r="Y531" s="2"/>
      <c r="Z531" s="2"/>
    </row>
    <row r="532">
      <c r="A532" s="6">
        <f>IFERROR(__xludf.DUMMYFUNCTION("""COMPUTED_VALUE"""),45808.51457175926)</f>
        <v>45808.51457</v>
      </c>
      <c r="B532" s="2" t="str">
        <f>IFERROR(__xludf.DUMMYFUNCTION("""COMPUTED_VALUE"""),"May")</f>
        <v>May</v>
      </c>
      <c r="C532" s="3">
        <f>IFERROR(__xludf.DUMMYFUNCTION("""COMPUTED_VALUE"""),180447.0)</f>
        <v>180447</v>
      </c>
      <c r="D532" s="2" t="str">
        <f>IFERROR(__xludf.DUMMYFUNCTION("""COMPUTED_VALUE"""),"MNN16")</f>
        <v>MNN16</v>
      </c>
      <c r="E532" s="2" t="str">
        <f>IFERROR(__xludf.DUMMYFUNCTION("""COMPUTED_VALUE"""),"Imported from file DigiZag Bidding Codes.xlsx")</f>
        <v>Imported from file DigiZag Bidding Codes.xlsx</v>
      </c>
      <c r="F532" s="2" t="str">
        <f>IFERROR(__xludf.DUMMYFUNCTION("""COMPUTED_VALUE"""),"PCX554659")</f>
        <v>PCX554659</v>
      </c>
      <c r="G532" s="2" t="str">
        <f>IFERROR(__xludf.DUMMYFUNCTION("""COMPUTED_VALUE"""),"Kingdom of Saudi Arabia")</f>
        <v>Kingdom of Saudi Arabia</v>
      </c>
      <c r="H532" s="4">
        <f>IFERROR(__xludf.DUMMYFUNCTION("""COMPUTED_VALUE"""),22.92)</f>
        <v>22.92</v>
      </c>
      <c r="I532" s="3">
        <f>IFERROR(__xludf.DUMMYFUNCTION("""COMPUTED_VALUE"""),0.0)</f>
        <v>0</v>
      </c>
      <c r="J532" s="4">
        <f>IFERROR(__xludf.DUMMYFUNCTION("""COMPUTED_VALUE"""),11.46)</f>
        <v>11.46</v>
      </c>
      <c r="K532" s="2"/>
      <c r="L532" s="2" t="str">
        <f>IFERROR(__xludf.DUMMYFUNCTION("""COMPUTED_VALUE"""),"Delivered")</f>
        <v>Delivered</v>
      </c>
      <c r="M532" s="2" t="str">
        <f>IFERROR(__xludf.DUMMYFUNCTION("""COMPUTED_VALUE"""),"")</f>
        <v></v>
      </c>
      <c r="N532" s="2" t="str">
        <f>IFERROR(__xludf.DUMMYFUNCTION("""COMPUTED_VALUE"""),"Credit, Debit, Apple Pay")</f>
        <v>Credit, Debit, Apple Pay</v>
      </c>
      <c r="O532" s="4">
        <f>IFERROR(__xludf.DUMMYFUNCTION("""COMPUTED_VALUE"""),0.0)</f>
        <v>0</v>
      </c>
      <c r="P532" s="2">
        <f>IFERROR(__xludf.DUMMYFUNCTION("""COMPUTED_VALUE"""),31.0)</f>
        <v>31</v>
      </c>
      <c r="Q532" s="2">
        <f>IFERROR(__xludf.DUMMYFUNCTION("""COMPUTED_VALUE"""),5.0)</f>
        <v>5</v>
      </c>
      <c r="R532" s="2">
        <f>IFERROR(__xludf.DUMMYFUNCTION("""COMPUTED_VALUE"""),2025.0)</f>
        <v>2025</v>
      </c>
      <c r="S532" s="2" t="str">
        <f>IFERROR(__xludf.DUMMYFUNCTION("""COMPUTED_VALUE"""),"Digizag")</f>
        <v>Digizag</v>
      </c>
      <c r="T532" s="2" t="str">
        <f>IFERROR(__xludf.DUMMYFUNCTION("""COMPUTED_VALUE"""),"Digizag")</f>
        <v>Digizag</v>
      </c>
      <c r="U532" s="5">
        <f>IFERROR(__xludf.DUMMYFUNCTION("""COMPUTED_VALUE"""),6.111527374320001)</f>
        <v>6.111527374</v>
      </c>
      <c r="V532" s="2"/>
      <c r="W532" s="2"/>
      <c r="X532" s="2"/>
      <c r="Y532" s="2"/>
      <c r="Z532" s="2"/>
    </row>
    <row r="533">
      <c r="A533" s="6">
        <f>IFERROR(__xludf.DUMMYFUNCTION("""COMPUTED_VALUE"""),45808.52444444444)</f>
        <v>45808.52444</v>
      </c>
      <c r="B533" s="2" t="str">
        <f>IFERROR(__xludf.DUMMYFUNCTION("""COMPUTED_VALUE"""),"May")</f>
        <v>May</v>
      </c>
      <c r="C533" s="3">
        <f>IFERROR(__xludf.DUMMYFUNCTION("""COMPUTED_VALUE"""),694517.0)</f>
        <v>694517</v>
      </c>
      <c r="D533" s="2" t="str">
        <f>IFERROR(__xludf.DUMMYFUNCTION("""COMPUTED_VALUE"""),"RR22")</f>
        <v>RR22</v>
      </c>
      <c r="E533" s="2" t="str">
        <f>IFERROR(__xludf.DUMMYFUNCTION("""COMPUTED_VALUE"""),"Imported from file Digizag.xlsx")</f>
        <v>Imported from file Digizag.xlsx</v>
      </c>
      <c r="F533" s="2" t="str">
        <f>IFERROR(__xludf.DUMMYFUNCTION("""COMPUTED_VALUE"""),"LPB951884")</f>
        <v>LPB951884</v>
      </c>
      <c r="G533" s="2" t="str">
        <f>IFERROR(__xludf.DUMMYFUNCTION("""COMPUTED_VALUE"""),"UAE")</f>
        <v>UAE</v>
      </c>
      <c r="H533" s="4">
        <f>IFERROR(__xludf.DUMMYFUNCTION("""COMPUTED_VALUE"""),99.0)</f>
        <v>99</v>
      </c>
      <c r="I533" s="3">
        <f>IFERROR(__xludf.DUMMYFUNCTION("""COMPUTED_VALUE"""),0.0)</f>
        <v>0</v>
      </c>
      <c r="J533" s="4">
        <f>IFERROR(__xludf.DUMMYFUNCTION("""COMPUTED_VALUE"""),9.9)</f>
        <v>9.9</v>
      </c>
      <c r="K533" s="2"/>
      <c r="L533" s="2" t="str">
        <f>IFERROR(__xludf.DUMMYFUNCTION("""COMPUTED_VALUE"""),"Processing")</f>
        <v>Processing</v>
      </c>
      <c r="M533" s="2" t="str">
        <f>IFERROR(__xludf.DUMMYFUNCTION("""COMPUTED_VALUE"""),"")</f>
        <v></v>
      </c>
      <c r="N533" s="2" t="str">
        <f>IFERROR(__xludf.DUMMYFUNCTION("""COMPUTED_VALUE"""),"Credit, Debit , Apple Pay")</f>
        <v>Credit, Debit , Apple Pay</v>
      </c>
      <c r="O533" s="4">
        <f>IFERROR(__xludf.DUMMYFUNCTION("""COMPUTED_VALUE"""),0.0)</f>
        <v>0</v>
      </c>
      <c r="P533" s="2">
        <f>IFERROR(__xludf.DUMMYFUNCTION("""COMPUTED_VALUE"""),31.0)</f>
        <v>31</v>
      </c>
      <c r="Q533" s="2">
        <f>IFERROR(__xludf.DUMMYFUNCTION("""COMPUTED_VALUE"""),5.0)</f>
        <v>5</v>
      </c>
      <c r="R533" s="2">
        <f>IFERROR(__xludf.DUMMYFUNCTION("""COMPUTED_VALUE"""),2025.0)</f>
        <v>2025</v>
      </c>
      <c r="S533" s="2" t="str">
        <f>IFERROR(__xludf.DUMMYFUNCTION("""COMPUTED_VALUE"""),"Digizag")</f>
        <v>Digizag</v>
      </c>
      <c r="T533" s="2" t="str">
        <f>IFERROR(__xludf.DUMMYFUNCTION("""COMPUTED_VALUE"""),"Digizag")</f>
        <v>Digizag</v>
      </c>
      <c r="U533" s="5">
        <f>IFERROR(__xludf.DUMMYFUNCTION("""COMPUTED_VALUE"""),26.957113722)</f>
        <v>26.95711372</v>
      </c>
      <c r="V533" s="2"/>
      <c r="W533" s="2"/>
      <c r="X533" s="2"/>
      <c r="Y533" s="2"/>
      <c r="Z533" s="2"/>
    </row>
    <row r="534">
      <c r="A534" s="6">
        <f>IFERROR(__xludf.DUMMYFUNCTION("""COMPUTED_VALUE"""),45808.78163194444)</f>
        <v>45808.78163</v>
      </c>
      <c r="B534" s="2" t="str">
        <f>IFERROR(__xludf.DUMMYFUNCTION("""COMPUTED_VALUE"""),"May")</f>
        <v>May</v>
      </c>
      <c r="C534" s="3">
        <f>IFERROR(__xludf.DUMMYFUNCTION("""COMPUTED_VALUE"""),749173.0)</f>
        <v>749173</v>
      </c>
      <c r="D534" s="2" t="str">
        <f>IFERROR(__xludf.DUMMYFUNCTION("""COMPUTED_VALUE"""),"ZM22")</f>
        <v>ZM22</v>
      </c>
      <c r="E534" s="2" t="str">
        <f>IFERROR(__xludf.DUMMYFUNCTION("""COMPUTED_VALUE"""),"Imported from file Digizag.xlsx")</f>
        <v>Imported from file Digizag.xlsx</v>
      </c>
      <c r="F534" s="2" t="str">
        <f>IFERROR(__xludf.DUMMYFUNCTION("""COMPUTED_VALUE"""),"RQZ841785")</f>
        <v>RQZ841785</v>
      </c>
      <c r="G534" s="2" t="str">
        <f>IFERROR(__xludf.DUMMYFUNCTION("""COMPUTED_VALUE"""),"Kingdom of Saudi Arabia")</f>
        <v>Kingdom of Saudi Arabia</v>
      </c>
      <c r="H534" s="4">
        <f>IFERROR(__xludf.DUMMYFUNCTION("""COMPUTED_VALUE"""),94.0)</f>
        <v>94</v>
      </c>
      <c r="I534" s="3">
        <f>IFERROR(__xludf.DUMMYFUNCTION("""COMPUTED_VALUE"""),0.0)</f>
        <v>0</v>
      </c>
      <c r="J534" s="4">
        <f>IFERROR(__xludf.DUMMYFUNCTION("""COMPUTED_VALUE"""),30.0)</f>
        <v>30</v>
      </c>
      <c r="K534" s="2"/>
      <c r="L534" s="2" t="str">
        <f>IFERROR(__xludf.DUMMYFUNCTION("""COMPUTED_VALUE"""),"Processing")</f>
        <v>Processing</v>
      </c>
      <c r="M534" s="2" t="str">
        <f>IFERROR(__xludf.DUMMYFUNCTION("""COMPUTED_VALUE"""),"")</f>
        <v></v>
      </c>
      <c r="N534" s="2" t="str">
        <f>IFERROR(__xludf.DUMMYFUNCTION("""COMPUTED_VALUE"""),"Credit, Debit, Apple Pay")</f>
        <v>Credit, Debit, Apple Pay</v>
      </c>
      <c r="O534" s="4">
        <f>IFERROR(__xludf.DUMMYFUNCTION("""COMPUTED_VALUE"""),0.0)</f>
        <v>0</v>
      </c>
      <c r="P534" s="2">
        <f>IFERROR(__xludf.DUMMYFUNCTION("""COMPUTED_VALUE"""),31.0)</f>
        <v>31</v>
      </c>
      <c r="Q534" s="2">
        <f>IFERROR(__xludf.DUMMYFUNCTION("""COMPUTED_VALUE"""),5.0)</f>
        <v>5</v>
      </c>
      <c r="R534" s="2">
        <f>IFERROR(__xludf.DUMMYFUNCTION("""COMPUTED_VALUE"""),2025.0)</f>
        <v>2025</v>
      </c>
      <c r="S534" s="2" t="str">
        <f>IFERROR(__xludf.DUMMYFUNCTION("""COMPUTED_VALUE"""),"Digizag")</f>
        <v>Digizag</v>
      </c>
      <c r="T534" s="2" t="str">
        <f>IFERROR(__xludf.DUMMYFUNCTION("""COMPUTED_VALUE"""),"Digizag")</f>
        <v>Digizag</v>
      </c>
      <c r="U534" s="5">
        <f>IFERROR(__xludf.DUMMYFUNCTION("""COMPUTED_VALUE"""),25.064728324)</f>
        <v>25.06472832</v>
      </c>
      <c r="V534" s="2"/>
      <c r="W534" s="2"/>
      <c r="X534" s="2"/>
      <c r="Y534" s="2"/>
      <c r="Z534" s="2"/>
    </row>
    <row r="535">
      <c r="A535" s="6">
        <f>IFERROR(__xludf.DUMMYFUNCTION("""COMPUTED_VALUE"""),45808.91538194444)</f>
        <v>45808.91538</v>
      </c>
      <c r="B535" s="2" t="str">
        <f>IFERROR(__xludf.DUMMYFUNCTION("""COMPUTED_VALUE"""),"May")</f>
        <v>May</v>
      </c>
      <c r="C535" s="3">
        <f>IFERROR(__xludf.DUMMYFUNCTION("""COMPUTED_VALUE"""),293933.0)</f>
        <v>293933</v>
      </c>
      <c r="D535" s="2" t="str">
        <f>IFERROR(__xludf.DUMMYFUNCTION("""COMPUTED_VALUE"""),"MNN16")</f>
        <v>MNN16</v>
      </c>
      <c r="E535" s="2" t="str">
        <f>IFERROR(__xludf.DUMMYFUNCTION("""COMPUTED_VALUE"""),"Imported from file DigiZag Codes 25Feb25.xlsx")</f>
        <v>Imported from file DigiZag Codes 25Feb25.xlsx</v>
      </c>
      <c r="F535" s="2" t="str">
        <f>IFERROR(__xludf.DUMMYFUNCTION("""COMPUTED_VALUE"""),"HWW655670")</f>
        <v>HWW655670</v>
      </c>
      <c r="G535" s="2" t="str">
        <f>IFERROR(__xludf.DUMMYFUNCTION("""COMPUTED_VALUE"""),"UAE")</f>
        <v>UAE</v>
      </c>
      <c r="H535" s="4">
        <f>IFERROR(__xludf.DUMMYFUNCTION("""COMPUTED_VALUE"""),54.0)</f>
        <v>54</v>
      </c>
      <c r="I535" s="3">
        <f>IFERROR(__xludf.DUMMYFUNCTION("""COMPUTED_VALUE"""),0.0)</f>
        <v>0</v>
      </c>
      <c r="J535" s="4">
        <f>IFERROR(__xludf.DUMMYFUNCTION("""COMPUTED_VALUE"""),5.4)</f>
        <v>5.4</v>
      </c>
      <c r="K535" s="2"/>
      <c r="L535" s="2" t="str">
        <f>IFERROR(__xludf.DUMMYFUNCTION("""COMPUTED_VALUE"""),"Processing")</f>
        <v>Processing</v>
      </c>
      <c r="M535" s="2" t="str">
        <f>IFERROR(__xludf.DUMMYFUNCTION("""COMPUTED_VALUE"""),"")</f>
        <v></v>
      </c>
      <c r="N535" s="2" t="str">
        <f>IFERROR(__xludf.DUMMYFUNCTION("""COMPUTED_VALUE"""),"Credit, Debit , Apple Pay")</f>
        <v>Credit, Debit , Apple Pay</v>
      </c>
      <c r="O535" s="4">
        <f>IFERROR(__xludf.DUMMYFUNCTION("""COMPUTED_VALUE"""),0.0)</f>
        <v>0</v>
      </c>
      <c r="P535" s="2">
        <f>IFERROR(__xludf.DUMMYFUNCTION("""COMPUTED_VALUE"""),31.0)</f>
        <v>31</v>
      </c>
      <c r="Q535" s="2">
        <f>IFERROR(__xludf.DUMMYFUNCTION("""COMPUTED_VALUE"""),5.0)</f>
        <v>5</v>
      </c>
      <c r="R535" s="2">
        <f>IFERROR(__xludf.DUMMYFUNCTION("""COMPUTED_VALUE"""),2025.0)</f>
        <v>2025</v>
      </c>
      <c r="S535" s="2" t="str">
        <f>IFERROR(__xludf.DUMMYFUNCTION("""COMPUTED_VALUE"""),"Digizag")</f>
        <v>Digizag</v>
      </c>
      <c r="T535" s="2" t="str">
        <f>IFERROR(__xludf.DUMMYFUNCTION("""COMPUTED_VALUE"""),"Digizag")</f>
        <v>Digizag</v>
      </c>
      <c r="U535" s="5">
        <f>IFERROR(__xludf.DUMMYFUNCTION("""COMPUTED_VALUE"""),14.703880212)</f>
        <v>14.70388021</v>
      </c>
      <c r="V535" s="2"/>
      <c r="W535" s="2"/>
      <c r="X535" s="2"/>
      <c r="Y535" s="2"/>
      <c r="Z535" s="2"/>
    </row>
    <row r="536">
      <c r="A536" s="6">
        <f>IFERROR(__xludf.DUMMYFUNCTION("""COMPUTED_VALUE"""),45809.007743055554)</f>
        <v>45809.00774</v>
      </c>
      <c r="B536" s="2" t="str">
        <f>IFERROR(__xludf.DUMMYFUNCTION("""COMPUTED_VALUE"""),"June")</f>
        <v>June</v>
      </c>
      <c r="C536" s="3">
        <f>IFERROR(__xludf.DUMMYFUNCTION("""COMPUTED_VALUE"""),749252.0)</f>
        <v>749252</v>
      </c>
      <c r="D536" s="2" t="str">
        <f>IFERROR(__xludf.DUMMYFUNCTION("""COMPUTED_VALUE"""),"DB1")</f>
        <v>DB1</v>
      </c>
      <c r="E536" s="2" t="str">
        <f>IFERROR(__xludf.DUMMYFUNCTION("""COMPUTED_VALUE"""),"Imported from file Digizag.xlsx")</f>
        <v>Imported from file Digizag.xlsx</v>
      </c>
      <c r="F536" s="2" t="str">
        <f>IFERROR(__xludf.DUMMYFUNCTION("""COMPUTED_VALUE"""),"NJH166758")</f>
        <v>NJH166758</v>
      </c>
      <c r="G536" s="2" t="str">
        <f>IFERROR(__xludf.DUMMYFUNCTION("""COMPUTED_VALUE"""),"Kingdom of Saudi Arabia")</f>
        <v>Kingdom of Saudi Arabia</v>
      </c>
      <c r="H536" s="4">
        <f>IFERROR(__xludf.DUMMYFUNCTION("""COMPUTED_VALUE"""),106.6)</f>
        <v>106.6</v>
      </c>
      <c r="I536" s="3">
        <f>IFERROR(__xludf.DUMMYFUNCTION("""COMPUTED_VALUE"""),0.0)</f>
        <v>0</v>
      </c>
      <c r="J536" s="4">
        <f>IFERROR(__xludf.DUMMYFUNCTION("""COMPUTED_VALUE"""),30.0)</f>
        <v>30</v>
      </c>
      <c r="K536" s="2"/>
      <c r="L536" s="2" t="str">
        <f>IFERROR(__xludf.DUMMYFUNCTION("""COMPUTED_VALUE"""),"Processing")</f>
        <v>Processing</v>
      </c>
      <c r="M536" s="2" t="str">
        <f>IFERROR(__xludf.DUMMYFUNCTION("""COMPUTED_VALUE"""),"")</f>
        <v></v>
      </c>
      <c r="N536" s="2" t="str">
        <f>IFERROR(__xludf.DUMMYFUNCTION("""COMPUTED_VALUE"""),"Pay in 4. No interest, no fees")</f>
        <v>Pay in 4. No interest, no fees</v>
      </c>
      <c r="O536" s="4">
        <f>IFERROR(__xludf.DUMMYFUNCTION("""COMPUTED_VALUE"""),0.0)</f>
        <v>0</v>
      </c>
      <c r="P536" s="2">
        <f>IFERROR(__xludf.DUMMYFUNCTION("""COMPUTED_VALUE"""),1.0)</f>
        <v>1</v>
      </c>
      <c r="Q536" s="2">
        <f>IFERROR(__xludf.DUMMYFUNCTION("""COMPUTED_VALUE"""),6.0)</f>
        <v>6</v>
      </c>
      <c r="R536" s="2">
        <f>IFERROR(__xludf.DUMMYFUNCTION("""COMPUTED_VALUE"""),2025.0)</f>
        <v>2025</v>
      </c>
      <c r="S536" s="2" t="str">
        <f>IFERROR(__xludf.DUMMYFUNCTION("""COMPUTED_VALUE"""),"Digizag")</f>
        <v>Digizag</v>
      </c>
      <c r="T536" s="2" t="str">
        <f>IFERROR(__xludf.DUMMYFUNCTION("""COMPUTED_VALUE"""),"Digizag")</f>
        <v>Digizag</v>
      </c>
      <c r="U536" s="5">
        <f>IFERROR(__xludf.DUMMYFUNCTION("""COMPUTED_VALUE"""),28.4244685036)</f>
        <v>28.4244685</v>
      </c>
      <c r="V536" s="2"/>
      <c r="W536" s="2"/>
      <c r="X536" s="2"/>
      <c r="Y536" s="2"/>
      <c r="Z536" s="2"/>
    </row>
    <row r="537">
      <c r="A537" s="6">
        <f>IFERROR(__xludf.DUMMYFUNCTION("""COMPUTED_VALUE"""),45809.07625)</f>
        <v>45809.07625</v>
      </c>
      <c r="B537" s="2" t="str">
        <f>IFERROR(__xludf.DUMMYFUNCTION("""COMPUTED_VALUE"""),"June")</f>
        <v>June</v>
      </c>
      <c r="C537" s="3">
        <f>IFERROR(__xludf.DUMMYFUNCTION("""COMPUTED_VALUE"""),749961.0)</f>
        <v>749961</v>
      </c>
      <c r="D537" s="2" t="str">
        <f>IFERROR(__xludf.DUMMYFUNCTION("""COMPUTED_VALUE"""),"MNN16")</f>
        <v>MNN16</v>
      </c>
      <c r="E537" s="2" t="str">
        <f>IFERROR(__xludf.DUMMYFUNCTION("""COMPUTED_VALUE"""),"Imported from file DigiZag Codes 25Feb25.xlsx")</f>
        <v>Imported from file DigiZag Codes 25Feb25.xlsx</v>
      </c>
      <c r="F537" s="2" t="str">
        <f>IFERROR(__xludf.DUMMYFUNCTION("""COMPUTED_VALUE"""),"YSC832674")</f>
        <v>YSC832674</v>
      </c>
      <c r="G537" s="2" t="str">
        <f>IFERROR(__xludf.DUMMYFUNCTION("""COMPUTED_VALUE"""),"Kuwait")</f>
        <v>Kuwait</v>
      </c>
      <c r="H537" s="4">
        <f>IFERROR(__xludf.DUMMYFUNCTION("""COMPUTED_VALUE"""),24.4)</f>
        <v>24.4</v>
      </c>
      <c r="I537" s="3">
        <f>IFERROR(__xludf.DUMMYFUNCTION("""COMPUTED_VALUE"""),0.0)</f>
        <v>0</v>
      </c>
      <c r="J537" s="4">
        <f>IFERROR(__xludf.DUMMYFUNCTION("""COMPUTED_VALUE"""),2.44)</f>
        <v>2.44</v>
      </c>
      <c r="K537" s="2"/>
      <c r="L537" s="2" t="str">
        <f>IFERROR(__xludf.DUMMYFUNCTION("""COMPUTED_VALUE"""),"Delivered")</f>
        <v>Delivered</v>
      </c>
      <c r="M537" s="2" t="str">
        <f>IFERROR(__xludf.DUMMYFUNCTION("""COMPUTED_VALUE"""),"KD")</f>
        <v>KD</v>
      </c>
      <c r="N537" s="2" t="str">
        <f>IFERROR(__xludf.DUMMYFUNCTION("""COMPUTED_VALUE"""),"Credit, Debit, Knet")</f>
        <v>Credit, Debit, Knet</v>
      </c>
      <c r="O537" s="4">
        <f>IFERROR(__xludf.DUMMYFUNCTION("""COMPUTED_VALUE"""),0.0)</f>
        <v>0</v>
      </c>
      <c r="P537" s="2">
        <f>IFERROR(__xludf.DUMMYFUNCTION("""COMPUTED_VALUE"""),1.0)</f>
        <v>1</v>
      </c>
      <c r="Q537" s="2">
        <f>IFERROR(__xludf.DUMMYFUNCTION("""COMPUTED_VALUE"""),6.0)</f>
        <v>6</v>
      </c>
      <c r="R537" s="2">
        <f>IFERROR(__xludf.DUMMYFUNCTION("""COMPUTED_VALUE"""),2025.0)</f>
        <v>2025</v>
      </c>
      <c r="S537" s="2" t="str">
        <f>IFERROR(__xludf.DUMMYFUNCTION("""COMPUTED_VALUE"""),"Digizag")</f>
        <v>Digizag</v>
      </c>
      <c r="T537" s="2" t="str">
        <f>IFERROR(__xludf.DUMMYFUNCTION("""COMPUTED_VALUE"""),"Digizag")</f>
        <v>Digizag</v>
      </c>
      <c r="U537" s="5">
        <f>IFERROR(__xludf.DUMMYFUNCTION("""COMPUTED_VALUE"""),79.55912799999999)</f>
        <v>79.559128</v>
      </c>
      <c r="V537" s="2"/>
      <c r="W537" s="2"/>
      <c r="X537" s="2"/>
      <c r="Y537" s="2"/>
      <c r="Z537" s="2"/>
    </row>
    <row r="538">
      <c r="A538" s="6">
        <f>IFERROR(__xludf.DUMMYFUNCTION("""COMPUTED_VALUE"""),45809.218622685185)</f>
        <v>45809.21862</v>
      </c>
      <c r="B538" s="2" t="str">
        <f>IFERROR(__xludf.DUMMYFUNCTION("""COMPUTED_VALUE"""),"June")</f>
        <v>June</v>
      </c>
      <c r="C538" s="3">
        <f>IFERROR(__xludf.DUMMYFUNCTION("""COMPUTED_VALUE"""),653718.0)</f>
        <v>653718</v>
      </c>
      <c r="D538" s="2" t="str">
        <f>IFERROR(__xludf.DUMMYFUNCTION("""COMPUTED_VALUE"""),"MNN16")</f>
        <v>MNN16</v>
      </c>
      <c r="E538" s="2" t="str">
        <f>IFERROR(__xludf.DUMMYFUNCTION("""COMPUTED_VALUE"""),"Imported from file DigiZag Codes 25Feb25.xlsx")</f>
        <v>Imported from file DigiZag Codes 25Feb25.xlsx</v>
      </c>
      <c r="F538" s="2" t="str">
        <f>IFERROR(__xludf.DUMMYFUNCTION("""COMPUTED_VALUE"""),"ADU745772")</f>
        <v>ADU745772</v>
      </c>
      <c r="G538" s="2" t="str">
        <f>IFERROR(__xludf.DUMMYFUNCTION("""COMPUTED_VALUE"""),"UAE")</f>
        <v>UAE</v>
      </c>
      <c r="H538" s="4">
        <f>IFERROR(__xludf.DUMMYFUNCTION("""COMPUTED_VALUE"""),290.0)</f>
        <v>290</v>
      </c>
      <c r="I538" s="3">
        <f>IFERROR(__xludf.DUMMYFUNCTION("""COMPUTED_VALUE"""),0.0)</f>
        <v>0</v>
      </c>
      <c r="J538" s="4">
        <f>IFERROR(__xludf.DUMMYFUNCTION("""COMPUTED_VALUE"""),29.0)</f>
        <v>29</v>
      </c>
      <c r="K538" s="2"/>
      <c r="L538" s="2" t="str">
        <f>IFERROR(__xludf.DUMMYFUNCTION("""COMPUTED_VALUE"""),"Delivered")</f>
        <v>Delivered</v>
      </c>
      <c r="M538" s="2" t="str">
        <f>IFERROR(__xludf.DUMMYFUNCTION("""COMPUTED_VALUE"""),"")</f>
        <v></v>
      </c>
      <c r="N538" s="2" t="str">
        <f>IFERROR(__xludf.DUMMYFUNCTION("""COMPUTED_VALUE"""),"Tamara: split in 3, interest-free")</f>
        <v>Tamara: split in 3, interest-free</v>
      </c>
      <c r="O538" s="4">
        <f>IFERROR(__xludf.DUMMYFUNCTION("""COMPUTED_VALUE"""),0.0)</f>
        <v>0</v>
      </c>
      <c r="P538" s="2">
        <f>IFERROR(__xludf.DUMMYFUNCTION("""COMPUTED_VALUE"""),1.0)</f>
        <v>1</v>
      </c>
      <c r="Q538" s="2">
        <f>IFERROR(__xludf.DUMMYFUNCTION("""COMPUTED_VALUE"""),6.0)</f>
        <v>6</v>
      </c>
      <c r="R538" s="2">
        <f>IFERROR(__xludf.DUMMYFUNCTION("""COMPUTED_VALUE"""),2025.0)</f>
        <v>2025</v>
      </c>
      <c r="S538" s="2" t="str">
        <f>IFERROR(__xludf.DUMMYFUNCTION("""COMPUTED_VALUE"""),"Digizag")</f>
        <v>Digizag</v>
      </c>
      <c r="T538" s="2" t="str">
        <f>IFERROR(__xludf.DUMMYFUNCTION("""COMPUTED_VALUE"""),"Digizag")</f>
        <v>Digizag</v>
      </c>
      <c r="U538" s="5">
        <f>IFERROR(__xludf.DUMMYFUNCTION("""COMPUTED_VALUE"""),78.96528262)</f>
        <v>78.96528262</v>
      </c>
      <c r="V538" s="2"/>
      <c r="W538" s="2"/>
      <c r="X538" s="2"/>
      <c r="Y538" s="2"/>
      <c r="Z538" s="2"/>
    </row>
    <row r="539">
      <c r="A539" s="6">
        <f>IFERROR(__xludf.DUMMYFUNCTION("""COMPUTED_VALUE"""),45809.24440972222)</f>
        <v>45809.24441</v>
      </c>
      <c r="B539" s="2" t="str">
        <f>IFERROR(__xludf.DUMMYFUNCTION("""COMPUTED_VALUE"""),"June")</f>
        <v>June</v>
      </c>
      <c r="C539" s="3">
        <f>IFERROR(__xludf.DUMMYFUNCTION("""COMPUTED_VALUE"""),160729.0)</f>
        <v>160729</v>
      </c>
      <c r="D539" s="2" t="str">
        <f>IFERROR(__xludf.DUMMYFUNCTION("""COMPUTED_VALUE"""),"ZM22")</f>
        <v>ZM22</v>
      </c>
      <c r="E539" s="2" t="str">
        <f>IFERROR(__xludf.DUMMYFUNCTION("""COMPUTED_VALUE"""),"Imported from file Digizag.xlsx")</f>
        <v>Imported from file Digizag.xlsx</v>
      </c>
      <c r="F539" s="2" t="str">
        <f>IFERROR(__xludf.DUMMYFUNCTION("""COMPUTED_VALUE"""),"YDM482126")</f>
        <v>YDM482126</v>
      </c>
      <c r="G539" s="2" t="str">
        <f>IFERROR(__xludf.DUMMYFUNCTION("""COMPUTED_VALUE"""),"Bahrain")</f>
        <v>Bahrain</v>
      </c>
      <c r="H539" s="4">
        <f>IFERROR(__xludf.DUMMYFUNCTION("""COMPUTED_VALUE"""),15.46)</f>
        <v>15.46</v>
      </c>
      <c r="I539" s="3">
        <f>IFERROR(__xludf.DUMMYFUNCTION("""COMPUTED_VALUE"""),0.0)</f>
        <v>0</v>
      </c>
      <c r="J539" s="4">
        <f>IFERROR(__xludf.DUMMYFUNCTION("""COMPUTED_VALUE"""),1.54)</f>
        <v>1.54</v>
      </c>
      <c r="K539" s="2"/>
      <c r="L539" s="2" t="str">
        <f>IFERROR(__xludf.DUMMYFUNCTION("""COMPUTED_VALUE"""),"Delivered")</f>
        <v>Delivered</v>
      </c>
      <c r="M539" s="2" t="str">
        <f>IFERROR(__xludf.DUMMYFUNCTION("""COMPUTED_VALUE"""),"BHD")</f>
        <v>BHD</v>
      </c>
      <c r="N539" s="2" t="str">
        <f>IFERROR(__xludf.DUMMYFUNCTION("""COMPUTED_VALUE"""),"Cash")</f>
        <v>Cash</v>
      </c>
      <c r="O539" s="4">
        <f>IFERROR(__xludf.DUMMYFUNCTION("""COMPUTED_VALUE"""),0.0)</f>
        <v>0</v>
      </c>
      <c r="P539" s="2">
        <f>IFERROR(__xludf.DUMMYFUNCTION("""COMPUTED_VALUE"""),1.0)</f>
        <v>1</v>
      </c>
      <c r="Q539" s="2">
        <f>IFERROR(__xludf.DUMMYFUNCTION("""COMPUTED_VALUE"""),6.0)</f>
        <v>6</v>
      </c>
      <c r="R539" s="2">
        <f>IFERROR(__xludf.DUMMYFUNCTION("""COMPUTED_VALUE"""),2025.0)</f>
        <v>2025</v>
      </c>
      <c r="S539" s="2" t="str">
        <f>IFERROR(__xludf.DUMMYFUNCTION("""COMPUTED_VALUE"""),"Digizag")</f>
        <v>Digizag</v>
      </c>
      <c r="T539" s="2" t="str">
        <f>IFERROR(__xludf.DUMMYFUNCTION("""COMPUTED_VALUE"""),"Digizag")</f>
        <v>Digizag</v>
      </c>
      <c r="U539" s="5">
        <f>IFERROR(__xludf.DUMMYFUNCTION("""COMPUTED_VALUE"""),41.01409682)</f>
        <v>41.01409682</v>
      </c>
      <c r="V539" s="2"/>
      <c r="W539" s="2"/>
      <c r="X539" s="2"/>
      <c r="Y539" s="2"/>
      <c r="Z539" s="2"/>
    </row>
    <row r="540">
      <c r="A540" s="6">
        <f>IFERROR(__xludf.DUMMYFUNCTION("""COMPUTED_VALUE"""),45809.37042824074)</f>
        <v>45809.37043</v>
      </c>
      <c r="B540" s="2" t="str">
        <f>IFERROR(__xludf.DUMMYFUNCTION("""COMPUTED_VALUE"""),"June")</f>
        <v>June</v>
      </c>
      <c r="C540" s="3">
        <f>IFERROR(__xludf.DUMMYFUNCTION("""COMPUTED_VALUE"""),72112.0)</f>
        <v>72112</v>
      </c>
      <c r="D540" s="2" t="str">
        <f>IFERROR(__xludf.DUMMYFUNCTION("""COMPUTED_VALUE"""),"DB1")</f>
        <v>DB1</v>
      </c>
      <c r="E540" s="2" t="str">
        <f>IFERROR(__xludf.DUMMYFUNCTION("""COMPUTED_VALUE"""),"Imported from file Digizag.xlsx")</f>
        <v>Imported from file Digizag.xlsx</v>
      </c>
      <c r="F540" s="2" t="str">
        <f>IFERROR(__xludf.DUMMYFUNCTION("""COMPUTED_VALUE"""),"EMZ732558")</f>
        <v>EMZ732558</v>
      </c>
      <c r="G540" s="2" t="str">
        <f>IFERROR(__xludf.DUMMYFUNCTION("""COMPUTED_VALUE"""),"Kuwait")</f>
        <v>Kuwait</v>
      </c>
      <c r="H540" s="4">
        <f>IFERROR(__xludf.DUMMYFUNCTION("""COMPUTED_VALUE"""),19.9)</f>
        <v>19.9</v>
      </c>
      <c r="I540" s="3">
        <f>IFERROR(__xludf.DUMMYFUNCTION("""COMPUTED_VALUE"""),0.0)</f>
        <v>0</v>
      </c>
      <c r="J540" s="4">
        <f>IFERROR(__xludf.DUMMYFUNCTION("""COMPUTED_VALUE"""),1.99)</f>
        <v>1.99</v>
      </c>
      <c r="K540" s="2"/>
      <c r="L540" s="2" t="str">
        <f>IFERROR(__xludf.DUMMYFUNCTION("""COMPUTED_VALUE"""),"Delivered")</f>
        <v>Delivered</v>
      </c>
      <c r="M540" s="2" t="str">
        <f>IFERROR(__xludf.DUMMYFUNCTION("""COMPUTED_VALUE"""),"KD")</f>
        <v>KD</v>
      </c>
      <c r="N540" s="2" t="str">
        <f>IFERROR(__xludf.DUMMYFUNCTION("""COMPUTED_VALUE"""),"Credit, Debit, Knet")</f>
        <v>Credit, Debit, Knet</v>
      </c>
      <c r="O540" s="4">
        <f>IFERROR(__xludf.DUMMYFUNCTION("""COMPUTED_VALUE"""),0.0)</f>
        <v>0</v>
      </c>
      <c r="P540" s="2">
        <f>IFERROR(__xludf.DUMMYFUNCTION("""COMPUTED_VALUE"""),1.0)</f>
        <v>1</v>
      </c>
      <c r="Q540" s="2">
        <f>IFERROR(__xludf.DUMMYFUNCTION("""COMPUTED_VALUE"""),6.0)</f>
        <v>6</v>
      </c>
      <c r="R540" s="2">
        <f>IFERROR(__xludf.DUMMYFUNCTION("""COMPUTED_VALUE"""),2025.0)</f>
        <v>2025</v>
      </c>
      <c r="S540" s="2" t="str">
        <f>IFERROR(__xludf.DUMMYFUNCTION("""COMPUTED_VALUE"""),"Digizag")</f>
        <v>Digizag</v>
      </c>
      <c r="T540" s="2" t="str">
        <f>IFERROR(__xludf.DUMMYFUNCTION("""COMPUTED_VALUE"""),"Digizag")</f>
        <v>Digizag</v>
      </c>
      <c r="U540" s="5">
        <f>IFERROR(__xludf.DUMMYFUNCTION("""COMPUTED_VALUE"""),64.886338)</f>
        <v>64.886338</v>
      </c>
      <c r="V540" s="2"/>
      <c r="W540" s="2"/>
      <c r="X540" s="2"/>
      <c r="Y540" s="2"/>
      <c r="Z540" s="2"/>
    </row>
    <row r="541">
      <c r="A541" s="6">
        <f>IFERROR(__xludf.DUMMYFUNCTION("""COMPUTED_VALUE"""),45809.47659722222)</f>
        <v>45809.4766</v>
      </c>
      <c r="B541" s="2" t="str">
        <f>IFERROR(__xludf.DUMMYFUNCTION("""COMPUTED_VALUE"""),"June")</f>
        <v>June</v>
      </c>
      <c r="C541" s="3">
        <f>IFERROR(__xludf.DUMMYFUNCTION("""COMPUTED_VALUE"""),232623.0)</f>
        <v>232623</v>
      </c>
      <c r="D541" s="2" t="str">
        <f>IFERROR(__xludf.DUMMYFUNCTION("""COMPUTED_VALUE"""),"RR22")</f>
        <v>RR22</v>
      </c>
      <c r="E541" s="2" t="str">
        <f>IFERROR(__xludf.DUMMYFUNCTION("""COMPUTED_VALUE"""),"Imported from file Digizag.xlsx")</f>
        <v>Imported from file Digizag.xlsx</v>
      </c>
      <c r="F541" s="2" t="str">
        <f>IFERROR(__xludf.DUMMYFUNCTION("""COMPUTED_VALUE"""),"RPZ326133")</f>
        <v>RPZ326133</v>
      </c>
      <c r="G541" s="2" t="str">
        <f>IFERROR(__xludf.DUMMYFUNCTION("""COMPUTED_VALUE"""),"UAE")</f>
        <v>UAE</v>
      </c>
      <c r="H541" s="4">
        <f>IFERROR(__xludf.DUMMYFUNCTION("""COMPUTED_VALUE"""),468.0)</f>
        <v>468</v>
      </c>
      <c r="I541" s="3">
        <f>IFERROR(__xludf.DUMMYFUNCTION("""COMPUTED_VALUE"""),0.0)</f>
        <v>0</v>
      </c>
      <c r="J541" s="4">
        <f>IFERROR(__xludf.DUMMYFUNCTION("""COMPUTED_VALUE"""),46.8)</f>
        <v>46.8</v>
      </c>
      <c r="K541" s="2"/>
      <c r="L541" s="2" t="str">
        <f>IFERROR(__xludf.DUMMYFUNCTION("""COMPUTED_VALUE"""),"Processing")</f>
        <v>Processing</v>
      </c>
      <c r="M541" s="2" t="str">
        <f>IFERROR(__xludf.DUMMYFUNCTION("""COMPUTED_VALUE"""),"")</f>
        <v></v>
      </c>
      <c r="N541" s="2" t="str">
        <f>IFERROR(__xludf.DUMMYFUNCTION("""COMPUTED_VALUE"""),"Credit, Debit , Apple Pay")</f>
        <v>Credit, Debit , Apple Pay</v>
      </c>
      <c r="O541" s="4">
        <f>IFERROR(__xludf.DUMMYFUNCTION("""COMPUTED_VALUE"""),0.0)</f>
        <v>0</v>
      </c>
      <c r="P541" s="2">
        <f>IFERROR(__xludf.DUMMYFUNCTION("""COMPUTED_VALUE"""),1.0)</f>
        <v>1</v>
      </c>
      <c r="Q541" s="2">
        <f>IFERROR(__xludf.DUMMYFUNCTION("""COMPUTED_VALUE"""),6.0)</f>
        <v>6</v>
      </c>
      <c r="R541" s="2">
        <f>IFERROR(__xludf.DUMMYFUNCTION("""COMPUTED_VALUE"""),2025.0)</f>
        <v>2025</v>
      </c>
      <c r="S541" s="2" t="str">
        <f>IFERROR(__xludf.DUMMYFUNCTION("""COMPUTED_VALUE"""),"Digizag")</f>
        <v>Digizag</v>
      </c>
      <c r="T541" s="2" t="str">
        <f>IFERROR(__xludf.DUMMYFUNCTION("""COMPUTED_VALUE"""),"Digizag")</f>
        <v>Digizag</v>
      </c>
      <c r="U541" s="5">
        <f>IFERROR(__xludf.DUMMYFUNCTION("""COMPUTED_VALUE"""),127.433628504)</f>
        <v>127.4336285</v>
      </c>
      <c r="V541" s="2"/>
      <c r="W541" s="2"/>
      <c r="X541" s="2"/>
      <c r="Y541" s="2"/>
      <c r="Z541" s="2"/>
    </row>
    <row r="542">
      <c r="A542" s="6">
        <f>IFERROR(__xludf.DUMMYFUNCTION("""COMPUTED_VALUE"""),45809.574375)</f>
        <v>45809.57438</v>
      </c>
      <c r="B542" s="2" t="str">
        <f>IFERROR(__xludf.DUMMYFUNCTION("""COMPUTED_VALUE"""),"June")</f>
        <v>June</v>
      </c>
      <c r="C542" s="3">
        <f>IFERROR(__xludf.DUMMYFUNCTION("""COMPUTED_VALUE"""),20351.0)</f>
        <v>20351</v>
      </c>
      <c r="D542" s="2" t="str">
        <f>IFERROR(__xludf.DUMMYFUNCTION("""COMPUTED_VALUE"""),"ZM22")</f>
        <v>ZM22</v>
      </c>
      <c r="E542" s="2" t="str">
        <f>IFERROR(__xludf.DUMMYFUNCTION("""COMPUTED_VALUE"""),"Imported from file Digizag.xlsx")</f>
        <v>Imported from file Digizag.xlsx</v>
      </c>
      <c r="F542" s="2" t="str">
        <f>IFERROR(__xludf.DUMMYFUNCTION("""COMPUTED_VALUE"""),"CZL986776")</f>
        <v>CZL986776</v>
      </c>
      <c r="G542" s="2" t="str">
        <f>IFERROR(__xludf.DUMMYFUNCTION("""COMPUTED_VALUE"""),"Kuwait")</f>
        <v>Kuwait</v>
      </c>
      <c r="H542" s="4">
        <f>IFERROR(__xludf.DUMMYFUNCTION("""COMPUTED_VALUE"""),10.15)</f>
        <v>10.15</v>
      </c>
      <c r="I542" s="3">
        <f>IFERROR(__xludf.DUMMYFUNCTION("""COMPUTED_VALUE"""),0.0)</f>
        <v>0</v>
      </c>
      <c r="J542" s="4">
        <f>IFERROR(__xludf.DUMMYFUNCTION("""COMPUTED_VALUE"""),1.015)</f>
        <v>1.015</v>
      </c>
      <c r="K542" s="2"/>
      <c r="L542" s="2" t="str">
        <f>IFERROR(__xludf.DUMMYFUNCTION("""COMPUTED_VALUE"""),"Delivered")</f>
        <v>Delivered</v>
      </c>
      <c r="M542" s="2" t="str">
        <f>IFERROR(__xludf.DUMMYFUNCTION("""COMPUTED_VALUE"""),"KD")</f>
        <v>KD</v>
      </c>
      <c r="N542" s="2" t="str">
        <f>IFERROR(__xludf.DUMMYFUNCTION("""COMPUTED_VALUE"""),"Credit, Debit, Knet")</f>
        <v>Credit, Debit, Knet</v>
      </c>
      <c r="O542" s="4">
        <f>IFERROR(__xludf.DUMMYFUNCTION("""COMPUTED_VALUE"""),0.0)</f>
        <v>0</v>
      </c>
      <c r="P542" s="2">
        <f>IFERROR(__xludf.DUMMYFUNCTION("""COMPUTED_VALUE"""),1.0)</f>
        <v>1</v>
      </c>
      <c r="Q542" s="2">
        <f>IFERROR(__xludf.DUMMYFUNCTION("""COMPUTED_VALUE"""),6.0)</f>
        <v>6</v>
      </c>
      <c r="R542" s="2">
        <f>IFERROR(__xludf.DUMMYFUNCTION("""COMPUTED_VALUE"""),2025.0)</f>
        <v>2025</v>
      </c>
      <c r="S542" s="2" t="str">
        <f>IFERROR(__xludf.DUMMYFUNCTION("""COMPUTED_VALUE"""),"Digizag")</f>
        <v>Digizag</v>
      </c>
      <c r="T542" s="2" t="str">
        <f>IFERROR(__xludf.DUMMYFUNCTION("""COMPUTED_VALUE"""),"Digizag")</f>
        <v>Digizag</v>
      </c>
      <c r="U542" s="5">
        <f>IFERROR(__xludf.DUMMYFUNCTION("""COMPUTED_VALUE"""),33.095293)</f>
        <v>33.095293</v>
      </c>
      <c r="V542" s="2"/>
      <c r="W542" s="2"/>
      <c r="X542" s="2"/>
      <c r="Y542" s="2"/>
      <c r="Z542" s="2"/>
    </row>
    <row r="543">
      <c r="A543" s="6">
        <f>IFERROR(__xludf.DUMMYFUNCTION("""COMPUTED_VALUE"""),45809.647881944446)</f>
        <v>45809.64788</v>
      </c>
      <c r="B543" s="2" t="str">
        <f>IFERROR(__xludf.DUMMYFUNCTION("""COMPUTED_VALUE"""),"June")</f>
        <v>June</v>
      </c>
      <c r="C543" s="3">
        <f>IFERROR(__xludf.DUMMYFUNCTION("""COMPUTED_VALUE"""),750290.0)</f>
        <v>750290</v>
      </c>
      <c r="D543" s="2" t="str">
        <f>IFERROR(__xludf.DUMMYFUNCTION("""COMPUTED_VALUE"""),"RR22")</f>
        <v>RR22</v>
      </c>
      <c r="E543" s="2" t="str">
        <f>IFERROR(__xludf.DUMMYFUNCTION("""COMPUTED_VALUE"""),"Imported from file Digizag.xlsx")</f>
        <v>Imported from file Digizag.xlsx</v>
      </c>
      <c r="F543" s="2" t="str">
        <f>IFERROR(__xludf.DUMMYFUNCTION("""COMPUTED_VALUE"""),"EMC380894")</f>
        <v>EMC380894</v>
      </c>
      <c r="G543" s="2" t="str">
        <f>IFERROR(__xludf.DUMMYFUNCTION("""COMPUTED_VALUE"""),"UAE")</f>
        <v>UAE</v>
      </c>
      <c r="H543" s="4">
        <f>IFERROR(__xludf.DUMMYFUNCTION("""COMPUTED_VALUE"""),248.0)</f>
        <v>248</v>
      </c>
      <c r="I543" s="3">
        <f>IFERROR(__xludf.DUMMYFUNCTION("""COMPUTED_VALUE"""),0.0)</f>
        <v>0</v>
      </c>
      <c r="J543" s="4">
        <f>IFERROR(__xludf.DUMMYFUNCTION("""COMPUTED_VALUE"""),24.8)</f>
        <v>24.8</v>
      </c>
      <c r="K543" s="2"/>
      <c r="L543" s="2" t="str">
        <f>IFERROR(__xludf.DUMMYFUNCTION("""COMPUTED_VALUE"""),"Processing")</f>
        <v>Processing</v>
      </c>
      <c r="M543" s="2" t="str">
        <f>IFERROR(__xludf.DUMMYFUNCTION("""COMPUTED_VALUE"""),"")</f>
        <v></v>
      </c>
      <c r="N543" s="2" t="str">
        <f>IFERROR(__xludf.DUMMYFUNCTION("""COMPUTED_VALUE"""),"Credit, Debit , Apple Pay")</f>
        <v>Credit, Debit , Apple Pay</v>
      </c>
      <c r="O543" s="4">
        <f>IFERROR(__xludf.DUMMYFUNCTION("""COMPUTED_VALUE"""),0.0)</f>
        <v>0</v>
      </c>
      <c r="P543" s="2">
        <f>IFERROR(__xludf.DUMMYFUNCTION("""COMPUTED_VALUE"""),1.0)</f>
        <v>1</v>
      </c>
      <c r="Q543" s="2">
        <f>IFERROR(__xludf.DUMMYFUNCTION("""COMPUTED_VALUE"""),6.0)</f>
        <v>6</v>
      </c>
      <c r="R543" s="2">
        <f>IFERROR(__xludf.DUMMYFUNCTION("""COMPUTED_VALUE"""),2025.0)</f>
        <v>2025</v>
      </c>
      <c r="S543" s="2" t="str">
        <f>IFERROR(__xludf.DUMMYFUNCTION("""COMPUTED_VALUE"""),"Digizag")</f>
        <v>Digizag</v>
      </c>
      <c r="T543" s="2" t="str">
        <f>IFERROR(__xludf.DUMMYFUNCTION("""COMPUTED_VALUE"""),"Digizag")</f>
        <v>Digizag</v>
      </c>
      <c r="U543" s="5">
        <f>IFERROR(__xludf.DUMMYFUNCTION("""COMPUTED_VALUE"""),67.528931344)</f>
        <v>67.52893134</v>
      </c>
      <c r="V543" s="2"/>
      <c r="W543" s="2"/>
      <c r="X543" s="2"/>
      <c r="Y543" s="2"/>
      <c r="Z543" s="2"/>
    </row>
    <row r="544">
      <c r="A544" s="6">
        <f>IFERROR(__xludf.DUMMYFUNCTION("""COMPUTED_VALUE"""),45809.65415509259)</f>
        <v>45809.65416</v>
      </c>
      <c r="B544" s="2" t="str">
        <f>IFERROR(__xludf.DUMMYFUNCTION("""COMPUTED_VALUE"""),"June")</f>
        <v>June</v>
      </c>
      <c r="C544" s="3">
        <f>IFERROR(__xludf.DUMMYFUNCTION("""COMPUTED_VALUE"""),750293.0)</f>
        <v>750293</v>
      </c>
      <c r="D544" s="2" t="str">
        <f>IFERROR(__xludf.DUMMYFUNCTION("""COMPUTED_VALUE"""),"ZM22")</f>
        <v>ZM22</v>
      </c>
      <c r="E544" s="2" t="str">
        <f>IFERROR(__xludf.DUMMYFUNCTION("""COMPUTED_VALUE"""),"Imported from file Digizag.xlsx")</f>
        <v>Imported from file Digizag.xlsx</v>
      </c>
      <c r="F544" s="2" t="str">
        <f>IFERROR(__xludf.DUMMYFUNCTION("""COMPUTED_VALUE"""),"BZN449518")</f>
        <v>BZN449518</v>
      </c>
      <c r="G544" s="2" t="str">
        <f>IFERROR(__xludf.DUMMYFUNCTION("""COMPUTED_VALUE"""),"Kingdom of Saudi Arabia")</f>
        <v>Kingdom of Saudi Arabia</v>
      </c>
      <c r="H544" s="4">
        <f>IFERROR(__xludf.DUMMYFUNCTION("""COMPUTED_VALUE"""),153.72)</f>
        <v>153.72</v>
      </c>
      <c r="I544" s="3">
        <f>IFERROR(__xludf.DUMMYFUNCTION("""COMPUTED_VALUE"""),0.0)</f>
        <v>0</v>
      </c>
      <c r="J544" s="4">
        <f>IFERROR(__xludf.DUMMYFUNCTION("""COMPUTED_VALUE"""),30.0)</f>
        <v>30</v>
      </c>
      <c r="K544" s="2"/>
      <c r="L544" s="2" t="str">
        <f>IFERROR(__xludf.DUMMYFUNCTION("""COMPUTED_VALUE"""),"Delivered")</f>
        <v>Delivered</v>
      </c>
      <c r="M544" s="2" t="str">
        <f>IFERROR(__xludf.DUMMYFUNCTION("""COMPUTED_VALUE"""),"")</f>
        <v></v>
      </c>
      <c r="N544" s="2" t="str">
        <f>IFERROR(__xludf.DUMMYFUNCTION("""COMPUTED_VALUE"""),"Credit, Debit, Apple Pay")</f>
        <v>Credit, Debit, Apple Pay</v>
      </c>
      <c r="O544" s="4">
        <f>IFERROR(__xludf.DUMMYFUNCTION("""COMPUTED_VALUE"""),0.0)</f>
        <v>0</v>
      </c>
      <c r="P544" s="2">
        <f>IFERROR(__xludf.DUMMYFUNCTION("""COMPUTED_VALUE"""),1.0)</f>
        <v>1</v>
      </c>
      <c r="Q544" s="2">
        <f>IFERROR(__xludf.DUMMYFUNCTION("""COMPUTED_VALUE"""),6.0)</f>
        <v>6</v>
      </c>
      <c r="R544" s="2">
        <f>IFERROR(__xludf.DUMMYFUNCTION("""COMPUTED_VALUE"""),2025.0)</f>
        <v>2025</v>
      </c>
      <c r="S544" s="2" t="str">
        <f>IFERROR(__xludf.DUMMYFUNCTION("""COMPUTED_VALUE"""),"Digizag")</f>
        <v>Digizag</v>
      </c>
      <c r="T544" s="2" t="str">
        <f>IFERROR(__xludf.DUMMYFUNCTION("""COMPUTED_VALUE"""),"Digizag")</f>
        <v>Digizag</v>
      </c>
      <c r="U544" s="5">
        <f>IFERROR(__xludf.DUMMYFUNCTION("""COMPUTED_VALUE"""),40.98883019112)</f>
        <v>40.98883019</v>
      </c>
      <c r="V544" s="2"/>
      <c r="W544" s="2"/>
      <c r="X544" s="2"/>
      <c r="Y544" s="2"/>
      <c r="Z544" s="2"/>
    </row>
    <row r="545">
      <c r="A545" s="6">
        <f>IFERROR(__xludf.DUMMYFUNCTION("""COMPUTED_VALUE"""),45809.72716435185)</f>
        <v>45809.72716</v>
      </c>
      <c r="B545" s="2" t="str">
        <f>IFERROR(__xludf.DUMMYFUNCTION("""COMPUTED_VALUE"""),"June")</f>
        <v>June</v>
      </c>
      <c r="C545" s="3">
        <f>IFERROR(__xludf.DUMMYFUNCTION("""COMPUTED_VALUE"""),554268.0)</f>
        <v>554268</v>
      </c>
      <c r="D545" s="2" t="str">
        <f>IFERROR(__xludf.DUMMYFUNCTION("""COMPUTED_VALUE"""),"DB1")</f>
        <v>DB1</v>
      </c>
      <c r="E545" s="2" t="str">
        <f>IFERROR(__xludf.DUMMYFUNCTION("""COMPUTED_VALUE"""),"Imported from file Digizag.xlsx")</f>
        <v>Imported from file Digizag.xlsx</v>
      </c>
      <c r="F545" s="2" t="str">
        <f>IFERROR(__xludf.DUMMYFUNCTION("""COMPUTED_VALUE"""),"GQX842851")</f>
        <v>GQX842851</v>
      </c>
      <c r="G545" s="2" t="str">
        <f>IFERROR(__xludf.DUMMYFUNCTION("""COMPUTED_VALUE"""),"UAE")</f>
        <v>UAE</v>
      </c>
      <c r="H545" s="4">
        <f>IFERROR(__xludf.DUMMYFUNCTION("""COMPUTED_VALUE"""),177.9)</f>
        <v>177.9</v>
      </c>
      <c r="I545" s="3">
        <f>IFERROR(__xludf.DUMMYFUNCTION("""COMPUTED_VALUE"""),0.0)</f>
        <v>0</v>
      </c>
      <c r="J545" s="4">
        <f>IFERROR(__xludf.DUMMYFUNCTION("""COMPUTED_VALUE"""),17.79)</f>
        <v>17.79</v>
      </c>
      <c r="K545" s="2"/>
      <c r="L545" s="2" t="str">
        <f>IFERROR(__xludf.DUMMYFUNCTION("""COMPUTED_VALUE"""),"Processing")</f>
        <v>Processing</v>
      </c>
      <c r="M545" s="2" t="str">
        <f>IFERROR(__xludf.DUMMYFUNCTION("""COMPUTED_VALUE"""),"")</f>
        <v></v>
      </c>
      <c r="N545" s="2" t="str">
        <f>IFERROR(__xludf.DUMMYFUNCTION("""COMPUTED_VALUE"""),"Credit, Debit , Apple Pay")</f>
        <v>Credit, Debit , Apple Pay</v>
      </c>
      <c r="O545" s="4">
        <f>IFERROR(__xludf.DUMMYFUNCTION("""COMPUTED_VALUE"""),0.0)</f>
        <v>0</v>
      </c>
      <c r="P545" s="2">
        <f>IFERROR(__xludf.DUMMYFUNCTION("""COMPUTED_VALUE"""),1.0)</f>
        <v>1</v>
      </c>
      <c r="Q545" s="2">
        <f>IFERROR(__xludf.DUMMYFUNCTION("""COMPUTED_VALUE"""),6.0)</f>
        <v>6</v>
      </c>
      <c r="R545" s="2">
        <f>IFERROR(__xludf.DUMMYFUNCTION("""COMPUTED_VALUE"""),2025.0)</f>
        <v>2025</v>
      </c>
      <c r="S545" s="2" t="str">
        <f>IFERROR(__xludf.DUMMYFUNCTION("""COMPUTED_VALUE"""),"Digizag")</f>
        <v>Digizag</v>
      </c>
      <c r="T545" s="2" t="str">
        <f>IFERROR(__xludf.DUMMYFUNCTION("""COMPUTED_VALUE"""),"Digizag")</f>
        <v>Digizag</v>
      </c>
      <c r="U545" s="5">
        <f>IFERROR(__xludf.DUMMYFUNCTION("""COMPUTED_VALUE"""),48.4411164762)</f>
        <v>48.44111648</v>
      </c>
      <c r="V545" s="2"/>
      <c r="W545" s="2"/>
      <c r="X545" s="2"/>
      <c r="Y545" s="2"/>
      <c r="Z545" s="2"/>
    </row>
    <row r="546">
      <c r="A546" s="6">
        <f>IFERROR(__xludf.DUMMYFUNCTION("""COMPUTED_VALUE"""),45809.72820601852)</f>
        <v>45809.72821</v>
      </c>
      <c r="B546" s="2" t="str">
        <f>IFERROR(__xludf.DUMMYFUNCTION("""COMPUTED_VALUE"""),"June")</f>
        <v>June</v>
      </c>
      <c r="C546" s="3">
        <f>IFERROR(__xludf.DUMMYFUNCTION("""COMPUTED_VALUE"""),54367.0)</f>
        <v>54367</v>
      </c>
      <c r="D546" s="2" t="str">
        <f>IFERROR(__xludf.DUMMYFUNCTION("""COMPUTED_VALUE"""),"DB1")</f>
        <v>DB1</v>
      </c>
      <c r="E546" s="2" t="str">
        <f>IFERROR(__xludf.DUMMYFUNCTION("""COMPUTED_VALUE"""),"Imported from file Digizag.xlsx")</f>
        <v>Imported from file Digizag.xlsx</v>
      </c>
      <c r="F546" s="2" t="str">
        <f>IFERROR(__xludf.DUMMYFUNCTION("""COMPUTED_VALUE"""),"LCS300524")</f>
        <v>LCS300524</v>
      </c>
      <c r="G546" s="2" t="str">
        <f>IFERROR(__xludf.DUMMYFUNCTION("""COMPUTED_VALUE"""),"Kuwait")</f>
        <v>Kuwait</v>
      </c>
      <c r="H546" s="4">
        <f>IFERROR(__xludf.DUMMYFUNCTION("""COMPUTED_VALUE"""),17.85)</f>
        <v>17.85</v>
      </c>
      <c r="I546" s="3">
        <f>IFERROR(__xludf.DUMMYFUNCTION("""COMPUTED_VALUE"""),0.0)</f>
        <v>0</v>
      </c>
      <c r="J546" s="4">
        <f>IFERROR(__xludf.DUMMYFUNCTION("""COMPUTED_VALUE"""),1.785)</f>
        <v>1.785</v>
      </c>
      <c r="K546" s="2"/>
      <c r="L546" s="2" t="str">
        <f>IFERROR(__xludf.DUMMYFUNCTION("""COMPUTED_VALUE"""),"Processing")</f>
        <v>Processing</v>
      </c>
      <c r="M546" s="2" t="str">
        <f>IFERROR(__xludf.DUMMYFUNCTION("""COMPUTED_VALUE"""),"KD")</f>
        <v>KD</v>
      </c>
      <c r="N546" s="2" t="str">
        <f>IFERROR(__xludf.DUMMYFUNCTION("""COMPUTED_VALUE"""),"Credit, Debit, Knet")</f>
        <v>Credit, Debit, Knet</v>
      </c>
      <c r="O546" s="4">
        <f>IFERROR(__xludf.DUMMYFUNCTION("""COMPUTED_VALUE"""),0.0)</f>
        <v>0</v>
      </c>
      <c r="P546" s="2">
        <f>IFERROR(__xludf.DUMMYFUNCTION("""COMPUTED_VALUE"""),1.0)</f>
        <v>1</v>
      </c>
      <c r="Q546" s="2">
        <f>IFERROR(__xludf.DUMMYFUNCTION("""COMPUTED_VALUE"""),6.0)</f>
        <v>6</v>
      </c>
      <c r="R546" s="2">
        <f>IFERROR(__xludf.DUMMYFUNCTION("""COMPUTED_VALUE"""),2025.0)</f>
        <v>2025</v>
      </c>
      <c r="S546" s="2" t="str">
        <f>IFERROR(__xludf.DUMMYFUNCTION("""COMPUTED_VALUE"""),"Digizag")</f>
        <v>Digizag</v>
      </c>
      <c r="T546" s="2" t="str">
        <f>IFERROR(__xludf.DUMMYFUNCTION("""COMPUTED_VALUE"""),"Digizag")</f>
        <v>Digizag</v>
      </c>
      <c r="U546" s="5">
        <f>IFERROR(__xludf.DUMMYFUNCTION("""COMPUTED_VALUE"""),58.202067)</f>
        <v>58.202067</v>
      </c>
      <c r="V546" s="2"/>
      <c r="W546" s="2"/>
      <c r="X546" s="2"/>
      <c r="Y546" s="2"/>
      <c r="Z546" s="2"/>
    </row>
    <row r="547">
      <c r="A547" s="6">
        <f>IFERROR(__xludf.DUMMYFUNCTION("""COMPUTED_VALUE"""),45809.79510416667)</f>
        <v>45809.7951</v>
      </c>
      <c r="B547" s="2" t="str">
        <f>IFERROR(__xludf.DUMMYFUNCTION("""COMPUTED_VALUE"""),"June")</f>
        <v>June</v>
      </c>
      <c r="C547" s="3">
        <f>IFERROR(__xludf.DUMMYFUNCTION("""COMPUTED_VALUE"""),275937.0)</f>
        <v>275937</v>
      </c>
      <c r="D547" s="2" t="str">
        <f>IFERROR(__xludf.DUMMYFUNCTION("""COMPUTED_VALUE"""),"RR22")</f>
        <v>RR22</v>
      </c>
      <c r="E547" s="2" t="str">
        <f>IFERROR(__xludf.DUMMYFUNCTION("""COMPUTED_VALUE"""),"Imported from file Digizag.xlsx")</f>
        <v>Imported from file Digizag.xlsx</v>
      </c>
      <c r="F547" s="2" t="str">
        <f>IFERROR(__xludf.DUMMYFUNCTION("""COMPUTED_VALUE"""),"HQN126945")</f>
        <v>HQN126945</v>
      </c>
      <c r="G547" s="2" t="str">
        <f>IFERROR(__xludf.DUMMYFUNCTION("""COMPUTED_VALUE"""),"UAE")</f>
        <v>UAE</v>
      </c>
      <c r="H547" s="4">
        <f>IFERROR(__xludf.DUMMYFUNCTION("""COMPUTED_VALUE"""),243.29)</f>
        <v>243.29</v>
      </c>
      <c r="I547" s="3">
        <f>IFERROR(__xludf.DUMMYFUNCTION("""COMPUTED_VALUE"""),0.0)</f>
        <v>0</v>
      </c>
      <c r="J547" s="4">
        <f>IFERROR(__xludf.DUMMYFUNCTION("""COMPUTED_VALUE"""),24.32)</f>
        <v>24.32</v>
      </c>
      <c r="K547" s="2"/>
      <c r="L547" s="2" t="str">
        <f>IFERROR(__xludf.DUMMYFUNCTION("""COMPUTED_VALUE"""),"Processing")</f>
        <v>Processing</v>
      </c>
      <c r="M547" s="2" t="str">
        <f>IFERROR(__xludf.DUMMYFUNCTION("""COMPUTED_VALUE"""),"")</f>
        <v></v>
      </c>
      <c r="N547" s="2" t="str">
        <f>IFERROR(__xludf.DUMMYFUNCTION("""COMPUTED_VALUE"""),"Credit, Debit , Apple Pay")</f>
        <v>Credit, Debit , Apple Pay</v>
      </c>
      <c r="O547" s="4">
        <f>IFERROR(__xludf.DUMMYFUNCTION("""COMPUTED_VALUE"""),0.0)</f>
        <v>0</v>
      </c>
      <c r="P547" s="2">
        <f>IFERROR(__xludf.DUMMYFUNCTION("""COMPUTED_VALUE"""),1.0)</f>
        <v>1</v>
      </c>
      <c r="Q547" s="2">
        <f>IFERROR(__xludf.DUMMYFUNCTION("""COMPUTED_VALUE"""),6.0)</f>
        <v>6</v>
      </c>
      <c r="R547" s="2">
        <f>IFERROR(__xludf.DUMMYFUNCTION("""COMPUTED_VALUE"""),2025.0)</f>
        <v>2025</v>
      </c>
      <c r="S547" s="2" t="str">
        <f>IFERROR(__xludf.DUMMYFUNCTION("""COMPUTED_VALUE"""),"Digizag")</f>
        <v>Digizag</v>
      </c>
      <c r="T547" s="2" t="str">
        <f>IFERROR(__xludf.DUMMYFUNCTION("""COMPUTED_VALUE"""),"Digizag")</f>
        <v>Digizag</v>
      </c>
      <c r="U547" s="5">
        <f>IFERROR(__xludf.DUMMYFUNCTION("""COMPUTED_VALUE"""),66.24642623662)</f>
        <v>66.24642624</v>
      </c>
      <c r="V547" s="2"/>
      <c r="W547" s="2"/>
      <c r="X547" s="2"/>
      <c r="Y547" s="2"/>
      <c r="Z547" s="2"/>
    </row>
    <row r="548">
      <c r="A548" s="6">
        <f>IFERROR(__xludf.DUMMYFUNCTION("""COMPUTED_VALUE"""),45809.92439814815)</f>
        <v>45809.9244</v>
      </c>
      <c r="B548" s="2" t="str">
        <f>IFERROR(__xludf.DUMMYFUNCTION("""COMPUTED_VALUE"""),"June")</f>
        <v>June</v>
      </c>
      <c r="C548" s="3">
        <f>IFERROR(__xludf.DUMMYFUNCTION("""COMPUTED_VALUE"""),745145.0)</f>
        <v>745145</v>
      </c>
      <c r="D548" s="2" t="str">
        <f>IFERROR(__xludf.DUMMYFUNCTION("""COMPUTED_VALUE"""),"MNN16")</f>
        <v>MNN16</v>
      </c>
      <c r="E548" s="2" t="str">
        <f>IFERROR(__xludf.DUMMYFUNCTION("""COMPUTED_VALUE"""),"Imported from file DigiZag Codes 25Feb25.xlsx")</f>
        <v>Imported from file DigiZag Codes 25Feb25.xlsx</v>
      </c>
      <c r="F548" s="2" t="str">
        <f>IFERROR(__xludf.DUMMYFUNCTION("""COMPUTED_VALUE"""),"GUE675723")</f>
        <v>GUE675723</v>
      </c>
      <c r="G548" s="2" t="str">
        <f>IFERROR(__xludf.DUMMYFUNCTION("""COMPUTED_VALUE"""),"UAE")</f>
        <v>UAE</v>
      </c>
      <c r="H548" s="4">
        <f>IFERROR(__xludf.DUMMYFUNCTION("""COMPUTED_VALUE"""),131.0)</f>
        <v>131</v>
      </c>
      <c r="I548" s="3">
        <f>IFERROR(__xludf.DUMMYFUNCTION("""COMPUTED_VALUE"""),0.0)</f>
        <v>0</v>
      </c>
      <c r="J548" s="4">
        <f>IFERROR(__xludf.DUMMYFUNCTION("""COMPUTED_VALUE"""),13.1)</f>
        <v>13.1</v>
      </c>
      <c r="K548" s="2"/>
      <c r="L548" s="2" t="str">
        <f>IFERROR(__xludf.DUMMYFUNCTION("""COMPUTED_VALUE"""),"Processing")</f>
        <v>Processing</v>
      </c>
      <c r="M548" s="2" t="str">
        <f>IFERROR(__xludf.DUMMYFUNCTION("""COMPUTED_VALUE"""),"")</f>
        <v></v>
      </c>
      <c r="N548" s="2" t="str">
        <f>IFERROR(__xludf.DUMMYFUNCTION("""COMPUTED_VALUE"""),"Credit, Debit , Apple Pay")</f>
        <v>Credit, Debit , Apple Pay</v>
      </c>
      <c r="O548" s="4">
        <f>IFERROR(__xludf.DUMMYFUNCTION("""COMPUTED_VALUE"""),0.0)</f>
        <v>0</v>
      </c>
      <c r="P548" s="2">
        <f>IFERROR(__xludf.DUMMYFUNCTION("""COMPUTED_VALUE"""),1.0)</f>
        <v>1</v>
      </c>
      <c r="Q548" s="2">
        <f>IFERROR(__xludf.DUMMYFUNCTION("""COMPUTED_VALUE"""),6.0)</f>
        <v>6</v>
      </c>
      <c r="R548" s="2">
        <f>IFERROR(__xludf.DUMMYFUNCTION("""COMPUTED_VALUE"""),2025.0)</f>
        <v>2025</v>
      </c>
      <c r="S548" s="2" t="str">
        <f>IFERROR(__xludf.DUMMYFUNCTION("""COMPUTED_VALUE"""),"Digizag")</f>
        <v>Digizag</v>
      </c>
      <c r="T548" s="2" t="str">
        <f>IFERROR(__xludf.DUMMYFUNCTION("""COMPUTED_VALUE"""),"Digizag")</f>
        <v>Digizag</v>
      </c>
      <c r="U548" s="5">
        <f>IFERROR(__xludf.DUMMYFUNCTION("""COMPUTED_VALUE"""),35.670524218)</f>
        <v>35.67052422</v>
      </c>
      <c r="V548" s="2"/>
      <c r="W548" s="2"/>
      <c r="X548" s="2"/>
      <c r="Y548" s="2"/>
      <c r="Z548" s="2"/>
    </row>
    <row r="549">
      <c r="A549" s="6">
        <f>IFERROR(__xludf.DUMMYFUNCTION("""COMPUTED_VALUE"""),45810.352743055555)</f>
        <v>45810.35274</v>
      </c>
      <c r="B549" s="2" t="str">
        <f>IFERROR(__xludf.DUMMYFUNCTION("""COMPUTED_VALUE"""),"June")</f>
        <v>June</v>
      </c>
      <c r="C549" s="3">
        <f>IFERROR(__xludf.DUMMYFUNCTION("""COMPUTED_VALUE"""),453729.0)</f>
        <v>453729</v>
      </c>
      <c r="D549" s="2" t="str">
        <f>IFERROR(__xludf.DUMMYFUNCTION("""COMPUTED_VALUE"""),"MNN16")</f>
        <v>MNN16</v>
      </c>
      <c r="E549" s="2" t="str">
        <f>IFERROR(__xludf.DUMMYFUNCTION("""COMPUTED_VALUE"""),"Imported from file DigiZag Codes 25Feb25.xlsx")</f>
        <v>Imported from file DigiZag Codes 25Feb25.xlsx</v>
      </c>
      <c r="F549" s="2" t="str">
        <f>IFERROR(__xludf.DUMMYFUNCTION("""COMPUTED_VALUE"""),"DRZ308827")</f>
        <v>DRZ308827</v>
      </c>
      <c r="G549" s="2" t="str">
        <f>IFERROR(__xludf.DUMMYFUNCTION("""COMPUTED_VALUE"""),"Kuwait")</f>
        <v>Kuwait</v>
      </c>
      <c r="H549" s="4">
        <f>IFERROR(__xludf.DUMMYFUNCTION("""COMPUTED_VALUE"""),11.9)</f>
        <v>11.9</v>
      </c>
      <c r="I549" s="3">
        <f>IFERROR(__xludf.DUMMYFUNCTION("""COMPUTED_VALUE"""),0.0)</f>
        <v>0</v>
      </c>
      <c r="J549" s="4">
        <f>IFERROR(__xludf.DUMMYFUNCTION("""COMPUTED_VALUE"""),1.19)</f>
        <v>1.19</v>
      </c>
      <c r="K549" s="2"/>
      <c r="L549" s="2" t="str">
        <f>IFERROR(__xludf.DUMMYFUNCTION("""COMPUTED_VALUE"""),"Delivered")</f>
        <v>Delivered</v>
      </c>
      <c r="M549" s="2" t="str">
        <f>IFERROR(__xludf.DUMMYFUNCTION("""COMPUTED_VALUE"""),"KD")</f>
        <v>KD</v>
      </c>
      <c r="N549" s="2" t="str">
        <f>IFERROR(__xludf.DUMMYFUNCTION("""COMPUTED_VALUE"""),"Cash")</f>
        <v>Cash</v>
      </c>
      <c r="O549" s="4">
        <f>IFERROR(__xludf.DUMMYFUNCTION("""COMPUTED_VALUE"""),0.0)</f>
        <v>0</v>
      </c>
      <c r="P549" s="2">
        <f>IFERROR(__xludf.DUMMYFUNCTION("""COMPUTED_VALUE"""),2.0)</f>
        <v>2</v>
      </c>
      <c r="Q549" s="2">
        <f>IFERROR(__xludf.DUMMYFUNCTION("""COMPUTED_VALUE"""),6.0)</f>
        <v>6</v>
      </c>
      <c r="R549" s="2">
        <f>IFERROR(__xludf.DUMMYFUNCTION("""COMPUTED_VALUE"""),2025.0)</f>
        <v>2025</v>
      </c>
      <c r="S549" s="2" t="str">
        <f>IFERROR(__xludf.DUMMYFUNCTION("""COMPUTED_VALUE"""),"Digizag")</f>
        <v>Digizag</v>
      </c>
      <c r="T549" s="2" t="str">
        <f>IFERROR(__xludf.DUMMYFUNCTION("""COMPUTED_VALUE"""),"Digizag")</f>
        <v>Digizag</v>
      </c>
      <c r="U549" s="5">
        <f>IFERROR(__xludf.DUMMYFUNCTION("""COMPUTED_VALUE"""),38.801378)</f>
        <v>38.801378</v>
      </c>
      <c r="V549" s="2"/>
      <c r="W549" s="2"/>
      <c r="X549" s="2"/>
      <c r="Y549" s="2"/>
      <c r="Z549" s="2"/>
    </row>
    <row r="550">
      <c r="A550" s="6">
        <f>IFERROR(__xludf.DUMMYFUNCTION("""COMPUTED_VALUE"""),45810.46376157407)</f>
        <v>45810.46376</v>
      </c>
      <c r="B550" s="2" t="str">
        <f>IFERROR(__xludf.DUMMYFUNCTION("""COMPUTED_VALUE"""),"June")</f>
        <v>June</v>
      </c>
      <c r="C550" s="3">
        <f>IFERROR(__xludf.DUMMYFUNCTION("""COMPUTED_VALUE"""),7798.0)</f>
        <v>7798</v>
      </c>
      <c r="D550" s="2" t="str">
        <f>IFERROR(__xludf.DUMMYFUNCTION("""COMPUTED_VALUE"""),"ZM22")</f>
        <v>ZM22</v>
      </c>
      <c r="E550" s="2" t="str">
        <f>IFERROR(__xludf.DUMMYFUNCTION("""COMPUTED_VALUE"""),"Imported from file Digizag.xlsx")</f>
        <v>Imported from file Digizag.xlsx</v>
      </c>
      <c r="F550" s="2" t="str">
        <f>IFERROR(__xludf.DUMMYFUNCTION("""COMPUTED_VALUE"""),"RRN712759")</f>
        <v>RRN712759</v>
      </c>
      <c r="G550" s="2" t="str">
        <f>IFERROR(__xludf.DUMMYFUNCTION("""COMPUTED_VALUE"""),"UAE")</f>
        <v>UAE</v>
      </c>
      <c r="H550" s="4">
        <f>IFERROR(__xludf.DUMMYFUNCTION("""COMPUTED_VALUE"""),559.0)</f>
        <v>559</v>
      </c>
      <c r="I550" s="3">
        <f>IFERROR(__xludf.DUMMYFUNCTION("""COMPUTED_VALUE"""),0.0)</f>
        <v>0</v>
      </c>
      <c r="J550" s="4">
        <f>IFERROR(__xludf.DUMMYFUNCTION("""COMPUTED_VALUE"""),55.9)</f>
        <v>55.9</v>
      </c>
      <c r="K550" s="2"/>
      <c r="L550" s="2" t="str">
        <f>IFERROR(__xludf.DUMMYFUNCTION("""COMPUTED_VALUE"""),"Processing")</f>
        <v>Processing</v>
      </c>
      <c r="M550" s="2" t="str">
        <f>IFERROR(__xludf.DUMMYFUNCTION("""COMPUTED_VALUE"""),"")</f>
        <v></v>
      </c>
      <c r="N550" s="2" t="str">
        <f>IFERROR(__xludf.DUMMYFUNCTION("""COMPUTED_VALUE"""),"Credit, Debit , Apple Pay")</f>
        <v>Credit, Debit , Apple Pay</v>
      </c>
      <c r="O550" s="4">
        <f>IFERROR(__xludf.DUMMYFUNCTION("""COMPUTED_VALUE"""),0.0)</f>
        <v>0</v>
      </c>
      <c r="P550" s="2">
        <f>IFERROR(__xludf.DUMMYFUNCTION("""COMPUTED_VALUE"""),2.0)</f>
        <v>2</v>
      </c>
      <c r="Q550" s="2">
        <f>IFERROR(__xludf.DUMMYFUNCTION("""COMPUTED_VALUE"""),6.0)</f>
        <v>6</v>
      </c>
      <c r="R550" s="2">
        <f>IFERROR(__xludf.DUMMYFUNCTION("""COMPUTED_VALUE"""),2025.0)</f>
        <v>2025</v>
      </c>
      <c r="S550" s="2" t="str">
        <f>IFERROR(__xludf.DUMMYFUNCTION("""COMPUTED_VALUE"""),"Digizag")</f>
        <v>Digizag</v>
      </c>
      <c r="T550" s="2" t="str">
        <f>IFERROR(__xludf.DUMMYFUNCTION("""COMPUTED_VALUE"""),"Digizag")</f>
        <v>Digizag</v>
      </c>
      <c r="U550" s="5">
        <f>IFERROR(__xludf.DUMMYFUNCTION("""COMPUTED_VALUE"""),152.212389602)</f>
        <v>152.2123896</v>
      </c>
      <c r="V550" s="2"/>
      <c r="W550" s="2"/>
      <c r="X550" s="2"/>
      <c r="Y550" s="2"/>
      <c r="Z550" s="2"/>
    </row>
    <row r="551">
      <c r="A551" s="6">
        <f>IFERROR(__xludf.DUMMYFUNCTION("""COMPUTED_VALUE"""),45810.52071759259)</f>
        <v>45810.52072</v>
      </c>
      <c r="B551" s="2" t="str">
        <f>IFERROR(__xludf.DUMMYFUNCTION("""COMPUTED_VALUE"""),"June")</f>
        <v>June</v>
      </c>
      <c r="C551" s="3">
        <f>IFERROR(__xludf.DUMMYFUNCTION("""COMPUTED_VALUE"""),41992.0)</f>
        <v>41992</v>
      </c>
      <c r="D551" s="2" t="str">
        <f>IFERROR(__xludf.DUMMYFUNCTION("""COMPUTED_VALUE"""),"DB3")</f>
        <v>DB3</v>
      </c>
      <c r="E551" s="2" t="str">
        <f>IFERROR(__xludf.DUMMYFUNCTION("""COMPUTED_VALUE"""),"Imported from file Digizag.xlsx")</f>
        <v>Imported from file Digizag.xlsx</v>
      </c>
      <c r="F551" s="2" t="str">
        <f>IFERROR(__xludf.DUMMYFUNCTION("""COMPUTED_VALUE"""),"PWP297716")</f>
        <v>PWP297716</v>
      </c>
      <c r="G551" s="2" t="str">
        <f>IFERROR(__xludf.DUMMYFUNCTION("""COMPUTED_VALUE"""),"Kingdom of Saudi Arabia")</f>
        <v>Kingdom of Saudi Arabia</v>
      </c>
      <c r="H551" s="4">
        <f>IFERROR(__xludf.DUMMYFUNCTION("""COMPUTED_VALUE"""),87.6)</f>
        <v>87.6</v>
      </c>
      <c r="I551" s="3">
        <f>IFERROR(__xludf.DUMMYFUNCTION("""COMPUTED_VALUE"""),0.0)</f>
        <v>0</v>
      </c>
      <c r="J551" s="4">
        <f>IFERROR(__xludf.DUMMYFUNCTION("""COMPUTED_VALUE"""),30.0)</f>
        <v>30</v>
      </c>
      <c r="K551" s="2"/>
      <c r="L551" s="2" t="str">
        <f>IFERROR(__xludf.DUMMYFUNCTION("""COMPUTED_VALUE"""),"Processing")</f>
        <v>Processing</v>
      </c>
      <c r="M551" s="2" t="str">
        <f>IFERROR(__xludf.DUMMYFUNCTION("""COMPUTED_VALUE"""),"")</f>
        <v></v>
      </c>
      <c r="N551" s="2" t="str">
        <f>IFERROR(__xludf.DUMMYFUNCTION("""COMPUTED_VALUE"""),"Credit, Debit, Apple Pay")</f>
        <v>Credit, Debit, Apple Pay</v>
      </c>
      <c r="O551" s="4">
        <f>IFERROR(__xludf.DUMMYFUNCTION("""COMPUTED_VALUE"""),0.0)</f>
        <v>0</v>
      </c>
      <c r="P551" s="2">
        <f>IFERROR(__xludf.DUMMYFUNCTION("""COMPUTED_VALUE"""),2.0)</f>
        <v>2</v>
      </c>
      <c r="Q551" s="2">
        <f>IFERROR(__xludf.DUMMYFUNCTION("""COMPUTED_VALUE"""),6.0)</f>
        <v>6</v>
      </c>
      <c r="R551" s="2">
        <f>IFERROR(__xludf.DUMMYFUNCTION("""COMPUTED_VALUE"""),2025.0)</f>
        <v>2025</v>
      </c>
      <c r="S551" s="2" t="str">
        <f>IFERROR(__xludf.DUMMYFUNCTION("""COMPUTED_VALUE"""),"Digizag")</f>
        <v>Digizag</v>
      </c>
      <c r="T551" s="2" t="str">
        <f>IFERROR(__xludf.DUMMYFUNCTION("""COMPUTED_VALUE"""),"Digizag")</f>
        <v>Digizag</v>
      </c>
      <c r="U551" s="5">
        <f>IFERROR(__xludf.DUMMYFUNCTION("""COMPUTED_VALUE"""),23.358193629600002)</f>
        <v>23.35819363</v>
      </c>
      <c r="V551" s="2"/>
      <c r="W551" s="2"/>
      <c r="X551" s="2"/>
      <c r="Y551" s="2"/>
      <c r="Z551" s="2"/>
    </row>
    <row r="552">
      <c r="A552" s="6">
        <f>IFERROR(__xludf.DUMMYFUNCTION("""COMPUTED_VALUE"""),45810.54267361111)</f>
        <v>45810.54267</v>
      </c>
      <c r="B552" s="2" t="str">
        <f>IFERROR(__xludf.DUMMYFUNCTION("""COMPUTED_VALUE"""),"June")</f>
        <v>June</v>
      </c>
      <c r="C552" s="3">
        <f>IFERROR(__xludf.DUMMYFUNCTION("""COMPUTED_VALUE"""),710427.0)</f>
        <v>710427</v>
      </c>
      <c r="D552" s="2" t="str">
        <f>IFERROR(__xludf.DUMMYFUNCTION("""COMPUTED_VALUE"""),"RR22")</f>
        <v>RR22</v>
      </c>
      <c r="E552" s="2" t="str">
        <f>IFERROR(__xludf.DUMMYFUNCTION("""COMPUTED_VALUE"""),"Imported from file Digizag.xlsx")</f>
        <v>Imported from file Digizag.xlsx</v>
      </c>
      <c r="F552" s="2" t="str">
        <f>IFERROR(__xludf.DUMMYFUNCTION("""COMPUTED_VALUE"""),"PQR929874")</f>
        <v>PQR929874</v>
      </c>
      <c r="G552" s="2" t="str">
        <f>IFERROR(__xludf.DUMMYFUNCTION("""COMPUTED_VALUE"""),"UAE")</f>
        <v>UAE</v>
      </c>
      <c r="H552" s="4">
        <f>IFERROR(__xludf.DUMMYFUNCTION("""COMPUTED_VALUE"""),365.0)</f>
        <v>365</v>
      </c>
      <c r="I552" s="3">
        <f>IFERROR(__xludf.DUMMYFUNCTION("""COMPUTED_VALUE"""),0.0)</f>
        <v>0</v>
      </c>
      <c r="J552" s="4">
        <f>IFERROR(__xludf.DUMMYFUNCTION("""COMPUTED_VALUE"""),36.5)</f>
        <v>36.5</v>
      </c>
      <c r="K552" s="2"/>
      <c r="L552" s="2" t="str">
        <f>IFERROR(__xludf.DUMMYFUNCTION("""COMPUTED_VALUE"""),"Processing")</f>
        <v>Processing</v>
      </c>
      <c r="M552" s="2" t="str">
        <f>IFERROR(__xludf.DUMMYFUNCTION("""COMPUTED_VALUE"""),"")</f>
        <v></v>
      </c>
      <c r="N552" s="2" t="str">
        <f>IFERROR(__xludf.DUMMYFUNCTION("""COMPUTED_VALUE"""),"Credit, Debit , Apple Pay")</f>
        <v>Credit, Debit , Apple Pay</v>
      </c>
      <c r="O552" s="4">
        <f>IFERROR(__xludf.DUMMYFUNCTION("""COMPUTED_VALUE"""),0.0)</f>
        <v>0</v>
      </c>
      <c r="P552" s="2">
        <f>IFERROR(__xludf.DUMMYFUNCTION("""COMPUTED_VALUE"""),2.0)</f>
        <v>2</v>
      </c>
      <c r="Q552" s="2">
        <f>IFERROR(__xludf.DUMMYFUNCTION("""COMPUTED_VALUE"""),6.0)</f>
        <v>6</v>
      </c>
      <c r="R552" s="2">
        <f>IFERROR(__xludf.DUMMYFUNCTION("""COMPUTED_VALUE"""),2025.0)</f>
        <v>2025</v>
      </c>
      <c r="S552" s="2" t="str">
        <f>IFERROR(__xludf.DUMMYFUNCTION("""COMPUTED_VALUE"""),"Digizag")</f>
        <v>Digizag</v>
      </c>
      <c r="T552" s="2" t="str">
        <f>IFERROR(__xludf.DUMMYFUNCTION("""COMPUTED_VALUE"""),"Digizag")</f>
        <v>Digizag</v>
      </c>
      <c r="U552" s="5">
        <f>IFERROR(__xludf.DUMMYFUNCTION("""COMPUTED_VALUE"""),99.38733847)</f>
        <v>99.38733847</v>
      </c>
      <c r="V552" s="2"/>
      <c r="W552" s="2"/>
      <c r="X552" s="2"/>
      <c r="Y552" s="2"/>
      <c r="Z552" s="2"/>
    </row>
    <row r="553">
      <c r="A553" s="6">
        <f>IFERROR(__xludf.DUMMYFUNCTION("""COMPUTED_VALUE"""),45810.56423611111)</f>
        <v>45810.56424</v>
      </c>
      <c r="B553" s="2" t="str">
        <f>IFERROR(__xludf.DUMMYFUNCTION("""COMPUTED_VALUE"""),"June")</f>
        <v>June</v>
      </c>
      <c r="C553" s="3">
        <f>IFERROR(__xludf.DUMMYFUNCTION("""COMPUTED_VALUE"""),415303.0)</f>
        <v>415303</v>
      </c>
      <c r="D553" s="2" t="str">
        <f>IFERROR(__xludf.DUMMYFUNCTION("""COMPUTED_VALUE"""),"ZM22")</f>
        <v>ZM22</v>
      </c>
      <c r="E553" s="2" t="str">
        <f>IFERROR(__xludf.DUMMYFUNCTION("""COMPUTED_VALUE"""),"Imported from file Digizag.xlsx")</f>
        <v>Imported from file Digizag.xlsx</v>
      </c>
      <c r="F553" s="2" t="str">
        <f>IFERROR(__xludf.DUMMYFUNCTION("""COMPUTED_VALUE"""),"JGD631111")</f>
        <v>JGD631111</v>
      </c>
      <c r="G553" s="2" t="str">
        <f>IFERROR(__xludf.DUMMYFUNCTION("""COMPUTED_VALUE"""),"Kingdom of Saudi Arabia")</f>
        <v>Kingdom of Saudi Arabia</v>
      </c>
      <c r="H553" s="4">
        <f>IFERROR(__xludf.DUMMYFUNCTION("""COMPUTED_VALUE"""),172.0)</f>
        <v>172</v>
      </c>
      <c r="I553" s="3">
        <f>IFERROR(__xludf.DUMMYFUNCTION("""COMPUTED_VALUE"""),0.0)</f>
        <v>0</v>
      </c>
      <c r="J553" s="4">
        <f>IFERROR(__xludf.DUMMYFUNCTION("""COMPUTED_VALUE"""),30.0)</f>
        <v>30</v>
      </c>
      <c r="K553" s="2"/>
      <c r="L553" s="2" t="str">
        <f>IFERROR(__xludf.DUMMYFUNCTION("""COMPUTED_VALUE"""),"Delivered")</f>
        <v>Delivered</v>
      </c>
      <c r="M553" s="2" t="str">
        <f>IFERROR(__xludf.DUMMYFUNCTION("""COMPUTED_VALUE"""),"")</f>
        <v></v>
      </c>
      <c r="N553" s="2" t="str">
        <f>IFERROR(__xludf.DUMMYFUNCTION("""COMPUTED_VALUE"""),"Credit, Debit, Apple Pay")</f>
        <v>Credit, Debit, Apple Pay</v>
      </c>
      <c r="O553" s="4">
        <f>IFERROR(__xludf.DUMMYFUNCTION("""COMPUTED_VALUE"""),0.0)</f>
        <v>0</v>
      </c>
      <c r="P553" s="2">
        <f>IFERROR(__xludf.DUMMYFUNCTION("""COMPUTED_VALUE"""),2.0)</f>
        <v>2</v>
      </c>
      <c r="Q553" s="2">
        <f>IFERROR(__xludf.DUMMYFUNCTION("""COMPUTED_VALUE"""),6.0)</f>
        <v>6</v>
      </c>
      <c r="R553" s="2">
        <f>IFERROR(__xludf.DUMMYFUNCTION("""COMPUTED_VALUE"""),2025.0)</f>
        <v>2025</v>
      </c>
      <c r="S553" s="2" t="str">
        <f>IFERROR(__xludf.DUMMYFUNCTION("""COMPUTED_VALUE"""),"Digizag")</f>
        <v>Digizag</v>
      </c>
      <c r="T553" s="2" t="str">
        <f>IFERROR(__xludf.DUMMYFUNCTION("""COMPUTED_VALUE"""),"Digizag")</f>
        <v>Digizag</v>
      </c>
      <c r="U553" s="5">
        <f>IFERROR(__xludf.DUMMYFUNCTION("""COMPUTED_VALUE"""),45.863119912)</f>
        <v>45.86311991</v>
      </c>
      <c r="V553" s="2"/>
      <c r="W553" s="2"/>
      <c r="X553" s="2"/>
      <c r="Y553" s="2"/>
      <c r="Z553" s="2"/>
    </row>
    <row r="554">
      <c r="A554" s="6">
        <f>IFERROR(__xludf.DUMMYFUNCTION("""COMPUTED_VALUE"""),45810.578564814816)</f>
        <v>45810.57856</v>
      </c>
      <c r="B554" s="2" t="str">
        <f>IFERROR(__xludf.DUMMYFUNCTION("""COMPUTED_VALUE"""),"June")</f>
        <v>June</v>
      </c>
      <c r="C554" s="3">
        <f>IFERROR(__xludf.DUMMYFUNCTION("""COMPUTED_VALUE"""),14425.0)</f>
        <v>14425</v>
      </c>
      <c r="D554" s="2" t="str">
        <f>IFERROR(__xludf.DUMMYFUNCTION("""COMPUTED_VALUE"""),"ZM22")</f>
        <v>ZM22</v>
      </c>
      <c r="E554" s="2" t="str">
        <f>IFERROR(__xludf.DUMMYFUNCTION("""COMPUTED_VALUE"""),"Imported from file Digizag.xlsx")</f>
        <v>Imported from file Digizag.xlsx</v>
      </c>
      <c r="F554" s="2" t="str">
        <f>IFERROR(__xludf.DUMMYFUNCTION("""COMPUTED_VALUE"""),"HXE104736")</f>
        <v>HXE104736</v>
      </c>
      <c r="G554" s="2" t="str">
        <f>IFERROR(__xludf.DUMMYFUNCTION("""COMPUTED_VALUE"""),"Kingdom of Saudi Arabia")</f>
        <v>Kingdom of Saudi Arabia</v>
      </c>
      <c r="H554" s="4">
        <f>IFERROR(__xludf.DUMMYFUNCTION("""COMPUTED_VALUE"""),207.78)</f>
        <v>207.78</v>
      </c>
      <c r="I554" s="3">
        <f>IFERROR(__xludf.DUMMYFUNCTION("""COMPUTED_VALUE"""),0.0)</f>
        <v>0</v>
      </c>
      <c r="J554" s="4">
        <f>IFERROR(__xludf.DUMMYFUNCTION("""COMPUTED_VALUE"""),30.0)</f>
        <v>30</v>
      </c>
      <c r="K554" s="2"/>
      <c r="L554" s="2" t="str">
        <f>IFERROR(__xludf.DUMMYFUNCTION("""COMPUTED_VALUE"""),"Processing")</f>
        <v>Processing</v>
      </c>
      <c r="M554" s="2" t="str">
        <f>IFERROR(__xludf.DUMMYFUNCTION("""COMPUTED_VALUE"""),"")</f>
        <v></v>
      </c>
      <c r="N554" s="2" t="str">
        <f>IFERROR(__xludf.DUMMYFUNCTION("""COMPUTED_VALUE"""),"Credit, Debit, Apple Pay")</f>
        <v>Credit, Debit, Apple Pay</v>
      </c>
      <c r="O554" s="4">
        <f>IFERROR(__xludf.DUMMYFUNCTION("""COMPUTED_VALUE"""),0.0)</f>
        <v>0</v>
      </c>
      <c r="P554" s="2">
        <f>IFERROR(__xludf.DUMMYFUNCTION("""COMPUTED_VALUE"""),2.0)</f>
        <v>2</v>
      </c>
      <c r="Q554" s="2">
        <f>IFERROR(__xludf.DUMMYFUNCTION("""COMPUTED_VALUE"""),6.0)</f>
        <v>6</v>
      </c>
      <c r="R554" s="2">
        <f>IFERROR(__xludf.DUMMYFUNCTION("""COMPUTED_VALUE"""),2025.0)</f>
        <v>2025</v>
      </c>
      <c r="S554" s="2" t="str">
        <f>IFERROR(__xludf.DUMMYFUNCTION("""COMPUTED_VALUE"""),"Digizag")</f>
        <v>Digizag</v>
      </c>
      <c r="T554" s="2" t="str">
        <f>IFERROR(__xludf.DUMMYFUNCTION("""COMPUTED_VALUE"""),"Digizag")</f>
        <v>Digizag</v>
      </c>
      <c r="U554" s="5">
        <f>IFERROR(__xludf.DUMMYFUNCTION("""COMPUTED_VALUE"""),55.40371543788)</f>
        <v>55.40371544</v>
      </c>
      <c r="V554" s="2"/>
      <c r="W554" s="2"/>
      <c r="X554" s="2"/>
      <c r="Y554" s="2"/>
      <c r="Z554" s="2"/>
    </row>
    <row r="555">
      <c r="A555" s="6">
        <f>IFERROR(__xludf.DUMMYFUNCTION("""COMPUTED_VALUE"""),45810.60803240741)</f>
        <v>45810.60803</v>
      </c>
      <c r="B555" s="2" t="str">
        <f>IFERROR(__xludf.DUMMYFUNCTION("""COMPUTED_VALUE"""),"June")</f>
        <v>June</v>
      </c>
      <c r="C555" s="3">
        <f>IFERROR(__xludf.DUMMYFUNCTION("""COMPUTED_VALUE"""),710427.0)</f>
        <v>710427</v>
      </c>
      <c r="D555" s="2" t="str">
        <f>IFERROR(__xludf.DUMMYFUNCTION("""COMPUTED_VALUE"""),"RR22")</f>
        <v>RR22</v>
      </c>
      <c r="E555" s="2" t="str">
        <f>IFERROR(__xludf.DUMMYFUNCTION("""COMPUTED_VALUE"""),"Imported from file Digizag.xlsx")</f>
        <v>Imported from file Digizag.xlsx</v>
      </c>
      <c r="F555" s="2" t="str">
        <f>IFERROR(__xludf.DUMMYFUNCTION("""COMPUTED_VALUE"""),"GAZ976077")</f>
        <v>GAZ976077</v>
      </c>
      <c r="G555" s="2" t="str">
        <f>IFERROR(__xludf.DUMMYFUNCTION("""COMPUTED_VALUE"""),"UAE")</f>
        <v>UAE</v>
      </c>
      <c r="H555" s="4">
        <f>IFERROR(__xludf.DUMMYFUNCTION("""COMPUTED_VALUE"""),149.0)</f>
        <v>149</v>
      </c>
      <c r="I555" s="3">
        <f>IFERROR(__xludf.DUMMYFUNCTION("""COMPUTED_VALUE"""),0.0)</f>
        <v>0</v>
      </c>
      <c r="J555" s="4">
        <f>IFERROR(__xludf.DUMMYFUNCTION("""COMPUTED_VALUE"""),14.9)</f>
        <v>14.9</v>
      </c>
      <c r="K555" s="2"/>
      <c r="L555" s="2" t="str">
        <f>IFERROR(__xludf.DUMMYFUNCTION("""COMPUTED_VALUE"""),"Processing")</f>
        <v>Processing</v>
      </c>
      <c r="M555" s="2" t="str">
        <f>IFERROR(__xludf.DUMMYFUNCTION("""COMPUTED_VALUE"""),"")</f>
        <v></v>
      </c>
      <c r="N555" s="2" t="str">
        <f>IFERROR(__xludf.DUMMYFUNCTION("""COMPUTED_VALUE"""),"Credit, Debit , Apple Pay")</f>
        <v>Credit, Debit , Apple Pay</v>
      </c>
      <c r="O555" s="4">
        <f>IFERROR(__xludf.DUMMYFUNCTION("""COMPUTED_VALUE"""),0.0)</f>
        <v>0</v>
      </c>
      <c r="P555" s="2">
        <f>IFERROR(__xludf.DUMMYFUNCTION("""COMPUTED_VALUE"""),2.0)</f>
        <v>2</v>
      </c>
      <c r="Q555" s="2">
        <f>IFERROR(__xludf.DUMMYFUNCTION("""COMPUTED_VALUE"""),6.0)</f>
        <v>6</v>
      </c>
      <c r="R555" s="2">
        <f>IFERROR(__xludf.DUMMYFUNCTION("""COMPUTED_VALUE"""),2025.0)</f>
        <v>2025</v>
      </c>
      <c r="S555" s="2" t="str">
        <f>IFERROR(__xludf.DUMMYFUNCTION("""COMPUTED_VALUE"""),"Digizag")</f>
        <v>Digizag</v>
      </c>
      <c r="T555" s="2" t="str">
        <f>IFERROR(__xludf.DUMMYFUNCTION("""COMPUTED_VALUE"""),"Digizag")</f>
        <v>Digizag</v>
      </c>
      <c r="U555" s="5">
        <f>IFERROR(__xludf.DUMMYFUNCTION("""COMPUTED_VALUE"""),40.571817622)</f>
        <v>40.57181762</v>
      </c>
      <c r="V555" s="2"/>
      <c r="W555" s="2"/>
      <c r="X555" s="2"/>
      <c r="Y555" s="2"/>
      <c r="Z555" s="2"/>
    </row>
    <row r="556">
      <c r="A556" s="6">
        <f>IFERROR(__xludf.DUMMYFUNCTION("""COMPUTED_VALUE"""),45810.62501157407)</f>
        <v>45810.62501</v>
      </c>
      <c r="B556" s="2" t="str">
        <f>IFERROR(__xludf.DUMMYFUNCTION("""COMPUTED_VALUE"""),"June")</f>
        <v>June</v>
      </c>
      <c r="C556" s="3">
        <f>IFERROR(__xludf.DUMMYFUNCTION("""COMPUTED_VALUE"""),33161.0)</f>
        <v>33161</v>
      </c>
      <c r="D556" s="2" t="str">
        <f>IFERROR(__xludf.DUMMYFUNCTION("""COMPUTED_VALUE"""),"ZM22")</f>
        <v>ZM22</v>
      </c>
      <c r="E556" s="2" t="str">
        <f>IFERROR(__xludf.DUMMYFUNCTION("""COMPUTED_VALUE"""),"Imported from file Digizag.xlsx")</f>
        <v>Imported from file Digizag.xlsx</v>
      </c>
      <c r="F556" s="2" t="str">
        <f>IFERROR(__xludf.DUMMYFUNCTION("""COMPUTED_VALUE"""),"MUB496176")</f>
        <v>MUB496176</v>
      </c>
      <c r="G556" s="2" t="str">
        <f>IFERROR(__xludf.DUMMYFUNCTION("""COMPUTED_VALUE"""),"UAE")</f>
        <v>UAE</v>
      </c>
      <c r="H556" s="4">
        <f>IFERROR(__xludf.DUMMYFUNCTION("""COMPUTED_VALUE"""),179.1)</f>
        <v>179.1</v>
      </c>
      <c r="I556" s="3">
        <f>IFERROR(__xludf.DUMMYFUNCTION("""COMPUTED_VALUE"""),0.0)</f>
        <v>0</v>
      </c>
      <c r="J556" s="4">
        <f>IFERROR(__xludf.DUMMYFUNCTION("""COMPUTED_VALUE"""),17.91)</f>
        <v>17.91</v>
      </c>
      <c r="K556" s="2"/>
      <c r="L556" s="2" t="str">
        <f>IFERROR(__xludf.DUMMYFUNCTION("""COMPUTED_VALUE"""),"Processing")</f>
        <v>Processing</v>
      </c>
      <c r="M556" s="2" t="str">
        <f>IFERROR(__xludf.DUMMYFUNCTION("""COMPUTED_VALUE"""),"")</f>
        <v></v>
      </c>
      <c r="N556" s="2" t="str">
        <f>IFERROR(__xludf.DUMMYFUNCTION("""COMPUTED_VALUE"""),"Credit, Debit , Apple Pay")</f>
        <v>Credit, Debit , Apple Pay</v>
      </c>
      <c r="O556" s="4">
        <f>IFERROR(__xludf.DUMMYFUNCTION("""COMPUTED_VALUE"""),0.0)</f>
        <v>0</v>
      </c>
      <c r="P556" s="2">
        <f>IFERROR(__xludf.DUMMYFUNCTION("""COMPUTED_VALUE"""),2.0)</f>
        <v>2</v>
      </c>
      <c r="Q556" s="2">
        <f>IFERROR(__xludf.DUMMYFUNCTION("""COMPUTED_VALUE"""),6.0)</f>
        <v>6</v>
      </c>
      <c r="R556" s="2">
        <f>IFERROR(__xludf.DUMMYFUNCTION("""COMPUTED_VALUE"""),2025.0)</f>
        <v>2025</v>
      </c>
      <c r="S556" s="2" t="str">
        <f>IFERROR(__xludf.DUMMYFUNCTION("""COMPUTED_VALUE"""),"Digizag")</f>
        <v>Digizag</v>
      </c>
      <c r="T556" s="2" t="str">
        <f>IFERROR(__xludf.DUMMYFUNCTION("""COMPUTED_VALUE"""),"Digizag")</f>
        <v>Digizag</v>
      </c>
      <c r="U556" s="5">
        <f>IFERROR(__xludf.DUMMYFUNCTION("""COMPUTED_VALUE"""),48.767869369799996)</f>
        <v>48.76786937</v>
      </c>
      <c r="V556" s="2"/>
      <c r="W556" s="2"/>
      <c r="X556" s="2"/>
      <c r="Y556" s="2"/>
      <c r="Z556" s="2"/>
    </row>
    <row r="557">
      <c r="A557" s="6">
        <f>IFERROR(__xludf.DUMMYFUNCTION("""COMPUTED_VALUE"""),45810.71222222222)</f>
        <v>45810.71222</v>
      </c>
      <c r="B557" s="2" t="str">
        <f>IFERROR(__xludf.DUMMYFUNCTION("""COMPUTED_VALUE"""),"June")</f>
        <v>June</v>
      </c>
      <c r="C557" s="3">
        <f>IFERROR(__xludf.DUMMYFUNCTION("""COMPUTED_VALUE"""),381689.0)</f>
        <v>381689</v>
      </c>
      <c r="D557" s="2" t="str">
        <f>IFERROR(__xludf.DUMMYFUNCTION("""COMPUTED_VALUE"""),"ZM22")</f>
        <v>ZM22</v>
      </c>
      <c r="E557" s="2" t="str">
        <f>IFERROR(__xludf.DUMMYFUNCTION("""COMPUTED_VALUE"""),"Imported from file Digizag.xlsx")</f>
        <v>Imported from file Digizag.xlsx</v>
      </c>
      <c r="F557" s="2" t="str">
        <f>IFERROR(__xludf.DUMMYFUNCTION("""COMPUTED_VALUE"""),"CCB166132")</f>
        <v>CCB166132</v>
      </c>
      <c r="G557" s="2" t="str">
        <f>IFERROR(__xludf.DUMMYFUNCTION("""COMPUTED_VALUE"""),"Kingdom of Saudi Arabia")</f>
        <v>Kingdom of Saudi Arabia</v>
      </c>
      <c r="H557" s="4">
        <f>IFERROR(__xludf.DUMMYFUNCTION("""COMPUTED_VALUE"""),261.61)</f>
        <v>261.61</v>
      </c>
      <c r="I557" s="3">
        <f>IFERROR(__xludf.DUMMYFUNCTION("""COMPUTED_VALUE"""),0.0)</f>
        <v>0</v>
      </c>
      <c r="J557" s="4">
        <f>IFERROR(__xludf.DUMMYFUNCTION("""COMPUTED_VALUE"""),30.0)</f>
        <v>30</v>
      </c>
      <c r="K557" s="2"/>
      <c r="L557" s="2" t="str">
        <f>IFERROR(__xludf.DUMMYFUNCTION("""COMPUTED_VALUE"""),"Processing")</f>
        <v>Processing</v>
      </c>
      <c r="M557" s="2" t="str">
        <f>IFERROR(__xludf.DUMMYFUNCTION("""COMPUTED_VALUE"""),"")</f>
        <v></v>
      </c>
      <c r="N557" s="2" t="str">
        <f>IFERROR(__xludf.DUMMYFUNCTION("""COMPUTED_VALUE"""),"Pay in 4. No interest, no fees")</f>
        <v>Pay in 4. No interest, no fees</v>
      </c>
      <c r="O557" s="4">
        <f>IFERROR(__xludf.DUMMYFUNCTION("""COMPUTED_VALUE"""),0.0)</f>
        <v>0</v>
      </c>
      <c r="P557" s="2">
        <f>IFERROR(__xludf.DUMMYFUNCTION("""COMPUTED_VALUE"""),2.0)</f>
        <v>2</v>
      </c>
      <c r="Q557" s="2">
        <f>IFERROR(__xludf.DUMMYFUNCTION("""COMPUTED_VALUE"""),6.0)</f>
        <v>6</v>
      </c>
      <c r="R557" s="2">
        <f>IFERROR(__xludf.DUMMYFUNCTION("""COMPUTED_VALUE"""),2025.0)</f>
        <v>2025</v>
      </c>
      <c r="S557" s="2" t="str">
        <f>IFERROR(__xludf.DUMMYFUNCTION("""COMPUTED_VALUE"""),"Digizag")</f>
        <v>Digizag</v>
      </c>
      <c r="T557" s="2" t="str">
        <f>IFERROR(__xludf.DUMMYFUNCTION("""COMPUTED_VALUE"""),"Digizag")</f>
        <v>Digizag</v>
      </c>
      <c r="U557" s="5">
        <f>IFERROR(__xludf.DUMMYFUNCTION("""COMPUTED_VALUE"""),69.75727209406001)</f>
        <v>69.75727209</v>
      </c>
      <c r="V557" s="2"/>
      <c r="W557" s="2"/>
      <c r="X557" s="2"/>
      <c r="Y557" s="2"/>
      <c r="Z557" s="2"/>
    </row>
    <row r="558">
      <c r="A558" s="6">
        <f>IFERROR(__xludf.DUMMYFUNCTION("""COMPUTED_VALUE"""),45810.81146990741)</f>
        <v>45810.81147</v>
      </c>
      <c r="B558" s="2" t="str">
        <f>IFERROR(__xludf.DUMMYFUNCTION("""COMPUTED_VALUE"""),"June")</f>
        <v>June</v>
      </c>
      <c r="C558" s="3">
        <f>IFERROR(__xludf.DUMMYFUNCTION("""COMPUTED_VALUE"""),135271.0)</f>
        <v>135271</v>
      </c>
      <c r="D558" s="2" t="str">
        <f>IFERROR(__xludf.DUMMYFUNCTION("""COMPUTED_VALUE"""),"MNN16")</f>
        <v>MNN16</v>
      </c>
      <c r="E558" s="2" t="str">
        <f>IFERROR(__xludf.DUMMYFUNCTION("""COMPUTED_VALUE"""),"Imported from file DigiZag Bidding Codes.xlsx")</f>
        <v>Imported from file DigiZag Bidding Codes.xlsx</v>
      </c>
      <c r="F558" s="2" t="str">
        <f>IFERROR(__xludf.DUMMYFUNCTION("""COMPUTED_VALUE"""),"YWH364269")</f>
        <v>YWH364269</v>
      </c>
      <c r="G558" s="2" t="str">
        <f>IFERROR(__xludf.DUMMYFUNCTION("""COMPUTED_VALUE"""),"Kingdom of Saudi Arabia")</f>
        <v>Kingdom of Saudi Arabia</v>
      </c>
      <c r="H558" s="4">
        <f>IFERROR(__xludf.DUMMYFUNCTION("""COMPUTED_VALUE"""),155.0)</f>
        <v>155</v>
      </c>
      <c r="I558" s="3">
        <f>IFERROR(__xludf.DUMMYFUNCTION("""COMPUTED_VALUE"""),0.0)</f>
        <v>0</v>
      </c>
      <c r="J558" s="4">
        <f>IFERROR(__xludf.DUMMYFUNCTION("""COMPUTED_VALUE"""),30.0)</f>
        <v>30</v>
      </c>
      <c r="K558" s="2"/>
      <c r="L558" s="2" t="str">
        <f>IFERROR(__xludf.DUMMYFUNCTION("""COMPUTED_VALUE"""),"Processing")</f>
        <v>Processing</v>
      </c>
      <c r="M558" s="2" t="str">
        <f>IFERROR(__xludf.DUMMYFUNCTION("""COMPUTED_VALUE"""),"")</f>
        <v></v>
      </c>
      <c r="N558" s="2" t="str">
        <f>IFERROR(__xludf.DUMMYFUNCTION("""COMPUTED_VALUE"""),"Credit, Debit, Apple Pay")</f>
        <v>Credit, Debit, Apple Pay</v>
      </c>
      <c r="O558" s="4">
        <f>IFERROR(__xludf.DUMMYFUNCTION("""COMPUTED_VALUE"""),0.0)</f>
        <v>0</v>
      </c>
      <c r="P558" s="2">
        <f>IFERROR(__xludf.DUMMYFUNCTION("""COMPUTED_VALUE"""),2.0)</f>
        <v>2</v>
      </c>
      <c r="Q558" s="2">
        <f>IFERROR(__xludf.DUMMYFUNCTION("""COMPUTED_VALUE"""),6.0)</f>
        <v>6</v>
      </c>
      <c r="R558" s="2">
        <f>IFERROR(__xludf.DUMMYFUNCTION("""COMPUTED_VALUE"""),2025.0)</f>
        <v>2025</v>
      </c>
      <c r="S558" s="2" t="str">
        <f>IFERROR(__xludf.DUMMYFUNCTION("""COMPUTED_VALUE"""),"Digizag")</f>
        <v>Digizag</v>
      </c>
      <c r="T558" s="2" t="str">
        <f>IFERROR(__xludf.DUMMYFUNCTION("""COMPUTED_VALUE"""),"Digizag")</f>
        <v>Digizag</v>
      </c>
      <c r="U558" s="5">
        <f>IFERROR(__xludf.DUMMYFUNCTION("""COMPUTED_VALUE"""),41.330137130000004)</f>
        <v>41.33013713</v>
      </c>
      <c r="V558" s="2"/>
      <c r="W558" s="2"/>
      <c r="X558" s="2"/>
      <c r="Y558" s="2"/>
      <c r="Z558" s="2"/>
    </row>
    <row r="559">
      <c r="A559" s="6">
        <f>IFERROR(__xludf.DUMMYFUNCTION("""COMPUTED_VALUE"""),45810.85680555555)</f>
        <v>45810.85681</v>
      </c>
      <c r="B559" s="2" t="str">
        <f>IFERROR(__xludf.DUMMYFUNCTION("""COMPUTED_VALUE"""),"June")</f>
        <v>June</v>
      </c>
      <c r="C559" s="3">
        <f>IFERROR(__xludf.DUMMYFUNCTION("""COMPUTED_VALUE"""),584783.0)</f>
        <v>584783</v>
      </c>
      <c r="D559" s="2" t="str">
        <f>IFERROR(__xludf.DUMMYFUNCTION("""COMPUTED_VALUE"""),"MNN16")</f>
        <v>MNN16</v>
      </c>
      <c r="E559" s="2" t="str">
        <f>IFERROR(__xludf.DUMMYFUNCTION("""COMPUTED_VALUE"""),"Imported from file DigiZag Codes 25Feb25.xlsx")</f>
        <v>Imported from file DigiZag Codes 25Feb25.xlsx</v>
      </c>
      <c r="F559" s="2" t="str">
        <f>IFERROR(__xludf.DUMMYFUNCTION("""COMPUTED_VALUE"""),"HND672966")</f>
        <v>HND672966</v>
      </c>
      <c r="G559" s="2" t="str">
        <f>IFERROR(__xludf.DUMMYFUNCTION("""COMPUTED_VALUE"""),"Kuwait")</f>
        <v>Kuwait</v>
      </c>
      <c r="H559" s="4">
        <f>IFERROR(__xludf.DUMMYFUNCTION("""COMPUTED_VALUE"""),16.05)</f>
        <v>16.05</v>
      </c>
      <c r="I559" s="3">
        <f>IFERROR(__xludf.DUMMYFUNCTION("""COMPUTED_VALUE"""),0.0)</f>
        <v>0</v>
      </c>
      <c r="J559" s="4">
        <f>IFERROR(__xludf.DUMMYFUNCTION("""COMPUTED_VALUE"""),1.605)</f>
        <v>1.605</v>
      </c>
      <c r="K559" s="2"/>
      <c r="L559" s="2" t="str">
        <f>IFERROR(__xludf.DUMMYFUNCTION("""COMPUTED_VALUE"""),"Processing")</f>
        <v>Processing</v>
      </c>
      <c r="M559" s="2" t="str">
        <f>IFERROR(__xludf.DUMMYFUNCTION("""COMPUTED_VALUE"""),"KD")</f>
        <v>KD</v>
      </c>
      <c r="N559" s="2" t="str">
        <f>IFERROR(__xludf.DUMMYFUNCTION("""COMPUTED_VALUE"""),"Credit, Debit, Knet")</f>
        <v>Credit, Debit, Knet</v>
      </c>
      <c r="O559" s="4">
        <f>IFERROR(__xludf.DUMMYFUNCTION("""COMPUTED_VALUE"""),0.0)</f>
        <v>0</v>
      </c>
      <c r="P559" s="2">
        <f>IFERROR(__xludf.DUMMYFUNCTION("""COMPUTED_VALUE"""),2.0)</f>
        <v>2</v>
      </c>
      <c r="Q559" s="2">
        <f>IFERROR(__xludf.DUMMYFUNCTION("""COMPUTED_VALUE"""),6.0)</f>
        <v>6</v>
      </c>
      <c r="R559" s="2">
        <f>IFERROR(__xludf.DUMMYFUNCTION("""COMPUTED_VALUE"""),2025.0)</f>
        <v>2025</v>
      </c>
      <c r="S559" s="2" t="str">
        <f>IFERROR(__xludf.DUMMYFUNCTION("""COMPUTED_VALUE"""),"Digizag")</f>
        <v>Digizag</v>
      </c>
      <c r="T559" s="2" t="str">
        <f>IFERROR(__xludf.DUMMYFUNCTION("""COMPUTED_VALUE"""),"Digizag")</f>
        <v>Digizag</v>
      </c>
      <c r="U559" s="5">
        <f>IFERROR(__xludf.DUMMYFUNCTION("""COMPUTED_VALUE"""),52.332951)</f>
        <v>52.332951</v>
      </c>
      <c r="V559" s="2"/>
      <c r="W559" s="2"/>
      <c r="X559" s="2"/>
      <c r="Y559" s="2"/>
      <c r="Z559" s="2"/>
    </row>
    <row r="560">
      <c r="A560" s="6">
        <f>IFERROR(__xludf.DUMMYFUNCTION("""COMPUTED_VALUE"""),45811.29678240741)</f>
        <v>45811.29678</v>
      </c>
      <c r="B560" s="2" t="str">
        <f>IFERROR(__xludf.DUMMYFUNCTION("""COMPUTED_VALUE"""),"June")</f>
        <v>June</v>
      </c>
      <c r="C560" s="3">
        <f>IFERROR(__xludf.DUMMYFUNCTION("""COMPUTED_VALUE"""),97741.0)</f>
        <v>97741</v>
      </c>
      <c r="D560" s="2" t="str">
        <f>IFERROR(__xludf.DUMMYFUNCTION("""COMPUTED_VALUE"""),"JM")</f>
        <v>JM</v>
      </c>
      <c r="E560" s="2" t="str">
        <f>IFERROR(__xludf.DUMMYFUNCTION("""COMPUTED_VALUE"""),"DigiZag")</f>
        <v>DigiZag</v>
      </c>
      <c r="F560" s="2" t="str">
        <f>IFERROR(__xludf.DUMMYFUNCTION("""COMPUTED_VALUE"""),"GRW223911")</f>
        <v>GRW223911</v>
      </c>
      <c r="G560" s="2" t="str">
        <f>IFERROR(__xludf.DUMMYFUNCTION("""COMPUTED_VALUE"""),"Bahrain")</f>
        <v>Bahrain</v>
      </c>
      <c r="H560" s="4">
        <f>IFERROR(__xludf.DUMMYFUNCTION("""COMPUTED_VALUE"""),10.45)</f>
        <v>10.45</v>
      </c>
      <c r="I560" s="3">
        <f>IFERROR(__xludf.DUMMYFUNCTION("""COMPUTED_VALUE"""),0.0)</f>
        <v>0</v>
      </c>
      <c r="J560" s="4">
        <f>IFERROR(__xludf.DUMMYFUNCTION("""COMPUTED_VALUE"""),1.04)</f>
        <v>1.04</v>
      </c>
      <c r="K560" s="2"/>
      <c r="L560" s="2" t="str">
        <f>IFERROR(__xludf.DUMMYFUNCTION("""COMPUTED_VALUE"""),"Delivered")</f>
        <v>Delivered</v>
      </c>
      <c r="M560" s="2" t="str">
        <f>IFERROR(__xludf.DUMMYFUNCTION("""COMPUTED_VALUE"""),"BHD")</f>
        <v>BHD</v>
      </c>
      <c r="N560" s="2" t="str">
        <f>IFERROR(__xludf.DUMMYFUNCTION("""COMPUTED_VALUE"""),"Credit, Debit")</f>
        <v>Credit, Debit</v>
      </c>
      <c r="O560" s="4">
        <f>IFERROR(__xludf.DUMMYFUNCTION("""COMPUTED_VALUE"""),0.0)</f>
        <v>0</v>
      </c>
      <c r="P560" s="2">
        <f>IFERROR(__xludf.DUMMYFUNCTION("""COMPUTED_VALUE"""),3.0)</f>
        <v>3</v>
      </c>
      <c r="Q560" s="2">
        <f>IFERROR(__xludf.DUMMYFUNCTION("""COMPUTED_VALUE"""),6.0)</f>
        <v>6</v>
      </c>
      <c r="R560" s="2">
        <f>IFERROR(__xludf.DUMMYFUNCTION("""COMPUTED_VALUE"""),2025.0)</f>
        <v>2025</v>
      </c>
      <c r="S560" s="2" t="str">
        <f>IFERROR(__xludf.DUMMYFUNCTION("""COMPUTED_VALUE"""),"Digizag")</f>
        <v>Digizag</v>
      </c>
      <c r="T560" s="2" t="str">
        <f>IFERROR(__xludf.DUMMYFUNCTION("""COMPUTED_VALUE"""),"Digizag")</f>
        <v>Digizag</v>
      </c>
      <c r="U560" s="5">
        <f>IFERROR(__xludf.DUMMYFUNCTION("""COMPUTED_VALUE"""),27.72298265)</f>
        <v>27.72298265</v>
      </c>
      <c r="V560" s="2"/>
      <c r="W560" s="2"/>
      <c r="X560" s="2"/>
      <c r="Y560" s="2"/>
      <c r="Z560" s="2"/>
    </row>
    <row r="561">
      <c r="A561" s="6">
        <f>IFERROR(__xludf.DUMMYFUNCTION("""COMPUTED_VALUE"""),45811.5384375)</f>
        <v>45811.53844</v>
      </c>
      <c r="B561" s="2" t="str">
        <f>IFERROR(__xludf.DUMMYFUNCTION("""COMPUTED_VALUE"""),"June")</f>
        <v>June</v>
      </c>
      <c r="C561" s="3">
        <f>IFERROR(__xludf.DUMMYFUNCTION("""COMPUTED_VALUE"""),581038.0)</f>
        <v>581038</v>
      </c>
      <c r="D561" s="2" t="str">
        <f>IFERROR(__xludf.DUMMYFUNCTION("""COMPUTED_VALUE"""),"MNN16")</f>
        <v>MNN16</v>
      </c>
      <c r="E561" s="2" t="str">
        <f>IFERROR(__xludf.DUMMYFUNCTION("""COMPUTED_VALUE"""),"Imported from file DigiZag Codes 25Feb25.xlsx")</f>
        <v>Imported from file DigiZag Codes 25Feb25.xlsx</v>
      </c>
      <c r="F561" s="2" t="str">
        <f>IFERROR(__xludf.DUMMYFUNCTION("""COMPUTED_VALUE"""),"AQZ790286")</f>
        <v>AQZ790286</v>
      </c>
      <c r="G561" s="2" t="str">
        <f>IFERROR(__xludf.DUMMYFUNCTION("""COMPUTED_VALUE"""),"Bahrain")</f>
        <v>Bahrain</v>
      </c>
      <c r="H561" s="4">
        <f>IFERROR(__xludf.DUMMYFUNCTION("""COMPUTED_VALUE"""),11.65)</f>
        <v>11.65</v>
      </c>
      <c r="I561" s="3">
        <f>IFERROR(__xludf.DUMMYFUNCTION("""COMPUTED_VALUE"""),0.0)</f>
        <v>0</v>
      </c>
      <c r="J561" s="4">
        <f>IFERROR(__xludf.DUMMYFUNCTION("""COMPUTED_VALUE"""),1.16)</f>
        <v>1.16</v>
      </c>
      <c r="K561" s="2"/>
      <c r="L561" s="2" t="str">
        <f>IFERROR(__xludf.DUMMYFUNCTION("""COMPUTED_VALUE"""),"Delivered")</f>
        <v>Delivered</v>
      </c>
      <c r="M561" s="2" t="str">
        <f>IFERROR(__xludf.DUMMYFUNCTION("""COMPUTED_VALUE"""),"BHD")</f>
        <v>BHD</v>
      </c>
      <c r="N561" s="2" t="str">
        <f>IFERROR(__xludf.DUMMYFUNCTION("""COMPUTED_VALUE"""),"Credit, Debit")</f>
        <v>Credit, Debit</v>
      </c>
      <c r="O561" s="4">
        <f>IFERROR(__xludf.DUMMYFUNCTION("""COMPUTED_VALUE"""),0.0)</f>
        <v>0</v>
      </c>
      <c r="P561" s="2">
        <f>IFERROR(__xludf.DUMMYFUNCTION("""COMPUTED_VALUE"""),3.0)</f>
        <v>3</v>
      </c>
      <c r="Q561" s="2">
        <f>IFERROR(__xludf.DUMMYFUNCTION("""COMPUTED_VALUE"""),6.0)</f>
        <v>6</v>
      </c>
      <c r="R561" s="2">
        <f>IFERROR(__xludf.DUMMYFUNCTION("""COMPUTED_VALUE"""),2025.0)</f>
        <v>2025</v>
      </c>
      <c r="S561" s="2" t="str">
        <f>IFERROR(__xludf.DUMMYFUNCTION("""COMPUTED_VALUE"""),"Digizag")</f>
        <v>Digizag</v>
      </c>
      <c r="T561" s="2" t="str">
        <f>IFERROR(__xludf.DUMMYFUNCTION("""COMPUTED_VALUE"""),"Digizag")</f>
        <v>Digizag</v>
      </c>
      <c r="U561" s="5">
        <f>IFERROR(__xludf.DUMMYFUNCTION("""COMPUTED_VALUE"""),30.906483050000002)</f>
        <v>30.90648305</v>
      </c>
      <c r="V561" s="2"/>
      <c r="W561" s="2"/>
      <c r="X561" s="2"/>
      <c r="Y561" s="2"/>
      <c r="Z561" s="2"/>
    </row>
    <row r="562">
      <c r="A562" s="6">
        <f>IFERROR(__xludf.DUMMYFUNCTION("""COMPUTED_VALUE"""),45811.85015046296)</f>
        <v>45811.85015</v>
      </c>
      <c r="B562" s="2" t="str">
        <f>IFERROR(__xludf.DUMMYFUNCTION("""COMPUTED_VALUE"""),"June")</f>
        <v>June</v>
      </c>
      <c r="C562" s="3">
        <f>IFERROR(__xludf.DUMMYFUNCTION("""COMPUTED_VALUE"""),751675.0)</f>
        <v>751675</v>
      </c>
      <c r="D562" s="2" t="str">
        <f>IFERROR(__xludf.DUMMYFUNCTION("""COMPUTED_VALUE"""),"DB1")</f>
        <v>DB1</v>
      </c>
      <c r="E562" s="2" t="str">
        <f>IFERROR(__xludf.DUMMYFUNCTION("""COMPUTED_VALUE"""),"Imported from file Digizag.xlsx")</f>
        <v>Imported from file Digizag.xlsx</v>
      </c>
      <c r="F562" s="2" t="str">
        <f>IFERROR(__xludf.DUMMYFUNCTION("""COMPUTED_VALUE"""),"RXT866052")</f>
        <v>RXT866052</v>
      </c>
      <c r="G562" s="2" t="str">
        <f>IFERROR(__xludf.DUMMYFUNCTION("""COMPUTED_VALUE"""),"Kingdom of Saudi Arabia")</f>
        <v>Kingdom of Saudi Arabia</v>
      </c>
      <c r="H562" s="4">
        <f>IFERROR(__xludf.DUMMYFUNCTION("""COMPUTED_VALUE"""),163.0)</f>
        <v>163</v>
      </c>
      <c r="I562" s="3">
        <f>IFERROR(__xludf.DUMMYFUNCTION("""COMPUTED_VALUE"""),0.0)</f>
        <v>0</v>
      </c>
      <c r="J562" s="4">
        <f>IFERROR(__xludf.DUMMYFUNCTION("""COMPUTED_VALUE"""),30.0)</f>
        <v>30</v>
      </c>
      <c r="K562" s="2"/>
      <c r="L562" s="2" t="str">
        <f>IFERROR(__xludf.DUMMYFUNCTION("""COMPUTED_VALUE"""),"Processing")</f>
        <v>Processing</v>
      </c>
      <c r="M562" s="2" t="str">
        <f>IFERROR(__xludf.DUMMYFUNCTION("""COMPUTED_VALUE"""),"")</f>
        <v></v>
      </c>
      <c r="N562" s="2" t="str">
        <f>IFERROR(__xludf.DUMMYFUNCTION("""COMPUTED_VALUE"""),"Credit, Debit, Apple Pay")</f>
        <v>Credit, Debit, Apple Pay</v>
      </c>
      <c r="O562" s="4">
        <f>IFERROR(__xludf.DUMMYFUNCTION("""COMPUTED_VALUE"""),0.0)</f>
        <v>0</v>
      </c>
      <c r="P562" s="2">
        <f>IFERROR(__xludf.DUMMYFUNCTION("""COMPUTED_VALUE"""),3.0)</f>
        <v>3</v>
      </c>
      <c r="Q562" s="2">
        <f>IFERROR(__xludf.DUMMYFUNCTION("""COMPUTED_VALUE"""),6.0)</f>
        <v>6</v>
      </c>
      <c r="R562" s="2">
        <f>IFERROR(__xludf.DUMMYFUNCTION("""COMPUTED_VALUE"""),2025.0)</f>
        <v>2025</v>
      </c>
      <c r="S562" s="2" t="str">
        <f>IFERROR(__xludf.DUMMYFUNCTION("""COMPUTED_VALUE"""),"Digizag")</f>
        <v>Digizag</v>
      </c>
      <c r="T562" s="2" t="str">
        <f>IFERROR(__xludf.DUMMYFUNCTION("""COMPUTED_VALUE"""),"Digizag")</f>
        <v>Digizag</v>
      </c>
      <c r="U562" s="5">
        <f>IFERROR(__xludf.DUMMYFUNCTION("""COMPUTED_VALUE"""),43.463305498000004)</f>
        <v>43.4633055</v>
      </c>
      <c r="V562" s="2"/>
      <c r="W562" s="2"/>
      <c r="X562" s="2"/>
      <c r="Y562" s="2"/>
      <c r="Z562" s="2"/>
    </row>
    <row r="563">
      <c r="A563" s="6">
        <f>IFERROR(__xludf.DUMMYFUNCTION("""COMPUTED_VALUE"""),45812.05302083333)</f>
        <v>45812.05302</v>
      </c>
      <c r="B563" s="2" t="str">
        <f>IFERROR(__xludf.DUMMYFUNCTION("""COMPUTED_VALUE"""),"June")</f>
        <v>June</v>
      </c>
      <c r="C563" s="3">
        <f>IFERROR(__xludf.DUMMYFUNCTION("""COMPUTED_VALUE"""),265897.0)</f>
        <v>265897</v>
      </c>
      <c r="D563" s="2" t="str">
        <f>IFERROR(__xludf.DUMMYFUNCTION("""COMPUTED_VALUE"""),"ZM22")</f>
        <v>ZM22</v>
      </c>
      <c r="E563" s="2" t="str">
        <f>IFERROR(__xludf.DUMMYFUNCTION("""COMPUTED_VALUE"""),"Imported from file Digizag.xlsx")</f>
        <v>Imported from file Digizag.xlsx</v>
      </c>
      <c r="F563" s="2" t="str">
        <f>IFERROR(__xludf.DUMMYFUNCTION("""COMPUTED_VALUE"""),"LAP665861")</f>
        <v>LAP665861</v>
      </c>
      <c r="G563" s="2" t="str">
        <f>IFERROR(__xludf.DUMMYFUNCTION("""COMPUTED_VALUE"""),"Kingdom of Saudi Arabia")</f>
        <v>Kingdom of Saudi Arabia</v>
      </c>
      <c r="H563" s="4">
        <f>IFERROR(__xludf.DUMMYFUNCTION("""COMPUTED_VALUE"""),107.2)</f>
        <v>107.2</v>
      </c>
      <c r="I563" s="3">
        <f>IFERROR(__xludf.DUMMYFUNCTION("""COMPUTED_VALUE"""),0.0)</f>
        <v>0</v>
      </c>
      <c r="J563" s="4">
        <f>IFERROR(__xludf.DUMMYFUNCTION("""COMPUTED_VALUE"""),30.0)</f>
        <v>30</v>
      </c>
      <c r="K563" s="2"/>
      <c r="L563" s="2" t="str">
        <f>IFERROR(__xludf.DUMMYFUNCTION("""COMPUTED_VALUE"""),"Delivered")</f>
        <v>Delivered</v>
      </c>
      <c r="M563" s="2" t="str">
        <f>IFERROR(__xludf.DUMMYFUNCTION("""COMPUTED_VALUE"""),"")</f>
        <v></v>
      </c>
      <c r="N563" s="2" t="str">
        <f>IFERROR(__xludf.DUMMYFUNCTION("""COMPUTED_VALUE"""),"Credit, Debit, Apple Pay")</f>
        <v>Credit, Debit, Apple Pay</v>
      </c>
      <c r="O563" s="4">
        <f>IFERROR(__xludf.DUMMYFUNCTION("""COMPUTED_VALUE"""),0.0)</f>
        <v>0</v>
      </c>
      <c r="P563" s="2">
        <f>IFERROR(__xludf.DUMMYFUNCTION("""COMPUTED_VALUE"""),4.0)</f>
        <v>4</v>
      </c>
      <c r="Q563" s="2">
        <f>IFERROR(__xludf.DUMMYFUNCTION("""COMPUTED_VALUE"""),6.0)</f>
        <v>6</v>
      </c>
      <c r="R563" s="2">
        <f>IFERROR(__xludf.DUMMYFUNCTION("""COMPUTED_VALUE"""),2025.0)</f>
        <v>2025</v>
      </c>
      <c r="S563" s="2" t="str">
        <f>IFERROR(__xludf.DUMMYFUNCTION("""COMPUTED_VALUE"""),"Digizag")</f>
        <v>Digizag</v>
      </c>
      <c r="T563" s="2" t="str">
        <f>IFERROR(__xludf.DUMMYFUNCTION("""COMPUTED_VALUE"""),"Digizag")</f>
        <v>Digizag</v>
      </c>
      <c r="U563" s="5">
        <f>IFERROR(__xludf.DUMMYFUNCTION("""COMPUTED_VALUE"""),28.584456131200003)</f>
        <v>28.58445613</v>
      </c>
      <c r="V563" s="2"/>
      <c r="W563" s="2"/>
      <c r="X563" s="2"/>
      <c r="Y563" s="2"/>
      <c r="Z563" s="2"/>
    </row>
    <row r="564">
      <c r="A564" s="6">
        <f>IFERROR(__xludf.DUMMYFUNCTION("""COMPUTED_VALUE"""),45812.105833333335)</f>
        <v>45812.10583</v>
      </c>
      <c r="B564" s="2" t="str">
        <f>IFERROR(__xludf.DUMMYFUNCTION("""COMPUTED_VALUE"""),"June")</f>
        <v>June</v>
      </c>
      <c r="C564" s="3">
        <f>IFERROR(__xludf.DUMMYFUNCTION("""COMPUTED_VALUE"""),751794.0)</f>
        <v>751794</v>
      </c>
      <c r="D564" s="2" t="str">
        <f>IFERROR(__xludf.DUMMYFUNCTION("""COMPUTED_VALUE"""),"MNN16")</f>
        <v>MNN16</v>
      </c>
      <c r="E564" s="2" t="str">
        <f>IFERROR(__xludf.DUMMYFUNCTION("""COMPUTED_VALUE"""),"Imported from file DigiZag Codes 25Feb25.xlsx")</f>
        <v>Imported from file DigiZag Codes 25Feb25.xlsx</v>
      </c>
      <c r="F564" s="2" t="str">
        <f>IFERROR(__xludf.DUMMYFUNCTION("""COMPUTED_VALUE"""),"VEM642692")</f>
        <v>VEM642692</v>
      </c>
      <c r="G564" s="2" t="str">
        <f>IFERROR(__xludf.DUMMYFUNCTION("""COMPUTED_VALUE"""),"Kuwait")</f>
        <v>Kuwait</v>
      </c>
      <c r="H564" s="4">
        <f>IFERROR(__xludf.DUMMYFUNCTION("""COMPUTED_VALUE"""),10.75)</f>
        <v>10.75</v>
      </c>
      <c r="I564" s="3">
        <f>IFERROR(__xludf.DUMMYFUNCTION("""COMPUTED_VALUE"""),0.0)</f>
        <v>0</v>
      </c>
      <c r="J564" s="4">
        <f>IFERROR(__xludf.DUMMYFUNCTION("""COMPUTED_VALUE"""),1.075)</f>
        <v>1.075</v>
      </c>
      <c r="K564" s="2"/>
      <c r="L564" s="2" t="str">
        <f>IFERROR(__xludf.DUMMYFUNCTION("""COMPUTED_VALUE"""),"Delivered")</f>
        <v>Delivered</v>
      </c>
      <c r="M564" s="2" t="str">
        <f>IFERROR(__xludf.DUMMYFUNCTION("""COMPUTED_VALUE"""),"KD")</f>
        <v>KD</v>
      </c>
      <c r="N564" s="2" t="str">
        <f>IFERROR(__xludf.DUMMYFUNCTION("""COMPUTED_VALUE"""),"Credit, Debit, Knet")</f>
        <v>Credit, Debit, Knet</v>
      </c>
      <c r="O564" s="4">
        <f>IFERROR(__xludf.DUMMYFUNCTION("""COMPUTED_VALUE"""),0.0)</f>
        <v>0</v>
      </c>
      <c r="P564" s="2">
        <f>IFERROR(__xludf.DUMMYFUNCTION("""COMPUTED_VALUE"""),4.0)</f>
        <v>4</v>
      </c>
      <c r="Q564" s="2">
        <f>IFERROR(__xludf.DUMMYFUNCTION("""COMPUTED_VALUE"""),6.0)</f>
        <v>6</v>
      </c>
      <c r="R564" s="2">
        <f>IFERROR(__xludf.DUMMYFUNCTION("""COMPUTED_VALUE"""),2025.0)</f>
        <v>2025</v>
      </c>
      <c r="S564" s="2" t="str">
        <f>IFERROR(__xludf.DUMMYFUNCTION("""COMPUTED_VALUE"""),"Digizag")</f>
        <v>Digizag</v>
      </c>
      <c r="T564" s="2" t="str">
        <f>IFERROR(__xludf.DUMMYFUNCTION("""COMPUTED_VALUE"""),"Digizag")</f>
        <v>Digizag</v>
      </c>
      <c r="U564" s="5">
        <f>IFERROR(__xludf.DUMMYFUNCTION("""COMPUTED_VALUE"""),35.051665)</f>
        <v>35.051665</v>
      </c>
      <c r="V564" s="2"/>
      <c r="W564" s="2"/>
      <c r="X564" s="2"/>
      <c r="Y564" s="2"/>
      <c r="Z564" s="2"/>
    </row>
    <row r="565">
      <c r="A565" s="6">
        <f>IFERROR(__xludf.DUMMYFUNCTION("""COMPUTED_VALUE"""),45812.3794212963)</f>
        <v>45812.37942</v>
      </c>
      <c r="B565" s="2" t="str">
        <f>IFERROR(__xludf.DUMMYFUNCTION("""COMPUTED_VALUE"""),"June")</f>
        <v>June</v>
      </c>
      <c r="C565" s="3">
        <f>IFERROR(__xludf.DUMMYFUNCTION("""COMPUTED_VALUE"""),751875.0)</f>
        <v>751875</v>
      </c>
      <c r="D565" s="2" t="str">
        <f>IFERROR(__xludf.DUMMYFUNCTION("""COMPUTED_VALUE"""),"ZM22")</f>
        <v>ZM22</v>
      </c>
      <c r="E565" s="2" t="str">
        <f>IFERROR(__xludf.DUMMYFUNCTION("""COMPUTED_VALUE"""),"Imported from file Digizag.xlsx")</f>
        <v>Imported from file Digizag.xlsx</v>
      </c>
      <c r="F565" s="2" t="str">
        <f>IFERROR(__xludf.DUMMYFUNCTION("""COMPUTED_VALUE"""),"WJP897564")</f>
        <v>WJP897564</v>
      </c>
      <c r="G565" s="2" t="str">
        <f>IFERROR(__xludf.DUMMYFUNCTION("""COMPUTED_VALUE"""),"UAE")</f>
        <v>UAE</v>
      </c>
      <c r="H565" s="4">
        <f>IFERROR(__xludf.DUMMYFUNCTION("""COMPUTED_VALUE"""),115.0)</f>
        <v>115</v>
      </c>
      <c r="I565" s="3">
        <f>IFERROR(__xludf.DUMMYFUNCTION("""COMPUTED_VALUE"""),0.0)</f>
        <v>0</v>
      </c>
      <c r="J565" s="4">
        <f>IFERROR(__xludf.DUMMYFUNCTION("""COMPUTED_VALUE"""),11.5)</f>
        <v>11.5</v>
      </c>
      <c r="K565" s="2"/>
      <c r="L565" s="2" t="str">
        <f>IFERROR(__xludf.DUMMYFUNCTION("""COMPUTED_VALUE"""),"Delivered")</f>
        <v>Delivered</v>
      </c>
      <c r="M565" s="2" t="str">
        <f>IFERROR(__xludf.DUMMYFUNCTION("""COMPUTED_VALUE"""),"")</f>
        <v></v>
      </c>
      <c r="N565" s="2" t="str">
        <f>IFERROR(__xludf.DUMMYFUNCTION("""COMPUTED_VALUE"""),"Credit, Debit , Apple Pay")</f>
        <v>Credit, Debit , Apple Pay</v>
      </c>
      <c r="O565" s="4">
        <f>IFERROR(__xludf.DUMMYFUNCTION("""COMPUTED_VALUE"""),0.0)</f>
        <v>0</v>
      </c>
      <c r="P565" s="2">
        <f>IFERROR(__xludf.DUMMYFUNCTION("""COMPUTED_VALUE"""),4.0)</f>
        <v>4</v>
      </c>
      <c r="Q565" s="2">
        <f>IFERROR(__xludf.DUMMYFUNCTION("""COMPUTED_VALUE"""),6.0)</f>
        <v>6</v>
      </c>
      <c r="R565" s="2">
        <f>IFERROR(__xludf.DUMMYFUNCTION("""COMPUTED_VALUE"""),2025.0)</f>
        <v>2025</v>
      </c>
      <c r="S565" s="2" t="str">
        <f>IFERROR(__xludf.DUMMYFUNCTION("""COMPUTED_VALUE"""),"Digizag")</f>
        <v>Digizag</v>
      </c>
      <c r="T565" s="2" t="str">
        <f>IFERROR(__xludf.DUMMYFUNCTION("""COMPUTED_VALUE"""),"Digizag")</f>
        <v>Digizag</v>
      </c>
      <c r="U565" s="5">
        <f>IFERROR(__xludf.DUMMYFUNCTION("""COMPUTED_VALUE"""),31.31381897)</f>
        <v>31.31381897</v>
      </c>
      <c r="V565" s="2"/>
      <c r="W565" s="2"/>
      <c r="X565" s="2"/>
      <c r="Y565" s="2"/>
      <c r="Z565" s="2"/>
    </row>
    <row r="566">
      <c r="A566" s="6">
        <f>IFERROR(__xludf.DUMMYFUNCTION("""COMPUTED_VALUE"""),45812.78833333333)</f>
        <v>45812.78833</v>
      </c>
      <c r="B566" s="2" t="str">
        <f>IFERROR(__xludf.DUMMYFUNCTION("""COMPUTED_VALUE"""),"June")</f>
        <v>June</v>
      </c>
      <c r="C566" s="3">
        <f>IFERROR(__xludf.DUMMYFUNCTION("""COMPUTED_VALUE"""),584510.0)</f>
        <v>584510</v>
      </c>
      <c r="D566" s="2" t="str">
        <f>IFERROR(__xludf.DUMMYFUNCTION("""COMPUTED_VALUE"""),"DG3")</f>
        <v>DG3</v>
      </c>
      <c r="E566" s="2" t="str">
        <f>IFERROR(__xludf.DUMMYFUNCTION("""COMPUTED_VALUE"""),"Imported from file Digizag.xlsx")</f>
        <v>Imported from file Digizag.xlsx</v>
      </c>
      <c r="F566" s="2" t="str">
        <f>IFERROR(__xludf.DUMMYFUNCTION("""COMPUTED_VALUE"""),"MHX995565")</f>
        <v>MHX995565</v>
      </c>
      <c r="G566" s="2" t="str">
        <f>IFERROR(__xludf.DUMMYFUNCTION("""COMPUTED_VALUE"""),"Kuwait")</f>
        <v>Kuwait</v>
      </c>
      <c r="H566" s="4">
        <f>IFERROR(__xludf.DUMMYFUNCTION("""COMPUTED_VALUE"""),12.5)</f>
        <v>12.5</v>
      </c>
      <c r="I566" s="3">
        <f>IFERROR(__xludf.DUMMYFUNCTION("""COMPUTED_VALUE"""),0.0)</f>
        <v>0</v>
      </c>
      <c r="J566" s="4">
        <f>IFERROR(__xludf.DUMMYFUNCTION("""COMPUTED_VALUE"""),1.25)</f>
        <v>1.25</v>
      </c>
      <c r="K566" s="2"/>
      <c r="L566" s="2" t="str">
        <f>IFERROR(__xludf.DUMMYFUNCTION("""COMPUTED_VALUE"""),"Processing")</f>
        <v>Processing</v>
      </c>
      <c r="M566" s="2" t="str">
        <f>IFERROR(__xludf.DUMMYFUNCTION("""COMPUTED_VALUE"""),"KD")</f>
        <v>KD</v>
      </c>
      <c r="N566" s="2" t="str">
        <f>IFERROR(__xludf.DUMMYFUNCTION("""COMPUTED_VALUE"""),"Credit, Debit, Knet")</f>
        <v>Credit, Debit, Knet</v>
      </c>
      <c r="O566" s="4">
        <f>IFERROR(__xludf.DUMMYFUNCTION("""COMPUTED_VALUE"""),0.0)</f>
        <v>0</v>
      </c>
      <c r="P566" s="2">
        <f>IFERROR(__xludf.DUMMYFUNCTION("""COMPUTED_VALUE"""),4.0)</f>
        <v>4</v>
      </c>
      <c r="Q566" s="2">
        <f>IFERROR(__xludf.DUMMYFUNCTION("""COMPUTED_VALUE"""),6.0)</f>
        <v>6</v>
      </c>
      <c r="R566" s="2">
        <f>IFERROR(__xludf.DUMMYFUNCTION("""COMPUTED_VALUE"""),2025.0)</f>
        <v>2025</v>
      </c>
      <c r="S566" s="2" t="str">
        <f>IFERROR(__xludf.DUMMYFUNCTION("""COMPUTED_VALUE"""),"Digizag")</f>
        <v>Digizag</v>
      </c>
      <c r="T566" s="2" t="str">
        <f>IFERROR(__xludf.DUMMYFUNCTION("""COMPUTED_VALUE"""),"Digizag")</f>
        <v>Digizag</v>
      </c>
      <c r="U566" s="5">
        <f>IFERROR(__xludf.DUMMYFUNCTION("""COMPUTED_VALUE"""),40.75775)</f>
        <v>40.75775</v>
      </c>
      <c r="V566" s="2"/>
      <c r="W566" s="2"/>
      <c r="X566" s="2"/>
      <c r="Y566" s="2"/>
      <c r="Z566" s="2"/>
    </row>
    <row r="567">
      <c r="A567" s="6">
        <f>IFERROR(__xludf.DUMMYFUNCTION("""COMPUTED_VALUE"""),45812.79598379629)</f>
        <v>45812.79598</v>
      </c>
      <c r="B567" s="2" t="str">
        <f>IFERROR(__xludf.DUMMYFUNCTION("""COMPUTED_VALUE"""),"June")</f>
        <v>June</v>
      </c>
      <c r="C567" s="3">
        <f>IFERROR(__xludf.DUMMYFUNCTION("""COMPUTED_VALUE"""),397249.0)</f>
        <v>397249</v>
      </c>
      <c r="D567" s="2" t="str">
        <f>IFERROR(__xludf.DUMMYFUNCTION("""COMPUTED_VALUE"""),"RR22")</f>
        <v>RR22</v>
      </c>
      <c r="E567" s="2" t="str">
        <f>IFERROR(__xludf.DUMMYFUNCTION("""COMPUTED_VALUE"""),"Imported from file Digizag.xlsx")</f>
        <v>Imported from file Digizag.xlsx</v>
      </c>
      <c r="F567" s="2" t="str">
        <f>IFERROR(__xludf.DUMMYFUNCTION("""COMPUTED_VALUE"""),"SSR707197")</f>
        <v>SSR707197</v>
      </c>
      <c r="G567" s="2" t="str">
        <f>IFERROR(__xludf.DUMMYFUNCTION("""COMPUTED_VALUE"""),"UAE")</f>
        <v>UAE</v>
      </c>
      <c r="H567" s="4">
        <f>IFERROR(__xludf.DUMMYFUNCTION("""COMPUTED_VALUE"""),114.0)</f>
        <v>114</v>
      </c>
      <c r="I567" s="3">
        <f>IFERROR(__xludf.DUMMYFUNCTION("""COMPUTED_VALUE"""),0.0)</f>
        <v>0</v>
      </c>
      <c r="J567" s="4">
        <f>IFERROR(__xludf.DUMMYFUNCTION("""COMPUTED_VALUE"""),11.4)</f>
        <v>11.4</v>
      </c>
      <c r="K567" s="2"/>
      <c r="L567" s="2" t="str">
        <f>IFERROR(__xludf.DUMMYFUNCTION("""COMPUTED_VALUE"""),"Processing")</f>
        <v>Processing</v>
      </c>
      <c r="M567" s="2" t="str">
        <f>IFERROR(__xludf.DUMMYFUNCTION("""COMPUTED_VALUE"""),"")</f>
        <v></v>
      </c>
      <c r="N567" s="2" t="str">
        <f>IFERROR(__xludf.DUMMYFUNCTION("""COMPUTED_VALUE"""),"Credit, Debit , Apple Pay")</f>
        <v>Credit, Debit , Apple Pay</v>
      </c>
      <c r="O567" s="4">
        <f>IFERROR(__xludf.DUMMYFUNCTION("""COMPUTED_VALUE"""),0.0)</f>
        <v>0</v>
      </c>
      <c r="P567" s="2">
        <f>IFERROR(__xludf.DUMMYFUNCTION("""COMPUTED_VALUE"""),4.0)</f>
        <v>4</v>
      </c>
      <c r="Q567" s="2">
        <f>IFERROR(__xludf.DUMMYFUNCTION("""COMPUTED_VALUE"""),6.0)</f>
        <v>6</v>
      </c>
      <c r="R567" s="2">
        <f>IFERROR(__xludf.DUMMYFUNCTION("""COMPUTED_VALUE"""),2025.0)</f>
        <v>2025</v>
      </c>
      <c r="S567" s="2" t="str">
        <f>IFERROR(__xludf.DUMMYFUNCTION("""COMPUTED_VALUE"""),"Digizag")</f>
        <v>Digizag</v>
      </c>
      <c r="T567" s="2" t="str">
        <f>IFERROR(__xludf.DUMMYFUNCTION("""COMPUTED_VALUE"""),"Digizag")</f>
        <v>Digizag</v>
      </c>
      <c r="U567" s="5">
        <f>IFERROR(__xludf.DUMMYFUNCTION("""COMPUTED_VALUE"""),31.041524891999998)</f>
        <v>31.04152489</v>
      </c>
      <c r="V567" s="2"/>
      <c r="W567" s="2"/>
      <c r="X567" s="2"/>
      <c r="Y567" s="2"/>
      <c r="Z567" s="2"/>
    </row>
    <row r="568">
      <c r="A568" s="6">
        <f>IFERROR(__xludf.DUMMYFUNCTION("""COMPUTED_VALUE"""),45812.98578703703)</f>
        <v>45812.98579</v>
      </c>
      <c r="B568" s="2" t="str">
        <f>IFERROR(__xludf.DUMMYFUNCTION("""COMPUTED_VALUE"""),"June")</f>
        <v>June</v>
      </c>
      <c r="C568" s="3">
        <f>IFERROR(__xludf.DUMMYFUNCTION("""COMPUTED_VALUE"""),135271.0)</f>
        <v>135271</v>
      </c>
      <c r="D568" s="2" t="str">
        <f>IFERROR(__xludf.DUMMYFUNCTION("""COMPUTED_VALUE"""),"MNN16")</f>
        <v>MNN16</v>
      </c>
      <c r="E568" s="2" t="str">
        <f>IFERROR(__xludf.DUMMYFUNCTION("""COMPUTED_VALUE"""),"Imported from file DigiZag Bidding Codes.xlsx")</f>
        <v>Imported from file DigiZag Bidding Codes.xlsx</v>
      </c>
      <c r="F568" s="2" t="str">
        <f>IFERROR(__xludf.DUMMYFUNCTION("""COMPUTED_VALUE"""),"LXP433293")</f>
        <v>LXP433293</v>
      </c>
      <c r="G568" s="2" t="str">
        <f>IFERROR(__xludf.DUMMYFUNCTION("""COMPUTED_VALUE"""),"Kingdom of Saudi Arabia")</f>
        <v>Kingdom of Saudi Arabia</v>
      </c>
      <c r="H568" s="4">
        <f>IFERROR(__xludf.DUMMYFUNCTION("""COMPUTED_VALUE"""),155.0)</f>
        <v>155</v>
      </c>
      <c r="I568" s="3">
        <f>IFERROR(__xludf.DUMMYFUNCTION("""COMPUTED_VALUE"""),0.0)</f>
        <v>0</v>
      </c>
      <c r="J568" s="4">
        <f>IFERROR(__xludf.DUMMYFUNCTION("""COMPUTED_VALUE"""),30.0)</f>
        <v>30</v>
      </c>
      <c r="K568" s="2"/>
      <c r="L568" s="2" t="str">
        <f>IFERROR(__xludf.DUMMYFUNCTION("""COMPUTED_VALUE"""),"Processing")</f>
        <v>Processing</v>
      </c>
      <c r="M568" s="2" t="str">
        <f>IFERROR(__xludf.DUMMYFUNCTION("""COMPUTED_VALUE"""),"")</f>
        <v></v>
      </c>
      <c r="N568" s="2" t="str">
        <f>IFERROR(__xludf.DUMMYFUNCTION("""COMPUTED_VALUE"""),"Credit, Debit, Apple Pay")</f>
        <v>Credit, Debit, Apple Pay</v>
      </c>
      <c r="O568" s="4">
        <f>IFERROR(__xludf.DUMMYFUNCTION("""COMPUTED_VALUE"""),0.0)</f>
        <v>0</v>
      </c>
      <c r="P568" s="2">
        <f>IFERROR(__xludf.DUMMYFUNCTION("""COMPUTED_VALUE"""),4.0)</f>
        <v>4</v>
      </c>
      <c r="Q568" s="2">
        <f>IFERROR(__xludf.DUMMYFUNCTION("""COMPUTED_VALUE"""),6.0)</f>
        <v>6</v>
      </c>
      <c r="R568" s="2">
        <f>IFERROR(__xludf.DUMMYFUNCTION("""COMPUTED_VALUE"""),2025.0)</f>
        <v>2025</v>
      </c>
      <c r="S568" s="2" t="str">
        <f>IFERROR(__xludf.DUMMYFUNCTION("""COMPUTED_VALUE"""),"Digizag")</f>
        <v>Digizag</v>
      </c>
      <c r="T568" s="2" t="str">
        <f>IFERROR(__xludf.DUMMYFUNCTION("""COMPUTED_VALUE"""),"Digizag")</f>
        <v>Digizag</v>
      </c>
      <c r="U568" s="5">
        <f>IFERROR(__xludf.DUMMYFUNCTION("""COMPUTED_VALUE"""),41.330137130000004)</f>
        <v>41.33013713</v>
      </c>
      <c r="V568" s="2"/>
      <c r="W568" s="2"/>
      <c r="X568" s="2"/>
      <c r="Y568" s="2"/>
      <c r="Z568" s="2"/>
    </row>
    <row r="569">
      <c r="A569" s="6">
        <f>IFERROR(__xludf.DUMMYFUNCTION("""COMPUTED_VALUE"""),45813.22195601852)</f>
        <v>45813.22196</v>
      </c>
      <c r="B569" s="2" t="str">
        <f>IFERROR(__xludf.DUMMYFUNCTION("""COMPUTED_VALUE"""),"June")</f>
        <v>June</v>
      </c>
      <c r="C569" s="3">
        <f>IFERROR(__xludf.DUMMYFUNCTION("""COMPUTED_VALUE"""),461501.0)</f>
        <v>461501</v>
      </c>
      <c r="D569" s="2" t="str">
        <f>IFERROR(__xludf.DUMMYFUNCTION("""COMPUTED_VALUE"""),"ZM22")</f>
        <v>ZM22</v>
      </c>
      <c r="E569" s="2" t="str">
        <f>IFERROR(__xludf.DUMMYFUNCTION("""COMPUTED_VALUE"""),"Imported from file Digizag.xlsx")</f>
        <v>Imported from file Digizag.xlsx</v>
      </c>
      <c r="F569" s="2" t="str">
        <f>IFERROR(__xludf.DUMMYFUNCTION("""COMPUTED_VALUE"""),"VQS854493")</f>
        <v>VQS854493</v>
      </c>
      <c r="G569" s="2" t="str">
        <f>IFERROR(__xludf.DUMMYFUNCTION("""COMPUTED_VALUE"""),"Kingdom of Saudi Arabia")</f>
        <v>Kingdom of Saudi Arabia</v>
      </c>
      <c r="H569" s="4">
        <f>IFERROR(__xludf.DUMMYFUNCTION("""COMPUTED_VALUE"""),109.0)</f>
        <v>109</v>
      </c>
      <c r="I569" s="3">
        <f>IFERROR(__xludf.DUMMYFUNCTION("""COMPUTED_VALUE"""),0.0)</f>
        <v>0</v>
      </c>
      <c r="J569" s="4">
        <f>IFERROR(__xludf.DUMMYFUNCTION("""COMPUTED_VALUE"""),30.0)</f>
        <v>30</v>
      </c>
      <c r="K569" s="2"/>
      <c r="L569" s="2" t="str">
        <f>IFERROR(__xludf.DUMMYFUNCTION("""COMPUTED_VALUE"""),"Delivered")</f>
        <v>Delivered</v>
      </c>
      <c r="M569" s="2" t="str">
        <f>IFERROR(__xludf.DUMMYFUNCTION("""COMPUTED_VALUE"""),"")</f>
        <v></v>
      </c>
      <c r="N569" s="2" t="str">
        <f>IFERROR(__xludf.DUMMYFUNCTION("""COMPUTED_VALUE"""),"Credit, Debit, Apple Pay")</f>
        <v>Credit, Debit, Apple Pay</v>
      </c>
      <c r="O569" s="4">
        <f>IFERROR(__xludf.DUMMYFUNCTION("""COMPUTED_VALUE"""),0.0)</f>
        <v>0</v>
      </c>
      <c r="P569" s="2">
        <f>IFERROR(__xludf.DUMMYFUNCTION("""COMPUTED_VALUE"""),5.0)</f>
        <v>5</v>
      </c>
      <c r="Q569" s="2">
        <f>IFERROR(__xludf.DUMMYFUNCTION("""COMPUTED_VALUE"""),6.0)</f>
        <v>6</v>
      </c>
      <c r="R569" s="2">
        <f>IFERROR(__xludf.DUMMYFUNCTION("""COMPUTED_VALUE"""),2025.0)</f>
        <v>2025</v>
      </c>
      <c r="S569" s="2" t="str">
        <f>IFERROR(__xludf.DUMMYFUNCTION("""COMPUTED_VALUE"""),"Digizag")</f>
        <v>Digizag</v>
      </c>
      <c r="T569" s="2" t="str">
        <f>IFERROR(__xludf.DUMMYFUNCTION("""COMPUTED_VALUE"""),"Digizag")</f>
        <v>Digizag</v>
      </c>
      <c r="U569" s="5">
        <f>IFERROR(__xludf.DUMMYFUNCTION("""COMPUTED_VALUE"""),29.064419014000002)</f>
        <v>29.06441901</v>
      </c>
      <c r="V569" s="2"/>
      <c r="W569" s="2"/>
      <c r="X569" s="2"/>
      <c r="Y569" s="2"/>
      <c r="Z569" s="2"/>
    </row>
    <row r="570">
      <c r="A570" s="6">
        <f>IFERROR(__xludf.DUMMYFUNCTION("""COMPUTED_VALUE"""),45813.51321759259)</f>
        <v>45813.51322</v>
      </c>
      <c r="B570" s="2" t="str">
        <f>IFERROR(__xludf.DUMMYFUNCTION("""COMPUTED_VALUE"""),"June")</f>
        <v>June</v>
      </c>
      <c r="C570" s="3">
        <f>IFERROR(__xludf.DUMMYFUNCTION("""COMPUTED_VALUE"""),752561.0)</f>
        <v>752561</v>
      </c>
      <c r="D570" s="2" t="str">
        <f>IFERROR(__xludf.DUMMYFUNCTION("""COMPUTED_VALUE"""),"MNN16")</f>
        <v>MNN16</v>
      </c>
      <c r="E570" s="2" t="str">
        <f>IFERROR(__xludf.DUMMYFUNCTION("""COMPUTED_VALUE"""),"Imported from file DigiZag Codes 25Feb25.xlsx")</f>
        <v>Imported from file DigiZag Codes 25Feb25.xlsx</v>
      </c>
      <c r="F570" s="2" t="str">
        <f>IFERROR(__xludf.DUMMYFUNCTION("""COMPUTED_VALUE"""),"XMB375069")</f>
        <v>XMB375069</v>
      </c>
      <c r="G570" s="2" t="str">
        <f>IFERROR(__xludf.DUMMYFUNCTION("""COMPUTED_VALUE"""),"Kuwait")</f>
        <v>Kuwait</v>
      </c>
      <c r="H570" s="4">
        <f>IFERROR(__xludf.DUMMYFUNCTION("""COMPUTED_VALUE"""),10.85)</f>
        <v>10.85</v>
      </c>
      <c r="I570" s="3">
        <f>IFERROR(__xludf.DUMMYFUNCTION("""COMPUTED_VALUE"""),0.0)</f>
        <v>0</v>
      </c>
      <c r="J570" s="4">
        <f>IFERROR(__xludf.DUMMYFUNCTION("""COMPUTED_VALUE"""),1.085)</f>
        <v>1.085</v>
      </c>
      <c r="K570" s="2"/>
      <c r="L570" s="2" t="str">
        <f>IFERROR(__xludf.DUMMYFUNCTION("""COMPUTED_VALUE"""),"Delivered")</f>
        <v>Delivered</v>
      </c>
      <c r="M570" s="2" t="str">
        <f>IFERROR(__xludf.DUMMYFUNCTION("""COMPUTED_VALUE"""),"KD")</f>
        <v>KD</v>
      </c>
      <c r="N570" s="2" t="str">
        <f>IFERROR(__xludf.DUMMYFUNCTION("""COMPUTED_VALUE"""),"Cash")</f>
        <v>Cash</v>
      </c>
      <c r="O570" s="4">
        <f>IFERROR(__xludf.DUMMYFUNCTION("""COMPUTED_VALUE"""),0.0)</f>
        <v>0</v>
      </c>
      <c r="P570" s="2">
        <f>IFERROR(__xludf.DUMMYFUNCTION("""COMPUTED_VALUE"""),5.0)</f>
        <v>5</v>
      </c>
      <c r="Q570" s="2">
        <f>IFERROR(__xludf.DUMMYFUNCTION("""COMPUTED_VALUE"""),6.0)</f>
        <v>6</v>
      </c>
      <c r="R570" s="2">
        <f>IFERROR(__xludf.DUMMYFUNCTION("""COMPUTED_VALUE"""),2025.0)</f>
        <v>2025</v>
      </c>
      <c r="S570" s="2" t="str">
        <f>IFERROR(__xludf.DUMMYFUNCTION("""COMPUTED_VALUE"""),"Digizag")</f>
        <v>Digizag</v>
      </c>
      <c r="T570" s="2" t="str">
        <f>IFERROR(__xludf.DUMMYFUNCTION("""COMPUTED_VALUE"""),"Digizag")</f>
        <v>Digizag</v>
      </c>
      <c r="U570" s="5">
        <f>IFERROR(__xludf.DUMMYFUNCTION("""COMPUTED_VALUE"""),35.377727)</f>
        <v>35.377727</v>
      </c>
      <c r="V570" s="2"/>
      <c r="W570" s="2"/>
      <c r="X570" s="2"/>
      <c r="Y570" s="2"/>
      <c r="Z570" s="2"/>
    </row>
    <row r="571">
      <c r="A571" s="6">
        <f>IFERROR(__xludf.DUMMYFUNCTION("""COMPUTED_VALUE"""),45813.9365625)</f>
        <v>45813.93656</v>
      </c>
      <c r="B571" s="2" t="str">
        <f>IFERROR(__xludf.DUMMYFUNCTION("""COMPUTED_VALUE"""),"June")</f>
        <v>June</v>
      </c>
      <c r="C571" s="3">
        <f>IFERROR(__xludf.DUMMYFUNCTION("""COMPUTED_VALUE"""),752888.0)</f>
        <v>752888</v>
      </c>
      <c r="D571" s="2" t="str">
        <f>IFERROR(__xludf.DUMMYFUNCTION("""COMPUTED_VALUE"""),"MNN16")</f>
        <v>MNN16</v>
      </c>
      <c r="E571" s="2" t="str">
        <f>IFERROR(__xludf.DUMMYFUNCTION("""COMPUTED_VALUE"""),"Imported from file DigiZag Bidding Codes.xlsx")</f>
        <v>Imported from file DigiZag Bidding Codes.xlsx</v>
      </c>
      <c r="F571" s="2" t="str">
        <f>IFERROR(__xludf.DUMMYFUNCTION("""COMPUTED_VALUE"""),"BTQ333246")</f>
        <v>BTQ333246</v>
      </c>
      <c r="G571" s="2" t="str">
        <f>IFERROR(__xludf.DUMMYFUNCTION("""COMPUTED_VALUE"""),"Kingdom of Saudi Arabia")</f>
        <v>Kingdom of Saudi Arabia</v>
      </c>
      <c r="H571" s="4">
        <f>IFERROR(__xludf.DUMMYFUNCTION("""COMPUTED_VALUE"""),173.65)</f>
        <v>173.65</v>
      </c>
      <c r="I571" s="3">
        <f>IFERROR(__xludf.DUMMYFUNCTION("""COMPUTED_VALUE"""),0.0)</f>
        <v>0</v>
      </c>
      <c r="J571" s="4">
        <f>IFERROR(__xludf.DUMMYFUNCTION("""COMPUTED_VALUE"""),30.0)</f>
        <v>30</v>
      </c>
      <c r="K571" s="2"/>
      <c r="L571" s="2" t="str">
        <f>IFERROR(__xludf.DUMMYFUNCTION("""COMPUTED_VALUE"""),"Processing")</f>
        <v>Processing</v>
      </c>
      <c r="M571" s="2" t="str">
        <f>IFERROR(__xludf.DUMMYFUNCTION("""COMPUTED_VALUE"""),"")</f>
        <v></v>
      </c>
      <c r="N571" s="2" t="str">
        <f>IFERROR(__xludf.DUMMYFUNCTION("""COMPUTED_VALUE"""),"Credit, Debit, Apple Pay")</f>
        <v>Credit, Debit, Apple Pay</v>
      </c>
      <c r="O571" s="4">
        <f>IFERROR(__xludf.DUMMYFUNCTION("""COMPUTED_VALUE"""),0.0)</f>
        <v>0</v>
      </c>
      <c r="P571" s="2">
        <f>IFERROR(__xludf.DUMMYFUNCTION("""COMPUTED_VALUE"""),5.0)</f>
        <v>5</v>
      </c>
      <c r="Q571" s="2">
        <f>IFERROR(__xludf.DUMMYFUNCTION("""COMPUTED_VALUE"""),6.0)</f>
        <v>6</v>
      </c>
      <c r="R571" s="2">
        <f>IFERROR(__xludf.DUMMYFUNCTION("""COMPUTED_VALUE"""),2025.0)</f>
        <v>2025</v>
      </c>
      <c r="S571" s="2" t="str">
        <f>IFERROR(__xludf.DUMMYFUNCTION("""COMPUTED_VALUE"""),"Digizag")</f>
        <v>Digizag</v>
      </c>
      <c r="T571" s="2" t="str">
        <f>IFERROR(__xludf.DUMMYFUNCTION("""COMPUTED_VALUE"""),"Digizag")</f>
        <v>Digizag</v>
      </c>
      <c r="U571" s="5">
        <f>IFERROR(__xludf.DUMMYFUNCTION("""COMPUTED_VALUE"""),46.303085887900004)</f>
        <v>46.30308589</v>
      </c>
      <c r="V571" s="2"/>
      <c r="W571" s="2"/>
      <c r="X571" s="2"/>
      <c r="Y571" s="2"/>
      <c r="Z571" s="2"/>
    </row>
    <row r="572">
      <c r="A572" s="6">
        <f>IFERROR(__xludf.DUMMYFUNCTION("""COMPUTED_VALUE"""),45814.20585648148)</f>
        <v>45814.20586</v>
      </c>
      <c r="B572" s="2" t="str">
        <f>IFERROR(__xludf.DUMMYFUNCTION("""COMPUTED_VALUE"""),"June")</f>
        <v>June</v>
      </c>
      <c r="C572" s="3">
        <f>IFERROR(__xludf.DUMMYFUNCTION("""COMPUTED_VALUE"""),227818.0)</f>
        <v>227818</v>
      </c>
      <c r="D572" s="2" t="str">
        <f>IFERROR(__xludf.DUMMYFUNCTION("""COMPUTED_VALUE"""),"MIMI44")</f>
        <v>MIMI44</v>
      </c>
      <c r="E572" s="2" t="str">
        <f>IFERROR(__xludf.DUMMYFUNCTION("""COMPUTED_VALUE"""),"Imported from file DigiZag Codes 25Feb25.xlsx")</f>
        <v>Imported from file DigiZag Codes 25Feb25.xlsx</v>
      </c>
      <c r="F572" s="2" t="str">
        <f>IFERROR(__xludf.DUMMYFUNCTION("""COMPUTED_VALUE"""),"QTX318514")</f>
        <v>QTX318514</v>
      </c>
      <c r="G572" s="2" t="str">
        <f>IFERROR(__xludf.DUMMYFUNCTION("""COMPUTED_VALUE"""),"Bahrain")</f>
        <v>Bahrain</v>
      </c>
      <c r="H572" s="4">
        <f>IFERROR(__xludf.DUMMYFUNCTION("""COMPUTED_VALUE"""),40.26)</f>
        <v>40.26</v>
      </c>
      <c r="I572" s="3">
        <f>IFERROR(__xludf.DUMMYFUNCTION("""COMPUTED_VALUE"""),0.0)</f>
        <v>0</v>
      </c>
      <c r="J572" s="4">
        <f>IFERROR(__xludf.DUMMYFUNCTION("""COMPUTED_VALUE"""),4.01)</f>
        <v>4.01</v>
      </c>
      <c r="K572" s="2"/>
      <c r="L572" s="2" t="str">
        <f>IFERROR(__xludf.DUMMYFUNCTION("""COMPUTED_VALUE"""),"Delivered")</f>
        <v>Delivered</v>
      </c>
      <c r="M572" s="2" t="str">
        <f>IFERROR(__xludf.DUMMYFUNCTION("""COMPUTED_VALUE"""),"BHD")</f>
        <v>BHD</v>
      </c>
      <c r="N572" s="2" t="str">
        <f>IFERROR(__xludf.DUMMYFUNCTION("""COMPUTED_VALUE"""),"Credit, Debit")</f>
        <v>Credit, Debit</v>
      </c>
      <c r="O572" s="4">
        <f>IFERROR(__xludf.DUMMYFUNCTION("""COMPUTED_VALUE"""),0.0)</f>
        <v>0</v>
      </c>
      <c r="P572" s="2">
        <f>IFERROR(__xludf.DUMMYFUNCTION("""COMPUTED_VALUE"""),6.0)</f>
        <v>6</v>
      </c>
      <c r="Q572" s="2">
        <f>IFERROR(__xludf.DUMMYFUNCTION("""COMPUTED_VALUE"""),6.0)</f>
        <v>6</v>
      </c>
      <c r="R572" s="2">
        <f>IFERROR(__xludf.DUMMYFUNCTION("""COMPUTED_VALUE"""),2025.0)</f>
        <v>2025</v>
      </c>
      <c r="S572" s="2" t="str">
        <f>IFERROR(__xludf.DUMMYFUNCTION("""COMPUTED_VALUE"""),"Digizag")</f>
        <v>Digizag</v>
      </c>
      <c r="T572" s="2" t="str">
        <f>IFERROR(__xludf.DUMMYFUNCTION("""COMPUTED_VALUE"""),"Digizag")</f>
        <v>Digizag</v>
      </c>
      <c r="U572" s="5">
        <f>IFERROR(__xludf.DUMMYFUNCTION("""COMPUTED_VALUE"""),106.80643841999999)</f>
        <v>106.8064384</v>
      </c>
      <c r="V572" s="2"/>
      <c r="W572" s="2"/>
      <c r="X572" s="2"/>
      <c r="Y572" s="2"/>
      <c r="Z572" s="2"/>
    </row>
    <row r="573">
      <c r="A573" s="6">
        <f>IFERROR(__xludf.DUMMYFUNCTION("""COMPUTED_VALUE"""),45814.21111111111)</f>
        <v>45814.21111</v>
      </c>
      <c r="B573" s="2" t="str">
        <f>IFERROR(__xludf.DUMMYFUNCTION("""COMPUTED_VALUE"""),"June")</f>
        <v>June</v>
      </c>
      <c r="C573" s="3">
        <f>IFERROR(__xludf.DUMMYFUNCTION("""COMPUTED_VALUE"""),752884.0)</f>
        <v>752884</v>
      </c>
      <c r="D573" s="2" t="str">
        <f>IFERROR(__xludf.DUMMYFUNCTION("""COMPUTED_VALUE"""),"ZM22")</f>
        <v>ZM22</v>
      </c>
      <c r="E573" s="2" t="str">
        <f>IFERROR(__xludf.DUMMYFUNCTION("""COMPUTED_VALUE"""),"Imported from file Digizag.xlsx")</f>
        <v>Imported from file Digizag.xlsx</v>
      </c>
      <c r="F573" s="2" t="str">
        <f>IFERROR(__xludf.DUMMYFUNCTION("""COMPUTED_VALUE"""),"PHX589360")</f>
        <v>PHX589360</v>
      </c>
      <c r="G573" s="2" t="str">
        <f>IFERROR(__xludf.DUMMYFUNCTION("""COMPUTED_VALUE"""),"Kuwait")</f>
        <v>Kuwait</v>
      </c>
      <c r="H573" s="4">
        <f>IFERROR(__xludf.DUMMYFUNCTION("""COMPUTED_VALUE"""),23.9)</f>
        <v>23.9</v>
      </c>
      <c r="I573" s="3">
        <f>IFERROR(__xludf.DUMMYFUNCTION("""COMPUTED_VALUE"""),0.0)</f>
        <v>0</v>
      </c>
      <c r="J573" s="4">
        <f>IFERROR(__xludf.DUMMYFUNCTION("""COMPUTED_VALUE"""),2.39)</f>
        <v>2.39</v>
      </c>
      <c r="K573" s="2"/>
      <c r="L573" s="2" t="str">
        <f>IFERROR(__xludf.DUMMYFUNCTION("""COMPUTED_VALUE"""),"Delivered")</f>
        <v>Delivered</v>
      </c>
      <c r="M573" s="2" t="str">
        <f>IFERROR(__xludf.DUMMYFUNCTION("""COMPUTED_VALUE"""),"KD")</f>
        <v>KD</v>
      </c>
      <c r="N573" s="2" t="str">
        <f>IFERROR(__xludf.DUMMYFUNCTION("""COMPUTED_VALUE"""),"Cash")</f>
        <v>Cash</v>
      </c>
      <c r="O573" s="4">
        <f>IFERROR(__xludf.DUMMYFUNCTION("""COMPUTED_VALUE"""),0.0)</f>
        <v>0</v>
      </c>
      <c r="P573" s="2">
        <f>IFERROR(__xludf.DUMMYFUNCTION("""COMPUTED_VALUE"""),6.0)</f>
        <v>6</v>
      </c>
      <c r="Q573" s="2">
        <f>IFERROR(__xludf.DUMMYFUNCTION("""COMPUTED_VALUE"""),6.0)</f>
        <v>6</v>
      </c>
      <c r="R573" s="2">
        <f>IFERROR(__xludf.DUMMYFUNCTION("""COMPUTED_VALUE"""),2025.0)</f>
        <v>2025</v>
      </c>
      <c r="S573" s="2" t="str">
        <f>IFERROR(__xludf.DUMMYFUNCTION("""COMPUTED_VALUE"""),"Digizag")</f>
        <v>Digizag</v>
      </c>
      <c r="T573" s="2" t="str">
        <f>IFERROR(__xludf.DUMMYFUNCTION("""COMPUTED_VALUE"""),"Digizag")</f>
        <v>Digizag</v>
      </c>
      <c r="U573" s="5">
        <f>IFERROR(__xludf.DUMMYFUNCTION("""COMPUTED_VALUE"""),77.92881799999999)</f>
        <v>77.928818</v>
      </c>
      <c r="V573" s="2"/>
      <c r="W573" s="2"/>
      <c r="X573" s="2"/>
      <c r="Y573" s="2"/>
      <c r="Z573" s="2"/>
    </row>
    <row r="574">
      <c r="A574" s="6">
        <f>IFERROR(__xludf.DUMMYFUNCTION("""COMPUTED_VALUE"""),45814.3796875)</f>
        <v>45814.37969</v>
      </c>
      <c r="B574" s="2" t="str">
        <f>IFERROR(__xludf.DUMMYFUNCTION("""COMPUTED_VALUE"""),"June")</f>
        <v>June</v>
      </c>
      <c r="C574" s="3">
        <f>IFERROR(__xludf.DUMMYFUNCTION("""COMPUTED_VALUE"""),358879.0)</f>
        <v>358879</v>
      </c>
      <c r="D574" s="2" t="str">
        <f>IFERROR(__xludf.DUMMYFUNCTION("""COMPUTED_VALUE"""),"ZM22")</f>
        <v>ZM22</v>
      </c>
      <c r="E574" s="2" t="str">
        <f>IFERROR(__xludf.DUMMYFUNCTION("""COMPUTED_VALUE"""),"Imported from file Digizag.xlsx")</f>
        <v>Imported from file Digizag.xlsx</v>
      </c>
      <c r="F574" s="2" t="str">
        <f>IFERROR(__xludf.DUMMYFUNCTION("""COMPUTED_VALUE"""),"GRR238154")</f>
        <v>GRR238154</v>
      </c>
      <c r="G574" s="2" t="str">
        <f>IFERROR(__xludf.DUMMYFUNCTION("""COMPUTED_VALUE"""),"UAE")</f>
        <v>UAE</v>
      </c>
      <c r="H574" s="4">
        <f>IFERROR(__xludf.DUMMYFUNCTION("""COMPUTED_VALUE"""),178.0)</f>
        <v>178</v>
      </c>
      <c r="I574" s="3">
        <f>IFERROR(__xludf.DUMMYFUNCTION("""COMPUTED_VALUE"""),0.0)</f>
        <v>0</v>
      </c>
      <c r="J574" s="4">
        <f>IFERROR(__xludf.DUMMYFUNCTION("""COMPUTED_VALUE"""),17.8)</f>
        <v>17.8</v>
      </c>
      <c r="K574" s="2"/>
      <c r="L574" s="2" t="str">
        <f>IFERROR(__xludf.DUMMYFUNCTION("""COMPUTED_VALUE"""),"Processing")</f>
        <v>Processing</v>
      </c>
      <c r="M574" s="2" t="str">
        <f>IFERROR(__xludf.DUMMYFUNCTION("""COMPUTED_VALUE"""),"")</f>
        <v></v>
      </c>
      <c r="N574" s="2" t="str">
        <f>IFERROR(__xludf.DUMMYFUNCTION("""COMPUTED_VALUE"""),"Credit, Debit , Apple Pay")</f>
        <v>Credit, Debit , Apple Pay</v>
      </c>
      <c r="O574" s="4">
        <f>IFERROR(__xludf.DUMMYFUNCTION("""COMPUTED_VALUE"""),0.0)</f>
        <v>0</v>
      </c>
      <c r="P574" s="2">
        <f>IFERROR(__xludf.DUMMYFUNCTION("""COMPUTED_VALUE"""),6.0)</f>
        <v>6</v>
      </c>
      <c r="Q574" s="2">
        <f>IFERROR(__xludf.DUMMYFUNCTION("""COMPUTED_VALUE"""),6.0)</f>
        <v>6</v>
      </c>
      <c r="R574" s="2">
        <f>IFERROR(__xludf.DUMMYFUNCTION("""COMPUTED_VALUE"""),2025.0)</f>
        <v>2025</v>
      </c>
      <c r="S574" s="2" t="str">
        <f>IFERROR(__xludf.DUMMYFUNCTION("""COMPUTED_VALUE"""),"Digizag")</f>
        <v>Digizag</v>
      </c>
      <c r="T574" s="2" t="str">
        <f>IFERROR(__xludf.DUMMYFUNCTION("""COMPUTED_VALUE"""),"Digizag")</f>
        <v>Digizag</v>
      </c>
      <c r="U574" s="5">
        <f>IFERROR(__xludf.DUMMYFUNCTION("""COMPUTED_VALUE"""),48.468345884)</f>
        <v>48.46834588</v>
      </c>
      <c r="V574" s="2"/>
      <c r="W574" s="2"/>
      <c r="X574" s="2"/>
      <c r="Y574" s="2"/>
      <c r="Z574" s="2"/>
    </row>
    <row r="575">
      <c r="A575" s="6">
        <f>IFERROR(__xludf.DUMMYFUNCTION("""COMPUTED_VALUE"""),45814.92315972222)</f>
        <v>45814.92316</v>
      </c>
      <c r="B575" s="2" t="str">
        <f>IFERROR(__xludf.DUMMYFUNCTION("""COMPUTED_VALUE"""),"June")</f>
        <v>June</v>
      </c>
      <c r="C575" s="3">
        <f>IFERROR(__xludf.DUMMYFUNCTION("""COMPUTED_VALUE"""),43680.0)</f>
        <v>43680</v>
      </c>
      <c r="D575" s="2" t="str">
        <f>IFERROR(__xludf.DUMMYFUNCTION("""COMPUTED_VALUE"""),"DB1")</f>
        <v>DB1</v>
      </c>
      <c r="E575" s="2" t="str">
        <f>IFERROR(__xludf.DUMMYFUNCTION("""COMPUTED_VALUE"""),"Imported from file Digizag.xlsx")</f>
        <v>Imported from file Digizag.xlsx</v>
      </c>
      <c r="F575" s="2" t="str">
        <f>IFERROR(__xludf.DUMMYFUNCTION("""COMPUTED_VALUE"""),"RLM788654")</f>
        <v>RLM788654</v>
      </c>
      <c r="G575" s="2" t="str">
        <f>IFERROR(__xludf.DUMMYFUNCTION("""COMPUTED_VALUE"""),"Kuwait")</f>
        <v>Kuwait</v>
      </c>
      <c r="H575" s="4">
        <f>IFERROR(__xludf.DUMMYFUNCTION("""COMPUTED_VALUE"""),10.45)</f>
        <v>10.45</v>
      </c>
      <c r="I575" s="3">
        <f>IFERROR(__xludf.DUMMYFUNCTION("""COMPUTED_VALUE"""),0.0)</f>
        <v>0</v>
      </c>
      <c r="J575" s="4">
        <f>IFERROR(__xludf.DUMMYFUNCTION("""COMPUTED_VALUE"""),1.045)</f>
        <v>1.045</v>
      </c>
      <c r="K575" s="2"/>
      <c r="L575" s="2" t="str">
        <f>IFERROR(__xludf.DUMMYFUNCTION("""COMPUTED_VALUE"""),"Processing")</f>
        <v>Processing</v>
      </c>
      <c r="M575" s="2" t="str">
        <f>IFERROR(__xludf.DUMMYFUNCTION("""COMPUTED_VALUE"""),"KD")</f>
        <v>KD</v>
      </c>
      <c r="N575" s="2" t="str">
        <f>IFERROR(__xludf.DUMMYFUNCTION("""COMPUTED_VALUE"""),"Cash")</f>
        <v>Cash</v>
      </c>
      <c r="O575" s="4">
        <f>IFERROR(__xludf.DUMMYFUNCTION("""COMPUTED_VALUE"""),0.0)</f>
        <v>0</v>
      </c>
      <c r="P575" s="2">
        <f>IFERROR(__xludf.DUMMYFUNCTION("""COMPUTED_VALUE"""),6.0)</f>
        <v>6</v>
      </c>
      <c r="Q575" s="2">
        <f>IFERROR(__xludf.DUMMYFUNCTION("""COMPUTED_VALUE"""),6.0)</f>
        <v>6</v>
      </c>
      <c r="R575" s="2">
        <f>IFERROR(__xludf.DUMMYFUNCTION("""COMPUTED_VALUE"""),2025.0)</f>
        <v>2025</v>
      </c>
      <c r="S575" s="2" t="str">
        <f>IFERROR(__xludf.DUMMYFUNCTION("""COMPUTED_VALUE"""),"Digizag")</f>
        <v>Digizag</v>
      </c>
      <c r="T575" s="2" t="str">
        <f>IFERROR(__xludf.DUMMYFUNCTION("""COMPUTED_VALUE"""),"Digizag")</f>
        <v>Digizag</v>
      </c>
      <c r="U575" s="5">
        <f>IFERROR(__xludf.DUMMYFUNCTION("""COMPUTED_VALUE"""),34.073479)</f>
        <v>34.073479</v>
      </c>
      <c r="V575" s="2"/>
      <c r="W575" s="2"/>
      <c r="X575" s="2"/>
      <c r="Y575" s="2"/>
      <c r="Z575" s="2"/>
    </row>
    <row r="576">
      <c r="A576" s="6">
        <f>IFERROR(__xludf.DUMMYFUNCTION("""COMPUTED_VALUE"""),45815.28210648148)</f>
        <v>45815.28211</v>
      </c>
      <c r="B576" s="2" t="str">
        <f>IFERROR(__xludf.DUMMYFUNCTION("""COMPUTED_VALUE"""),"June")</f>
        <v>June</v>
      </c>
      <c r="C576" s="3">
        <f>IFERROR(__xludf.DUMMYFUNCTION("""COMPUTED_VALUE"""),11915.0)</f>
        <v>11915</v>
      </c>
      <c r="D576" s="2" t="str">
        <f>IFERROR(__xludf.DUMMYFUNCTION("""COMPUTED_VALUE"""),"ZM22")</f>
        <v>ZM22</v>
      </c>
      <c r="E576" s="2" t="str">
        <f>IFERROR(__xludf.DUMMYFUNCTION("""COMPUTED_VALUE"""),"Imported from file Digizag.xlsx")</f>
        <v>Imported from file Digizag.xlsx</v>
      </c>
      <c r="F576" s="2" t="str">
        <f>IFERROR(__xludf.DUMMYFUNCTION("""COMPUTED_VALUE"""),"GPD878681")</f>
        <v>GPD878681</v>
      </c>
      <c r="G576" s="2" t="str">
        <f>IFERROR(__xludf.DUMMYFUNCTION("""COMPUTED_VALUE"""),"Bahrain")</f>
        <v>Bahrain</v>
      </c>
      <c r="H576" s="4">
        <f>IFERROR(__xludf.DUMMYFUNCTION("""COMPUTED_VALUE"""),11.73)</f>
        <v>11.73</v>
      </c>
      <c r="I576" s="3">
        <f>IFERROR(__xludf.DUMMYFUNCTION("""COMPUTED_VALUE"""),0.0)</f>
        <v>0</v>
      </c>
      <c r="J576" s="4">
        <f>IFERROR(__xludf.DUMMYFUNCTION("""COMPUTED_VALUE"""),1.17)</f>
        <v>1.17</v>
      </c>
      <c r="K576" s="2"/>
      <c r="L576" s="2" t="str">
        <f>IFERROR(__xludf.DUMMYFUNCTION("""COMPUTED_VALUE"""),"Delivered")</f>
        <v>Delivered</v>
      </c>
      <c r="M576" s="2" t="str">
        <f>IFERROR(__xludf.DUMMYFUNCTION("""COMPUTED_VALUE"""),"BHD")</f>
        <v>BHD</v>
      </c>
      <c r="N576" s="2" t="str">
        <f>IFERROR(__xludf.DUMMYFUNCTION("""COMPUTED_VALUE"""),"Credit, Debit")</f>
        <v>Credit, Debit</v>
      </c>
      <c r="O576" s="4">
        <f>IFERROR(__xludf.DUMMYFUNCTION("""COMPUTED_VALUE"""),0.0)</f>
        <v>0</v>
      </c>
      <c r="P576" s="2">
        <f>IFERROR(__xludf.DUMMYFUNCTION("""COMPUTED_VALUE"""),7.0)</f>
        <v>7</v>
      </c>
      <c r="Q576" s="2">
        <f>IFERROR(__xludf.DUMMYFUNCTION("""COMPUTED_VALUE"""),6.0)</f>
        <v>6</v>
      </c>
      <c r="R576" s="2">
        <f>IFERROR(__xludf.DUMMYFUNCTION("""COMPUTED_VALUE"""),2025.0)</f>
        <v>2025</v>
      </c>
      <c r="S576" s="2" t="str">
        <f>IFERROR(__xludf.DUMMYFUNCTION("""COMPUTED_VALUE"""),"Digizag")</f>
        <v>Digizag</v>
      </c>
      <c r="T576" s="2" t="str">
        <f>IFERROR(__xludf.DUMMYFUNCTION("""COMPUTED_VALUE"""),"Digizag")</f>
        <v>Digizag</v>
      </c>
      <c r="U576" s="5">
        <f>IFERROR(__xludf.DUMMYFUNCTION("""COMPUTED_VALUE"""),31.11871641)</f>
        <v>31.11871641</v>
      </c>
      <c r="V576" s="2"/>
      <c r="W576" s="2"/>
      <c r="X576" s="2"/>
      <c r="Y576" s="2"/>
      <c r="Z576" s="2"/>
    </row>
    <row r="577">
      <c r="A577" s="6">
        <f>IFERROR(__xludf.DUMMYFUNCTION("""COMPUTED_VALUE"""),45815.42917824074)</f>
        <v>45815.42918</v>
      </c>
      <c r="B577" s="2" t="str">
        <f>IFERROR(__xludf.DUMMYFUNCTION("""COMPUTED_VALUE"""),"June")</f>
        <v>June</v>
      </c>
      <c r="C577" s="3">
        <f>IFERROR(__xludf.DUMMYFUNCTION("""COMPUTED_VALUE"""),13980.0)</f>
        <v>13980</v>
      </c>
      <c r="D577" s="2" t="str">
        <f>IFERROR(__xludf.DUMMYFUNCTION("""COMPUTED_VALUE"""),"ZM22")</f>
        <v>ZM22</v>
      </c>
      <c r="E577" s="2" t="str">
        <f>IFERROR(__xludf.DUMMYFUNCTION("""COMPUTED_VALUE"""),"Imported from file Digizag.xlsx")</f>
        <v>Imported from file Digizag.xlsx</v>
      </c>
      <c r="F577" s="2" t="str">
        <f>IFERROR(__xludf.DUMMYFUNCTION("""COMPUTED_VALUE"""),"TKW159644")</f>
        <v>TKW159644</v>
      </c>
      <c r="G577" s="2" t="str">
        <f>IFERROR(__xludf.DUMMYFUNCTION("""COMPUTED_VALUE"""),"UAE")</f>
        <v>UAE</v>
      </c>
      <c r="H577" s="4">
        <f>IFERROR(__xludf.DUMMYFUNCTION("""COMPUTED_VALUE"""),214.0)</f>
        <v>214</v>
      </c>
      <c r="I577" s="3">
        <f>IFERROR(__xludf.DUMMYFUNCTION("""COMPUTED_VALUE"""),0.0)</f>
        <v>0</v>
      </c>
      <c r="J577" s="4">
        <f>IFERROR(__xludf.DUMMYFUNCTION("""COMPUTED_VALUE"""),21.4)</f>
        <v>21.4</v>
      </c>
      <c r="K577" s="2"/>
      <c r="L577" s="2" t="str">
        <f>IFERROR(__xludf.DUMMYFUNCTION("""COMPUTED_VALUE"""),"Processing")</f>
        <v>Processing</v>
      </c>
      <c r="M577" s="2" t="str">
        <f>IFERROR(__xludf.DUMMYFUNCTION("""COMPUTED_VALUE"""),"")</f>
        <v></v>
      </c>
      <c r="N577" s="2" t="str">
        <f>IFERROR(__xludf.DUMMYFUNCTION("""COMPUTED_VALUE"""),"Credit, Debit , Apple Pay")</f>
        <v>Credit, Debit , Apple Pay</v>
      </c>
      <c r="O577" s="4">
        <f>IFERROR(__xludf.DUMMYFUNCTION("""COMPUTED_VALUE"""),0.0)</f>
        <v>0</v>
      </c>
      <c r="P577" s="2">
        <f>IFERROR(__xludf.DUMMYFUNCTION("""COMPUTED_VALUE"""),7.0)</f>
        <v>7</v>
      </c>
      <c r="Q577" s="2">
        <f>IFERROR(__xludf.DUMMYFUNCTION("""COMPUTED_VALUE"""),6.0)</f>
        <v>6</v>
      </c>
      <c r="R577" s="2">
        <f>IFERROR(__xludf.DUMMYFUNCTION("""COMPUTED_VALUE"""),2025.0)</f>
        <v>2025</v>
      </c>
      <c r="S577" s="2" t="str">
        <f>IFERROR(__xludf.DUMMYFUNCTION("""COMPUTED_VALUE"""),"Digizag")</f>
        <v>Digizag</v>
      </c>
      <c r="T577" s="2" t="str">
        <f>IFERROR(__xludf.DUMMYFUNCTION("""COMPUTED_VALUE"""),"Digizag")</f>
        <v>Digizag</v>
      </c>
      <c r="U577" s="5">
        <f>IFERROR(__xludf.DUMMYFUNCTION("""COMPUTED_VALUE"""),58.270932692)</f>
        <v>58.27093269</v>
      </c>
      <c r="V577" s="2"/>
      <c r="W577" s="2"/>
      <c r="X577" s="2"/>
      <c r="Y577" s="2"/>
      <c r="Z577" s="2"/>
    </row>
    <row r="578">
      <c r="A578" s="6">
        <f>IFERROR(__xludf.DUMMYFUNCTION("""COMPUTED_VALUE"""),45815.44385416667)</f>
        <v>45815.44385</v>
      </c>
      <c r="B578" s="2" t="str">
        <f>IFERROR(__xludf.DUMMYFUNCTION("""COMPUTED_VALUE"""),"June")</f>
        <v>June</v>
      </c>
      <c r="C578" s="3">
        <f>IFERROR(__xludf.DUMMYFUNCTION("""COMPUTED_VALUE"""),536946.0)</f>
        <v>536946</v>
      </c>
      <c r="D578" s="2" t="str">
        <f>IFERROR(__xludf.DUMMYFUNCTION("""COMPUTED_VALUE"""),"ZM22")</f>
        <v>ZM22</v>
      </c>
      <c r="E578" s="2" t="str">
        <f>IFERROR(__xludf.DUMMYFUNCTION("""COMPUTED_VALUE"""),"Imported from file Digizag.xlsx")</f>
        <v>Imported from file Digizag.xlsx</v>
      </c>
      <c r="F578" s="2" t="str">
        <f>IFERROR(__xludf.DUMMYFUNCTION("""COMPUTED_VALUE"""),"SYY909466")</f>
        <v>SYY909466</v>
      </c>
      <c r="G578" s="2" t="str">
        <f>IFERROR(__xludf.DUMMYFUNCTION("""COMPUTED_VALUE"""),"Kingdom of Saudi Arabia")</f>
        <v>Kingdom of Saudi Arabia</v>
      </c>
      <c r="H578" s="4">
        <f>IFERROR(__xludf.DUMMYFUNCTION("""COMPUTED_VALUE"""),69.0)</f>
        <v>69</v>
      </c>
      <c r="I578" s="3">
        <f>IFERROR(__xludf.DUMMYFUNCTION("""COMPUTED_VALUE"""),0.0)</f>
        <v>0</v>
      </c>
      <c r="J578" s="4">
        <f>IFERROR(__xludf.DUMMYFUNCTION("""COMPUTED_VALUE"""),30.0)</f>
        <v>30</v>
      </c>
      <c r="K578" s="2"/>
      <c r="L578" s="2" t="str">
        <f>IFERROR(__xludf.DUMMYFUNCTION("""COMPUTED_VALUE"""),"Processing")</f>
        <v>Processing</v>
      </c>
      <c r="M578" s="2" t="str">
        <f>IFERROR(__xludf.DUMMYFUNCTION("""COMPUTED_VALUE"""),"")</f>
        <v></v>
      </c>
      <c r="N578" s="2" t="str">
        <f>IFERROR(__xludf.DUMMYFUNCTION("""COMPUTED_VALUE"""),"Credit, Debit, Apple Pay")</f>
        <v>Credit, Debit, Apple Pay</v>
      </c>
      <c r="O578" s="4">
        <f>IFERROR(__xludf.DUMMYFUNCTION("""COMPUTED_VALUE"""),0.0)</f>
        <v>0</v>
      </c>
      <c r="P578" s="2">
        <f>IFERROR(__xludf.DUMMYFUNCTION("""COMPUTED_VALUE"""),7.0)</f>
        <v>7</v>
      </c>
      <c r="Q578" s="2">
        <f>IFERROR(__xludf.DUMMYFUNCTION("""COMPUTED_VALUE"""),6.0)</f>
        <v>6</v>
      </c>
      <c r="R578" s="2">
        <f>IFERROR(__xludf.DUMMYFUNCTION("""COMPUTED_VALUE"""),2025.0)</f>
        <v>2025</v>
      </c>
      <c r="S578" s="2" t="str">
        <f>IFERROR(__xludf.DUMMYFUNCTION("""COMPUTED_VALUE"""),"Digizag")</f>
        <v>Digizag</v>
      </c>
      <c r="T578" s="2" t="str">
        <f>IFERROR(__xludf.DUMMYFUNCTION("""COMPUTED_VALUE"""),"Digizag")</f>
        <v>Digizag</v>
      </c>
      <c r="U578" s="5">
        <f>IFERROR(__xludf.DUMMYFUNCTION("""COMPUTED_VALUE"""),18.398577174000003)</f>
        <v>18.39857717</v>
      </c>
      <c r="V578" s="2"/>
      <c r="W578" s="2"/>
      <c r="X578" s="2"/>
      <c r="Y578" s="2"/>
      <c r="Z578" s="2"/>
    </row>
    <row r="579">
      <c r="A579" s="6">
        <f>IFERROR(__xludf.DUMMYFUNCTION("""COMPUTED_VALUE"""),45815.685648148145)</f>
        <v>45815.68565</v>
      </c>
      <c r="B579" s="2" t="str">
        <f>IFERROR(__xludf.DUMMYFUNCTION("""COMPUTED_VALUE"""),"June")</f>
        <v>June</v>
      </c>
      <c r="C579" s="3">
        <f>IFERROR(__xludf.DUMMYFUNCTION("""COMPUTED_VALUE"""),23659.0)</f>
        <v>23659</v>
      </c>
      <c r="D579" s="2" t="str">
        <f>IFERROR(__xludf.DUMMYFUNCTION("""COMPUTED_VALUE"""),"ZM22")</f>
        <v>ZM22</v>
      </c>
      <c r="E579" s="2" t="str">
        <f>IFERROR(__xludf.DUMMYFUNCTION("""COMPUTED_VALUE"""),"Imported from file Digizag.xlsx")</f>
        <v>Imported from file Digizag.xlsx</v>
      </c>
      <c r="F579" s="2" t="str">
        <f>IFERROR(__xludf.DUMMYFUNCTION("""COMPUTED_VALUE"""),"MTR703417")</f>
        <v>MTR703417</v>
      </c>
      <c r="G579" s="2" t="str">
        <f>IFERROR(__xludf.DUMMYFUNCTION("""COMPUTED_VALUE"""),"Kingdom of Saudi Arabia")</f>
        <v>Kingdom of Saudi Arabia</v>
      </c>
      <c r="H579" s="4">
        <f>IFERROR(__xludf.DUMMYFUNCTION("""COMPUTED_VALUE"""),503.03)</f>
        <v>503.03</v>
      </c>
      <c r="I579" s="3">
        <f>IFERROR(__xludf.DUMMYFUNCTION("""COMPUTED_VALUE"""),0.0)</f>
        <v>0</v>
      </c>
      <c r="J579" s="4">
        <f>IFERROR(__xludf.DUMMYFUNCTION("""COMPUTED_VALUE"""),30.0)</f>
        <v>30</v>
      </c>
      <c r="K579" s="2"/>
      <c r="L579" s="2" t="str">
        <f>IFERROR(__xludf.DUMMYFUNCTION("""COMPUTED_VALUE"""),"Processing")</f>
        <v>Processing</v>
      </c>
      <c r="M579" s="2" t="str">
        <f>IFERROR(__xludf.DUMMYFUNCTION("""COMPUTED_VALUE"""),"")</f>
        <v></v>
      </c>
      <c r="N579" s="2" t="str">
        <f>IFERROR(__xludf.DUMMYFUNCTION("""COMPUTED_VALUE"""),"Pay in 4. No interest, no fees")</f>
        <v>Pay in 4. No interest, no fees</v>
      </c>
      <c r="O579" s="4">
        <f>IFERROR(__xludf.DUMMYFUNCTION("""COMPUTED_VALUE"""),0.0)</f>
        <v>0</v>
      </c>
      <c r="P579" s="2">
        <f>IFERROR(__xludf.DUMMYFUNCTION("""COMPUTED_VALUE"""),7.0)</f>
        <v>7</v>
      </c>
      <c r="Q579" s="2">
        <f>IFERROR(__xludf.DUMMYFUNCTION("""COMPUTED_VALUE"""),6.0)</f>
        <v>6</v>
      </c>
      <c r="R579" s="2">
        <f>IFERROR(__xludf.DUMMYFUNCTION("""COMPUTED_VALUE"""),2025.0)</f>
        <v>2025</v>
      </c>
      <c r="S579" s="2" t="str">
        <f>IFERROR(__xludf.DUMMYFUNCTION("""COMPUTED_VALUE"""),"Digizag")</f>
        <v>Digizag</v>
      </c>
      <c r="T579" s="2" t="str">
        <f>IFERROR(__xludf.DUMMYFUNCTION("""COMPUTED_VALUE"""),"Digizag")</f>
        <v>Digizag</v>
      </c>
      <c r="U579" s="5">
        <f>IFERROR(__xludf.DUMMYFUNCTION("""COMPUTED_VALUE"""),134.13096051938)</f>
        <v>134.1309605</v>
      </c>
      <c r="V579" s="2"/>
      <c r="W579" s="2"/>
      <c r="X579" s="2"/>
      <c r="Y579" s="2"/>
      <c r="Z579" s="2"/>
    </row>
    <row r="580">
      <c r="A580" s="6">
        <f>IFERROR(__xludf.DUMMYFUNCTION("""COMPUTED_VALUE"""),45816.36734953704)</f>
        <v>45816.36735</v>
      </c>
      <c r="B580" s="2" t="str">
        <f>IFERROR(__xludf.DUMMYFUNCTION("""COMPUTED_VALUE"""),"June")</f>
        <v>June</v>
      </c>
      <c r="C580" s="3">
        <f>IFERROR(__xludf.DUMMYFUNCTION("""COMPUTED_VALUE"""),754282.0)</f>
        <v>754282</v>
      </c>
      <c r="D580" s="2" t="str">
        <f>IFERROR(__xludf.DUMMYFUNCTION("""COMPUTED_VALUE"""),"MNN16")</f>
        <v>MNN16</v>
      </c>
      <c r="E580" s="2" t="str">
        <f>IFERROR(__xludf.DUMMYFUNCTION("""COMPUTED_VALUE"""),"Imported from file DigiZag Codes 25Feb25.xlsx")</f>
        <v>Imported from file DigiZag Codes 25Feb25.xlsx</v>
      </c>
      <c r="F580" s="2" t="str">
        <f>IFERROR(__xludf.DUMMYFUNCTION("""COMPUTED_VALUE"""),"RSX261157")</f>
        <v>RSX261157</v>
      </c>
      <c r="G580" s="2" t="str">
        <f>IFERROR(__xludf.DUMMYFUNCTION("""COMPUTED_VALUE"""),"UAE")</f>
        <v>UAE</v>
      </c>
      <c r="H580" s="4">
        <f>IFERROR(__xludf.DUMMYFUNCTION("""COMPUTED_VALUE"""),302.0)</f>
        <v>302</v>
      </c>
      <c r="I580" s="3">
        <f>IFERROR(__xludf.DUMMYFUNCTION("""COMPUTED_VALUE"""),0.0)</f>
        <v>0</v>
      </c>
      <c r="J580" s="4">
        <f>IFERROR(__xludf.DUMMYFUNCTION("""COMPUTED_VALUE"""),30.2)</f>
        <v>30.2</v>
      </c>
      <c r="K580" s="2"/>
      <c r="L580" s="2" t="str">
        <f>IFERROR(__xludf.DUMMYFUNCTION("""COMPUTED_VALUE"""),"Processing")</f>
        <v>Processing</v>
      </c>
      <c r="M580" s="2" t="str">
        <f>IFERROR(__xludf.DUMMYFUNCTION("""COMPUTED_VALUE"""),"")</f>
        <v></v>
      </c>
      <c r="N580" s="2" t="str">
        <f>IFERROR(__xludf.DUMMYFUNCTION("""COMPUTED_VALUE"""),"Credit, Debit , Apple Pay")</f>
        <v>Credit, Debit , Apple Pay</v>
      </c>
      <c r="O580" s="4">
        <f>IFERROR(__xludf.DUMMYFUNCTION("""COMPUTED_VALUE"""),0.0)</f>
        <v>0</v>
      </c>
      <c r="P580" s="2">
        <f>IFERROR(__xludf.DUMMYFUNCTION("""COMPUTED_VALUE"""),8.0)</f>
        <v>8</v>
      </c>
      <c r="Q580" s="2">
        <f>IFERROR(__xludf.DUMMYFUNCTION("""COMPUTED_VALUE"""),6.0)</f>
        <v>6</v>
      </c>
      <c r="R580" s="2">
        <f>IFERROR(__xludf.DUMMYFUNCTION("""COMPUTED_VALUE"""),2025.0)</f>
        <v>2025</v>
      </c>
      <c r="S580" s="2" t="str">
        <f>IFERROR(__xludf.DUMMYFUNCTION("""COMPUTED_VALUE"""),"Digizag")</f>
        <v>Digizag</v>
      </c>
      <c r="T580" s="2" t="str">
        <f>IFERROR(__xludf.DUMMYFUNCTION("""COMPUTED_VALUE"""),"Digizag")</f>
        <v>Digizag</v>
      </c>
      <c r="U580" s="5">
        <f>IFERROR(__xludf.DUMMYFUNCTION("""COMPUTED_VALUE"""),82.232811556)</f>
        <v>82.23281156</v>
      </c>
      <c r="V580" s="2"/>
      <c r="W580" s="2"/>
      <c r="X580" s="2"/>
      <c r="Y580" s="2"/>
      <c r="Z580" s="2"/>
    </row>
    <row r="581">
      <c r="A581" s="6">
        <f>IFERROR(__xludf.DUMMYFUNCTION("""COMPUTED_VALUE"""),45816.53136574074)</f>
        <v>45816.53137</v>
      </c>
      <c r="B581" s="2" t="str">
        <f>IFERROR(__xludf.DUMMYFUNCTION("""COMPUTED_VALUE"""),"June")</f>
        <v>June</v>
      </c>
      <c r="C581" s="3">
        <f>IFERROR(__xludf.DUMMYFUNCTION("""COMPUTED_VALUE"""),154728.0)</f>
        <v>154728</v>
      </c>
      <c r="D581" s="2" t="str">
        <f>IFERROR(__xludf.DUMMYFUNCTION("""COMPUTED_VALUE"""),"DB1")</f>
        <v>DB1</v>
      </c>
      <c r="E581" s="2" t="str">
        <f>IFERROR(__xludf.DUMMYFUNCTION("""COMPUTED_VALUE"""),"Imported from file Digizag.xlsx")</f>
        <v>Imported from file Digizag.xlsx</v>
      </c>
      <c r="F581" s="2" t="str">
        <f>IFERROR(__xludf.DUMMYFUNCTION("""COMPUTED_VALUE"""),"MHY824391")</f>
        <v>MHY824391</v>
      </c>
      <c r="G581" s="2" t="str">
        <f>IFERROR(__xludf.DUMMYFUNCTION("""COMPUTED_VALUE"""),"Kingdom of Saudi Arabia")</f>
        <v>Kingdom of Saudi Arabia</v>
      </c>
      <c r="H581" s="4">
        <f>IFERROR(__xludf.DUMMYFUNCTION("""COMPUTED_VALUE"""),172.0)</f>
        <v>172</v>
      </c>
      <c r="I581" s="3">
        <f>IFERROR(__xludf.DUMMYFUNCTION("""COMPUTED_VALUE"""),0.0)</f>
        <v>0</v>
      </c>
      <c r="J581" s="4">
        <f>IFERROR(__xludf.DUMMYFUNCTION("""COMPUTED_VALUE"""),30.0)</f>
        <v>30</v>
      </c>
      <c r="K581" s="2"/>
      <c r="L581" s="2" t="str">
        <f>IFERROR(__xludf.DUMMYFUNCTION("""COMPUTED_VALUE"""),"Delivered")</f>
        <v>Delivered</v>
      </c>
      <c r="M581" s="2" t="str">
        <f>IFERROR(__xludf.DUMMYFUNCTION("""COMPUTED_VALUE"""),"")</f>
        <v></v>
      </c>
      <c r="N581" s="2" t="str">
        <f>IFERROR(__xludf.DUMMYFUNCTION("""COMPUTED_VALUE"""),"Credit, Debit, Apple Pay")</f>
        <v>Credit, Debit, Apple Pay</v>
      </c>
      <c r="O581" s="4">
        <f>IFERROR(__xludf.DUMMYFUNCTION("""COMPUTED_VALUE"""),0.0)</f>
        <v>0</v>
      </c>
      <c r="P581" s="2">
        <f>IFERROR(__xludf.DUMMYFUNCTION("""COMPUTED_VALUE"""),8.0)</f>
        <v>8</v>
      </c>
      <c r="Q581" s="2">
        <f>IFERROR(__xludf.DUMMYFUNCTION("""COMPUTED_VALUE"""),6.0)</f>
        <v>6</v>
      </c>
      <c r="R581" s="2">
        <f>IFERROR(__xludf.DUMMYFUNCTION("""COMPUTED_VALUE"""),2025.0)</f>
        <v>2025</v>
      </c>
      <c r="S581" s="2" t="str">
        <f>IFERROR(__xludf.DUMMYFUNCTION("""COMPUTED_VALUE"""),"Digizag")</f>
        <v>Digizag</v>
      </c>
      <c r="T581" s="2" t="str">
        <f>IFERROR(__xludf.DUMMYFUNCTION("""COMPUTED_VALUE"""),"Digizag")</f>
        <v>Digizag</v>
      </c>
      <c r="U581" s="5">
        <f>IFERROR(__xludf.DUMMYFUNCTION("""COMPUTED_VALUE"""),45.863119912)</f>
        <v>45.86311991</v>
      </c>
      <c r="V581" s="2"/>
      <c r="W581" s="2"/>
      <c r="X581" s="2"/>
      <c r="Y581" s="2"/>
      <c r="Z581" s="2"/>
    </row>
    <row r="582">
      <c r="A582" s="6">
        <f>IFERROR(__xludf.DUMMYFUNCTION("""COMPUTED_VALUE"""),45816.539571759255)</f>
        <v>45816.53957</v>
      </c>
      <c r="B582" s="2" t="str">
        <f>IFERROR(__xludf.DUMMYFUNCTION("""COMPUTED_VALUE"""),"June")</f>
        <v>June</v>
      </c>
      <c r="C582" s="3">
        <f>IFERROR(__xludf.DUMMYFUNCTION("""COMPUTED_VALUE"""),754414.0)</f>
        <v>754414</v>
      </c>
      <c r="D582" s="2" t="str">
        <f>IFERROR(__xludf.DUMMYFUNCTION("""COMPUTED_VALUE"""),"MNN16")</f>
        <v>MNN16</v>
      </c>
      <c r="E582" s="2" t="str">
        <f>IFERROR(__xludf.DUMMYFUNCTION("""COMPUTED_VALUE"""),"Imported from file DigiZag Codes 25Feb25.xlsx")</f>
        <v>Imported from file DigiZag Codes 25Feb25.xlsx</v>
      </c>
      <c r="F582" s="2" t="str">
        <f>IFERROR(__xludf.DUMMYFUNCTION("""COMPUTED_VALUE"""),"ELJ458060")</f>
        <v>ELJ458060</v>
      </c>
      <c r="G582" s="2" t="str">
        <f>IFERROR(__xludf.DUMMYFUNCTION("""COMPUTED_VALUE"""),"Kuwait")</f>
        <v>Kuwait</v>
      </c>
      <c r="H582" s="4">
        <f>IFERROR(__xludf.DUMMYFUNCTION("""COMPUTED_VALUE"""),12.15)</f>
        <v>12.15</v>
      </c>
      <c r="I582" s="3">
        <f>IFERROR(__xludf.DUMMYFUNCTION("""COMPUTED_VALUE"""),0.0)</f>
        <v>0</v>
      </c>
      <c r="J582" s="4">
        <f>IFERROR(__xludf.DUMMYFUNCTION("""COMPUTED_VALUE"""),1.215)</f>
        <v>1.215</v>
      </c>
      <c r="K582" s="2"/>
      <c r="L582" s="2" t="str">
        <f>IFERROR(__xludf.DUMMYFUNCTION("""COMPUTED_VALUE"""),"Delivered")</f>
        <v>Delivered</v>
      </c>
      <c r="M582" s="2" t="str">
        <f>IFERROR(__xludf.DUMMYFUNCTION("""COMPUTED_VALUE"""),"KD")</f>
        <v>KD</v>
      </c>
      <c r="N582" s="2" t="str">
        <f>IFERROR(__xludf.DUMMYFUNCTION("""COMPUTED_VALUE"""),"Credit, Debit, Knet")</f>
        <v>Credit, Debit, Knet</v>
      </c>
      <c r="O582" s="4">
        <f>IFERROR(__xludf.DUMMYFUNCTION("""COMPUTED_VALUE"""),0.0)</f>
        <v>0</v>
      </c>
      <c r="P582" s="2">
        <f>IFERROR(__xludf.DUMMYFUNCTION("""COMPUTED_VALUE"""),8.0)</f>
        <v>8</v>
      </c>
      <c r="Q582" s="2">
        <f>IFERROR(__xludf.DUMMYFUNCTION("""COMPUTED_VALUE"""),6.0)</f>
        <v>6</v>
      </c>
      <c r="R582" s="2">
        <f>IFERROR(__xludf.DUMMYFUNCTION("""COMPUTED_VALUE"""),2025.0)</f>
        <v>2025</v>
      </c>
      <c r="S582" s="2" t="str">
        <f>IFERROR(__xludf.DUMMYFUNCTION("""COMPUTED_VALUE"""),"Digizag")</f>
        <v>Digizag</v>
      </c>
      <c r="T582" s="2" t="str">
        <f>IFERROR(__xludf.DUMMYFUNCTION("""COMPUTED_VALUE"""),"Digizag")</f>
        <v>Digizag</v>
      </c>
      <c r="U582" s="5">
        <f>IFERROR(__xludf.DUMMYFUNCTION("""COMPUTED_VALUE"""),39.616533)</f>
        <v>39.616533</v>
      </c>
      <c r="V582" s="2"/>
      <c r="W582" s="2"/>
      <c r="X582" s="2"/>
      <c r="Y582" s="2"/>
      <c r="Z582" s="2"/>
    </row>
    <row r="583">
      <c r="A583" s="6">
        <f>IFERROR(__xludf.DUMMYFUNCTION("""COMPUTED_VALUE"""),45816.73030092593)</f>
        <v>45816.7303</v>
      </c>
      <c r="B583" s="2" t="str">
        <f>IFERROR(__xludf.DUMMYFUNCTION("""COMPUTED_VALUE"""),"June")</f>
        <v>June</v>
      </c>
      <c r="C583" s="3">
        <f>IFERROR(__xludf.DUMMYFUNCTION("""COMPUTED_VALUE"""),53213.0)</f>
        <v>53213</v>
      </c>
      <c r="D583" s="2" t="str">
        <f>IFERROR(__xludf.DUMMYFUNCTION("""COMPUTED_VALUE"""),"DB1")</f>
        <v>DB1</v>
      </c>
      <c r="E583" s="2" t="str">
        <f>IFERROR(__xludf.DUMMYFUNCTION("""COMPUTED_VALUE"""),"Imported from file Digizag.xlsx")</f>
        <v>Imported from file Digizag.xlsx</v>
      </c>
      <c r="F583" s="2" t="str">
        <f>IFERROR(__xludf.DUMMYFUNCTION("""COMPUTED_VALUE"""),"ZKH826793")</f>
        <v>ZKH826793</v>
      </c>
      <c r="G583" s="2" t="str">
        <f>IFERROR(__xludf.DUMMYFUNCTION("""COMPUTED_VALUE"""),"UAE")</f>
        <v>UAE</v>
      </c>
      <c r="H583" s="4">
        <f>IFERROR(__xludf.DUMMYFUNCTION("""COMPUTED_VALUE"""),165.42)</f>
        <v>165.42</v>
      </c>
      <c r="I583" s="3">
        <f>IFERROR(__xludf.DUMMYFUNCTION("""COMPUTED_VALUE"""),0.0)</f>
        <v>0</v>
      </c>
      <c r="J583" s="4">
        <f>IFERROR(__xludf.DUMMYFUNCTION("""COMPUTED_VALUE"""),16.54)</f>
        <v>16.54</v>
      </c>
      <c r="K583" s="2"/>
      <c r="L583" s="2" t="str">
        <f>IFERROR(__xludf.DUMMYFUNCTION("""COMPUTED_VALUE"""),"Processing")</f>
        <v>Processing</v>
      </c>
      <c r="M583" s="2" t="str">
        <f>IFERROR(__xludf.DUMMYFUNCTION("""COMPUTED_VALUE"""),"")</f>
        <v></v>
      </c>
      <c r="N583" s="2" t="str">
        <f>IFERROR(__xludf.DUMMYFUNCTION("""COMPUTED_VALUE"""),"Credit, Debit , Apple Pay")</f>
        <v>Credit, Debit , Apple Pay</v>
      </c>
      <c r="O583" s="4">
        <f>IFERROR(__xludf.DUMMYFUNCTION("""COMPUTED_VALUE"""),0.0)</f>
        <v>0</v>
      </c>
      <c r="P583" s="2">
        <f>IFERROR(__xludf.DUMMYFUNCTION("""COMPUTED_VALUE"""),8.0)</f>
        <v>8</v>
      </c>
      <c r="Q583" s="2">
        <f>IFERROR(__xludf.DUMMYFUNCTION("""COMPUTED_VALUE"""),6.0)</f>
        <v>6</v>
      </c>
      <c r="R583" s="2">
        <f>IFERROR(__xludf.DUMMYFUNCTION("""COMPUTED_VALUE"""),2025.0)</f>
        <v>2025</v>
      </c>
      <c r="S583" s="2" t="str">
        <f>IFERROR(__xludf.DUMMYFUNCTION("""COMPUTED_VALUE"""),"Digizag")</f>
        <v>Digizag</v>
      </c>
      <c r="T583" s="2" t="str">
        <f>IFERROR(__xludf.DUMMYFUNCTION("""COMPUTED_VALUE"""),"Digizag")</f>
        <v>Digizag</v>
      </c>
      <c r="U583" s="5">
        <f>IFERROR(__xludf.DUMMYFUNCTION("""COMPUTED_VALUE"""),45.042886382759995)</f>
        <v>45.04288638</v>
      </c>
      <c r="V583" s="2"/>
      <c r="W583" s="2"/>
      <c r="X583" s="2"/>
      <c r="Y583" s="2"/>
      <c r="Z583" s="2"/>
    </row>
    <row r="584">
      <c r="A584" s="6">
        <f>IFERROR(__xludf.DUMMYFUNCTION("""COMPUTED_VALUE"""),45816.84364583333)</f>
        <v>45816.84365</v>
      </c>
      <c r="B584" s="2" t="str">
        <f>IFERROR(__xludf.DUMMYFUNCTION("""COMPUTED_VALUE"""),"June")</f>
        <v>June</v>
      </c>
      <c r="C584" s="3">
        <f>IFERROR(__xludf.DUMMYFUNCTION("""COMPUTED_VALUE"""),600.0)</f>
        <v>600</v>
      </c>
      <c r="D584" s="2" t="str">
        <f>IFERROR(__xludf.DUMMYFUNCTION("""COMPUTED_VALUE"""),"DG3")</f>
        <v>DG3</v>
      </c>
      <c r="E584" s="2" t="str">
        <f>IFERROR(__xludf.DUMMYFUNCTION("""COMPUTED_VALUE"""),"Imported from file Digizag.xlsx")</f>
        <v>Imported from file Digizag.xlsx</v>
      </c>
      <c r="F584" s="2" t="str">
        <f>IFERROR(__xludf.DUMMYFUNCTION("""COMPUTED_VALUE"""),"BBE753305")</f>
        <v>BBE753305</v>
      </c>
      <c r="G584" s="2" t="str">
        <f>IFERROR(__xludf.DUMMYFUNCTION("""COMPUTED_VALUE"""),"Kingdom of Saudi Arabia")</f>
        <v>Kingdom of Saudi Arabia</v>
      </c>
      <c r="H584" s="4">
        <f>IFERROR(__xludf.DUMMYFUNCTION("""COMPUTED_VALUE"""),472.2)</f>
        <v>472.2</v>
      </c>
      <c r="I584" s="3">
        <f>IFERROR(__xludf.DUMMYFUNCTION("""COMPUTED_VALUE"""),0.0)</f>
        <v>0</v>
      </c>
      <c r="J584" s="4">
        <f>IFERROR(__xludf.DUMMYFUNCTION("""COMPUTED_VALUE"""),30.0)</f>
        <v>30</v>
      </c>
      <c r="K584" s="2"/>
      <c r="L584" s="2" t="str">
        <f>IFERROR(__xludf.DUMMYFUNCTION("""COMPUTED_VALUE"""),"Processing")</f>
        <v>Processing</v>
      </c>
      <c r="M584" s="2" t="str">
        <f>IFERROR(__xludf.DUMMYFUNCTION("""COMPUTED_VALUE"""),"")</f>
        <v></v>
      </c>
      <c r="N584" s="2" t="str">
        <f>IFERROR(__xludf.DUMMYFUNCTION("""COMPUTED_VALUE"""),"Credit, Debit, Apple Pay")</f>
        <v>Credit, Debit, Apple Pay</v>
      </c>
      <c r="O584" s="4">
        <f>IFERROR(__xludf.DUMMYFUNCTION("""COMPUTED_VALUE"""),0.0)</f>
        <v>0</v>
      </c>
      <c r="P584" s="2">
        <f>IFERROR(__xludf.DUMMYFUNCTION("""COMPUTED_VALUE"""),8.0)</f>
        <v>8</v>
      </c>
      <c r="Q584" s="2">
        <f>IFERROR(__xludf.DUMMYFUNCTION("""COMPUTED_VALUE"""),6.0)</f>
        <v>6</v>
      </c>
      <c r="R584" s="2">
        <f>IFERROR(__xludf.DUMMYFUNCTION("""COMPUTED_VALUE"""),2025.0)</f>
        <v>2025</v>
      </c>
      <c r="S584" s="2" t="str">
        <f>IFERROR(__xludf.DUMMYFUNCTION("""COMPUTED_VALUE"""),"Digizag")</f>
        <v>Digizag</v>
      </c>
      <c r="T584" s="2" t="str">
        <f>IFERROR(__xludf.DUMMYFUNCTION("""COMPUTED_VALUE"""),"Digizag")</f>
        <v>Digizag</v>
      </c>
      <c r="U584" s="5">
        <f>IFERROR(__xludf.DUMMYFUNCTION("""COMPUTED_VALUE"""),125.91026292120002)</f>
        <v>125.9102629</v>
      </c>
      <c r="V584" s="2"/>
      <c r="W584" s="2"/>
      <c r="X584" s="2"/>
      <c r="Y584" s="2"/>
      <c r="Z584" s="2"/>
    </row>
    <row r="585">
      <c r="A585" s="6">
        <f>IFERROR(__xludf.DUMMYFUNCTION("""COMPUTED_VALUE"""),45816.92047453704)</f>
        <v>45816.92047</v>
      </c>
      <c r="B585" s="2" t="str">
        <f>IFERROR(__xludf.DUMMYFUNCTION("""COMPUTED_VALUE"""),"June")</f>
        <v>June</v>
      </c>
      <c r="C585" s="3">
        <f>IFERROR(__xludf.DUMMYFUNCTION("""COMPUTED_VALUE"""),633300.0)</f>
        <v>633300</v>
      </c>
      <c r="D585" s="2" t="str">
        <f>IFERROR(__xludf.DUMMYFUNCTION("""COMPUTED_VALUE"""),"ZM22")</f>
        <v>ZM22</v>
      </c>
      <c r="E585" s="2" t="str">
        <f>IFERROR(__xludf.DUMMYFUNCTION("""COMPUTED_VALUE"""),"Imported from file Digizag.xlsx")</f>
        <v>Imported from file Digizag.xlsx</v>
      </c>
      <c r="F585" s="2" t="str">
        <f>IFERROR(__xludf.DUMMYFUNCTION("""COMPUTED_VALUE"""),"NRG741792")</f>
        <v>NRG741792</v>
      </c>
      <c r="G585" s="2" t="str">
        <f>IFERROR(__xludf.DUMMYFUNCTION("""COMPUTED_VALUE"""),"UAE")</f>
        <v>UAE</v>
      </c>
      <c r="H585" s="4">
        <f>IFERROR(__xludf.DUMMYFUNCTION("""COMPUTED_VALUE"""),308.9)</f>
        <v>308.9</v>
      </c>
      <c r="I585" s="3">
        <f>IFERROR(__xludf.DUMMYFUNCTION("""COMPUTED_VALUE"""),0.0)</f>
        <v>0</v>
      </c>
      <c r="J585" s="4">
        <f>IFERROR(__xludf.DUMMYFUNCTION("""COMPUTED_VALUE"""),30.89)</f>
        <v>30.89</v>
      </c>
      <c r="K585" s="2"/>
      <c r="L585" s="2" t="str">
        <f>IFERROR(__xludf.DUMMYFUNCTION("""COMPUTED_VALUE"""),"Processing")</f>
        <v>Processing</v>
      </c>
      <c r="M585" s="2" t="str">
        <f>IFERROR(__xludf.DUMMYFUNCTION("""COMPUTED_VALUE"""),"")</f>
        <v></v>
      </c>
      <c r="N585" s="2" t="str">
        <f>IFERROR(__xludf.DUMMYFUNCTION("""COMPUTED_VALUE"""),"Credit, Debit , Apple Pay")</f>
        <v>Credit, Debit , Apple Pay</v>
      </c>
      <c r="O585" s="4">
        <f>IFERROR(__xludf.DUMMYFUNCTION("""COMPUTED_VALUE"""),0.0)</f>
        <v>0</v>
      </c>
      <c r="P585" s="2">
        <f>IFERROR(__xludf.DUMMYFUNCTION("""COMPUTED_VALUE"""),8.0)</f>
        <v>8</v>
      </c>
      <c r="Q585" s="2">
        <f>IFERROR(__xludf.DUMMYFUNCTION("""COMPUTED_VALUE"""),6.0)</f>
        <v>6</v>
      </c>
      <c r="R585" s="2">
        <f>IFERROR(__xludf.DUMMYFUNCTION("""COMPUTED_VALUE"""),2025.0)</f>
        <v>2025</v>
      </c>
      <c r="S585" s="2" t="str">
        <f>IFERROR(__xludf.DUMMYFUNCTION("""COMPUTED_VALUE"""),"Digizag")</f>
        <v>Digizag</v>
      </c>
      <c r="T585" s="2" t="str">
        <f>IFERROR(__xludf.DUMMYFUNCTION("""COMPUTED_VALUE"""),"Digizag")</f>
        <v>Digizag</v>
      </c>
      <c r="U585" s="5">
        <f>IFERROR(__xludf.DUMMYFUNCTION("""COMPUTED_VALUE"""),84.11164069419999)</f>
        <v>84.11164069</v>
      </c>
      <c r="V585" s="2"/>
      <c r="W585" s="2"/>
      <c r="X585" s="2"/>
      <c r="Y585" s="2"/>
      <c r="Z585" s="2"/>
    </row>
    <row r="586">
      <c r="A586" s="6">
        <f>IFERROR(__xludf.DUMMYFUNCTION("""COMPUTED_VALUE"""),45817.4930787037)</f>
        <v>45817.49308</v>
      </c>
      <c r="B586" s="2" t="str">
        <f>IFERROR(__xludf.DUMMYFUNCTION("""COMPUTED_VALUE"""),"June")</f>
        <v>June</v>
      </c>
      <c r="C586" s="3">
        <f>IFERROR(__xludf.DUMMYFUNCTION("""COMPUTED_VALUE"""),589632.0)</f>
        <v>589632</v>
      </c>
      <c r="D586" s="2" t="str">
        <f>IFERROR(__xludf.DUMMYFUNCTION("""COMPUTED_VALUE"""),"RR22")</f>
        <v>RR22</v>
      </c>
      <c r="E586" s="2" t="str">
        <f>IFERROR(__xludf.DUMMYFUNCTION("""COMPUTED_VALUE"""),"Imported from file Digizag.xlsx")</f>
        <v>Imported from file Digizag.xlsx</v>
      </c>
      <c r="F586" s="2" t="str">
        <f>IFERROR(__xludf.DUMMYFUNCTION("""COMPUTED_VALUE"""),"QGB359609")</f>
        <v>QGB359609</v>
      </c>
      <c r="G586" s="2" t="str">
        <f>IFERROR(__xludf.DUMMYFUNCTION("""COMPUTED_VALUE"""),"UAE")</f>
        <v>UAE</v>
      </c>
      <c r="H586" s="4">
        <f>IFERROR(__xludf.DUMMYFUNCTION("""COMPUTED_VALUE"""),98.0)</f>
        <v>98</v>
      </c>
      <c r="I586" s="3">
        <f>IFERROR(__xludf.DUMMYFUNCTION("""COMPUTED_VALUE"""),0.0)</f>
        <v>0</v>
      </c>
      <c r="J586" s="4">
        <f>IFERROR(__xludf.DUMMYFUNCTION("""COMPUTED_VALUE"""),9.8)</f>
        <v>9.8</v>
      </c>
      <c r="K586" s="2"/>
      <c r="L586" s="2" t="str">
        <f>IFERROR(__xludf.DUMMYFUNCTION("""COMPUTED_VALUE"""),"Processing")</f>
        <v>Processing</v>
      </c>
      <c r="M586" s="2" t="str">
        <f>IFERROR(__xludf.DUMMYFUNCTION("""COMPUTED_VALUE"""),"")</f>
        <v></v>
      </c>
      <c r="N586" s="2" t="str">
        <f>IFERROR(__xludf.DUMMYFUNCTION("""COMPUTED_VALUE"""),"Credit, Debit , Apple Pay")</f>
        <v>Credit, Debit , Apple Pay</v>
      </c>
      <c r="O586" s="4">
        <f>IFERROR(__xludf.DUMMYFUNCTION("""COMPUTED_VALUE"""),0.0)</f>
        <v>0</v>
      </c>
      <c r="P586" s="2">
        <f>IFERROR(__xludf.DUMMYFUNCTION("""COMPUTED_VALUE"""),9.0)</f>
        <v>9</v>
      </c>
      <c r="Q586" s="2">
        <f>IFERROR(__xludf.DUMMYFUNCTION("""COMPUTED_VALUE"""),6.0)</f>
        <v>6</v>
      </c>
      <c r="R586" s="2">
        <f>IFERROR(__xludf.DUMMYFUNCTION("""COMPUTED_VALUE"""),2025.0)</f>
        <v>2025</v>
      </c>
      <c r="S586" s="2" t="str">
        <f>IFERROR(__xludf.DUMMYFUNCTION("""COMPUTED_VALUE"""),"Digizag")</f>
        <v>Digizag</v>
      </c>
      <c r="T586" s="2" t="str">
        <f>IFERROR(__xludf.DUMMYFUNCTION("""COMPUTED_VALUE"""),"Digizag")</f>
        <v>Digizag</v>
      </c>
      <c r="U586" s="5">
        <f>IFERROR(__xludf.DUMMYFUNCTION("""COMPUTED_VALUE"""),26.684819644)</f>
        <v>26.68481964</v>
      </c>
      <c r="V586" s="2"/>
      <c r="W586" s="2"/>
      <c r="X586" s="2"/>
      <c r="Y586" s="2"/>
      <c r="Z586" s="2"/>
    </row>
    <row r="587">
      <c r="A587" s="6">
        <f>IFERROR(__xludf.DUMMYFUNCTION("""COMPUTED_VALUE"""),45817.644432870366)</f>
        <v>45817.64443</v>
      </c>
      <c r="B587" s="2" t="str">
        <f>IFERROR(__xludf.DUMMYFUNCTION("""COMPUTED_VALUE"""),"June")</f>
        <v>June</v>
      </c>
      <c r="C587" s="3">
        <f>IFERROR(__xludf.DUMMYFUNCTION("""COMPUTED_VALUE"""),153720.0)</f>
        <v>153720</v>
      </c>
      <c r="D587" s="2" t="str">
        <f>IFERROR(__xludf.DUMMYFUNCTION("""COMPUTED_VALUE"""),"ZM22")</f>
        <v>ZM22</v>
      </c>
      <c r="E587" s="2" t="str">
        <f>IFERROR(__xludf.DUMMYFUNCTION("""COMPUTED_VALUE"""),"Imported from file Digizag.xlsx")</f>
        <v>Imported from file Digizag.xlsx</v>
      </c>
      <c r="F587" s="2" t="str">
        <f>IFERROR(__xludf.DUMMYFUNCTION("""COMPUTED_VALUE"""),"NHQ476844")</f>
        <v>NHQ476844</v>
      </c>
      <c r="G587" s="2" t="str">
        <f>IFERROR(__xludf.DUMMYFUNCTION("""COMPUTED_VALUE"""),"UAE")</f>
        <v>UAE</v>
      </c>
      <c r="H587" s="4">
        <f>IFERROR(__xludf.DUMMYFUNCTION("""COMPUTED_VALUE"""),156.0)</f>
        <v>156</v>
      </c>
      <c r="I587" s="3">
        <f>IFERROR(__xludf.DUMMYFUNCTION("""COMPUTED_VALUE"""),0.0)</f>
        <v>0</v>
      </c>
      <c r="J587" s="4">
        <f>IFERROR(__xludf.DUMMYFUNCTION("""COMPUTED_VALUE"""),15.6)</f>
        <v>15.6</v>
      </c>
      <c r="K587" s="2"/>
      <c r="L587" s="2" t="str">
        <f>IFERROR(__xludf.DUMMYFUNCTION("""COMPUTED_VALUE"""),"Processing")</f>
        <v>Processing</v>
      </c>
      <c r="M587" s="2" t="str">
        <f>IFERROR(__xludf.DUMMYFUNCTION("""COMPUTED_VALUE"""),"")</f>
        <v></v>
      </c>
      <c r="N587" s="2" t="str">
        <f>IFERROR(__xludf.DUMMYFUNCTION("""COMPUTED_VALUE"""),"Credit, Debit , Apple Pay")</f>
        <v>Credit, Debit , Apple Pay</v>
      </c>
      <c r="O587" s="4">
        <f>IFERROR(__xludf.DUMMYFUNCTION("""COMPUTED_VALUE"""),0.0)</f>
        <v>0</v>
      </c>
      <c r="P587" s="2">
        <f>IFERROR(__xludf.DUMMYFUNCTION("""COMPUTED_VALUE"""),9.0)</f>
        <v>9</v>
      </c>
      <c r="Q587" s="2">
        <f>IFERROR(__xludf.DUMMYFUNCTION("""COMPUTED_VALUE"""),6.0)</f>
        <v>6</v>
      </c>
      <c r="R587" s="2">
        <f>IFERROR(__xludf.DUMMYFUNCTION("""COMPUTED_VALUE"""),2025.0)</f>
        <v>2025</v>
      </c>
      <c r="S587" s="2" t="str">
        <f>IFERROR(__xludf.DUMMYFUNCTION("""COMPUTED_VALUE"""),"Digizag")</f>
        <v>Digizag</v>
      </c>
      <c r="T587" s="2" t="str">
        <f>IFERROR(__xludf.DUMMYFUNCTION("""COMPUTED_VALUE"""),"Digizag")</f>
        <v>Digizag</v>
      </c>
      <c r="U587" s="5">
        <f>IFERROR(__xludf.DUMMYFUNCTION("""COMPUTED_VALUE"""),42.477876168)</f>
        <v>42.47787617</v>
      </c>
      <c r="V587" s="2"/>
      <c r="W587" s="2"/>
      <c r="X587" s="2"/>
      <c r="Y587" s="2"/>
      <c r="Z587" s="2"/>
    </row>
    <row r="588">
      <c r="A588" s="6">
        <f>IFERROR(__xludf.DUMMYFUNCTION("""COMPUTED_VALUE"""),45817.7159375)</f>
        <v>45817.71594</v>
      </c>
      <c r="B588" s="2" t="str">
        <f>IFERROR(__xludf.DUMMYFUNCTION("""COMPUTED_VALUE"""),"June")</f>
        <v>June</v>
      </c>
      <c r="C588" s="3">
        <f>IFERROR(__xludf.DUMMYFUNCTION("""COMPUTED_VALUE"""),755080.0)</f>
        <v>755080</v>
      </c>
      <c r="D588" s="2" t="str">
        <f>IFERROR(__xludf.DUMMYFUNCTION("""COMPUTED_VALUE"""),"DG3")</f>
        <v>DG3</v>
      </c>
      <c r="E588" s="2" t="str">
        <f>IFERROR(__xludf.DUMMYFUNCTION("""COMPUTED_VALUE"""),"Imported from file Digizag.xlsx")</f>
        <v>Imported from file Digizag.xlsx</v>
      </c>
      <c r="F588" s="2" t="str">
        <f>IFERROR(__xludf.DUMMYFUNCTION("""COMPUTED_VALUE"""),"ZMT997214")</f>
        <v>ZMT997214</v>
      </c>
      <c r="G588" s="2" t="str">
        <f>IFERROR(__xludf.DUMMYFUNCTION("""COMPUTED_VALUE"""),"UAE")</f>
        <v>UAE</v>
      </c>
      <c r="H588" s="4">
        <f>IFERROR(__xludf.DUMMYFUNCTION("""COMPUTED_VALUE"""),196.2)</f>
        <v>196.2</v>
      </c>
      <c r="I588" s="3">
        <f>IFERROR(__xludf.DUMMYFUNCTION("""COMPUTED_VALUE"""),0.0)</f>
        <v>0</v>
      </c>
      <c r="J588" s="4">
        <f>IFERROR(__xludf.DUMMYFUNCTION("""COMPUTED_VALUE"""),19.62)</f>
        <v>19.62</v>
      </c>
      <c r="K588" s="2"/>
      <c r="L588" s="2" t="str">
        <f>IFERROR(__xludf.DUMMYFUNCTION("""COMPUTED_VALUE"""),"Processing")</f>
        <v>Processing</v>
      </c>
      <c r="M588" s="2" t="str">
        <f>IFERROR(__xludf.DUMMYFUNCTION("""COMPUTED_VALUE"""),"")</f>
        <v></v>
      </c>
      <c r="N588" s="2" t="str">
        <f>IFERROR(__xludf.DUMMYFUNCTION("""COMPUTED_VALUE"""),"Credit, Debit , Apple Pay")</f>
        <v>Credit, Debit , Apple Pay</v>
      </c>
      <c r="O588" s="4">
        <f>IFERROR(__xludf.DUMMYFUNCTION("""COMPUTED_VALUE"""),0.0)</f>
        <v>0</v>
      </c>
      <c r="P588" s="2">
        <f>IFERROR(__xludf.DUMMYFUNCTION("""COMPUTED_VALUE"""),9.0)</f>
        <v>9</v>
      </c>
      <c r="Q588" s="2">
        <f>IFERROR(__xludf.DUMMYFUNCTION("""COMPUTED_VALUE"""),6.0)</f>
        <v>6</v>
      </c>
      <c r="R588" s="2">
        <f>IFERROR(__xludf.DUMMYFUNCTION("""COMPUTED_VALUE"""),2025.0)</f>
        <v>2025</v>
      </c>
      <c r="S588" s="2" t="str">
        <f>IFERROR(__xludf.DUMMYFUNCTION("""COMPUTED_VALUE"""),"Digizag")</f>
        <v>Digizag</v>
      </c>
      <c r="T588" s="2" t="str">
        <f>IFERROR(__xludf.DUMMYFUNCTION("""COMPUTED_VALUE"""),"Digizag")</f>
        <v>Digizag</v>
      </c>
      <c r="U588" s="5">
        <f>IFERROR(__xludf.DUMMYFUNCTION("""COMPUTED_VALUE"""),53.424098103599995)</f>
        <v>53.4240981</v>
      </c>
      <c r="V588" s="2"/>
      <c r="W588" s="2"/>
      <c r="X588" s="2"/>
      <c r="Y588" s="2"/>
      <c r="Z588" s="2"/>
    </row>
    <row r="589">
      <c r="A589" s="6">
        <f>IFERROR(__xludf.DUMMYFUNCTION("""COMPUTED_VALUE"""),45817.87008101852)</f>
        <v>45817.87008</v>
      </c>
      <c r="B589" s="2" t="str">
        <f>IFERROR(__xludf.DUMMYFUNCTION("""COMPUTED_VALUE"""),"June")</f>
        <v>June</v>
      </c>
      <c r="C589" s="3">
        <f>IFERROR(__xludf.DUMMYFUNCTION("""COMPUTED_VALUE"""),386321.0)</f>
        <v>386321</v>
      </c>
      <c r="D589" s="2" t="str">
        <f>IFERROR(__xludf.DUMMYFUNCTION("""COMPUTED_VALUE"""),"RR22")</f>
        <v>RR22</v>
      </c>
      <c r="E589" s="2" t="str">
        <f>IFERROR(__xludf.DUMMYFUNCTION("""COMPUTED_VALUE"""),"Imported from file Digizag.xlsx")</f>
        <v>Imported from file Digizag.xlsx</v>
      </c>
      <c r="F589" s="2" t="str">
        <f>IFERROR(__xludf.DUMMYFUNCTION("""COMPUTED_VALUE"""),"QUS846096")</f>
        <v>QUS846096</v>
      </c>
      <c r="G589" s="2" t="str">
        <f>IFERROR(__xludf.DUMMYFUNCTION("""COMPUTED_VALUE"""),"UAE")</f>
        <v>UAE</v>
      </c>
      <c r="H589" s="4">
        <f>IFERROR(__xludf.DUMMYFUNCTION("""COMPUTED_VALUE"""),411.0)</f>
        <v>411</v>
      </c>
      <c r="I589" s="3">
        <f>IFERROR(__xludf.DUMMYFUNCTION("""COMPUTED_VALUE"""),0.0)</f>
        <v>0</v>
      </c>
      <c r="J589" s="4">
        <f>IFERROR(__xludf.DUMMYFUNCTION("""COMPUTED_VALUE"""),41.1)</f>
        <v>41.1</v>
      </c>
      <c r="K589" s="2"/>
      <c r="L589" s="2" t="str">
        <f>IFERROR(__xludf.DUMMYFUNCTION("""COMPUTED_VALUE"""),"Processing")</f>
        <v>Processing</v>
      </c>
      <c r="M589" s="2" t="str">
        <f>IFERROR(__xludf.DUMMYFUNCTION("""COMPUTED_VALUE"""),"")</f>
        <v></v>
      </c>
      <c r="N589" s="2" t="str">
        <f>IFERROR(__xludf.DUMMYFUNCTION("""COMPUTED_VALUE"""),"Tamara: split in 3, interest-free")</f>
        <v>Tamara: split in 3, interest-free</v>
      </c>
      <c r="O589" s="4">
        <f>IFERROR(__xludf.DUMMYFUNCTION("""COMPUTED_VALUE"""),0.0)</f>
        <v>0</v>
      </c>
      <c r="P589" s="2">
        <f>IFERROR(__xludf.DUMMYFUNCTION("""COMPUTED_VALUE"""),9.0)</f>
        <v>9</v>
      </c>
      <c r="Q589" s="2">
        <f>IFERROR(__xludf.DUMMYFUNCTION("""COMPUTED_VALUE"""),6.0)</f>
        <v>6</v>
      </c>
      <c r="R589" s="2">
        <f>IFERROR(__xludf.DUMMYFUNCTION("""COMPUTED_VALUE"""),2025.0)</f>
        <v>2025</v>
      </c>
      <c r="S589" s="2" t="str">
        <f>IFERROR(__xludf.DUMMYFUNCTION("""COMPUTED_VALUE"""),"Digizag")</f>
        <v>Digizag</v>
      </c>
      <c r="T589" s="2" t="str">
        <f>IFERROR(__xludf.DUMMYFUNCTION("""COMPUTED_VALUE"""),"Digizag")</f>
        <v>Digizag</v>
      </c>
      <c r="U589" s="5">
        <f>IFERROR(__xludf.DUMMYFUNCTION("""COMPUTED_VALUE"""),111.91286605799999)</f>
        <v>111.9128661</v>
      </c>
      <c r="V589" s="2"/>
      <c r="W589" s="2"/>
      <c r="X589" s="2"/>
      <c r="Y589" s="2"/>
      <c r="Z589" s="2"/>
    </row>
    <row r="590">
      <c r="A590" s="6">
        <f>IFERROR(__xludf.DUMMYFUNCTION("""COMPUTED_VALUE"""),45817.926875)</f>
        <v>45817.92688</v>
      </c>
      <c r="B590" s="2" t="str">
        <f>IFERROR(__xludf.DUMMYFUNCTION("""COMPUTED_VALUE"""),"June")</f>
        <v>June</v>
      </c>
      <c r="C590" s="3">
        <f>IFERROR(__xludf.DUMMYFUNCTION("""COMPUTED_VALUE"""),754494.0)</f>
        <v>754494</v>
      </c>
      <c r="D590" s="2" t="str">
        <f>IFERROR(__xludf.DUMMYFUNCTION("""COMPUTED_VALUE"""),"DB1")</f>
        <v>DB1</v>
      </c>
      <c r="E590" s="2" t="str">
        <f>IFERROR(__xludf.DUMMYFUNCTION("""COMPUTED_VALUE"""),"Imported from file Digizag.xlsx")</f>
        <v>Imported from file Digizag.xlsx</v>
      </c>
      <c r="F590" s="2" t="str">
        <f>IFERROR(__xludf.DUMMYFUNCTION("""COMPUTED_VALUE"""),"TPS755125")</f>
        <v>TPS755125</v>
      </c>
      <c r="G590" s="2" t="str">
        <f>IFERROR(__xludf.DUMMYFUNCTION("""COMPUTED_VALUE"""),"Kingdom of Saudi Arabia")</f>
        <v>Kingdom of Saudi Arabia</v>
      </c>
      <c r="H590" s="4">
        <f>IFERROR(__xludf.DUMMYFUNCTION("""COMPUTED_VALUE"""),210.48)</f>
        <v>210.48</v>
      </c>
      <c r="I590" s="3">
        <f>IFERROR(__xludf.DUMMYFUNCTION("""COMPUTED_VALUE"""),0.0)</f>
        <v>0</v>
      </c>
      <c r="J590" s="4">
        <f>IFERROR(__xludf.DUMMYFUNCTION("""COMPUTED_VALUE"""),30.0)</f>
        <v>30</v>
      </c>
      <c r="K590" s="2"/>
      <c r="L590" s="2" t="str">
        <f>IFERROR(__xludf.DUMMYFUNCTION("""COMPUTED_VALUE"""),"Processing")</f>
        <v>Processing</v>
      </c>
      <c r="M590" s="2" t="str">
        <f>IFERROR(__xludf.DUMMYFUNCTION("""COMPUTED_VALUE"""),"")</f>
        <v></v>
      </c>
      <c r="N590" s="2" t="str">
        <f>IFERROR(__xludf.DUMMYFUNCTION("""COMPUTED_VALUE"""),"Credit, Debit, Apple Pay")</f>
        <v>Credit, Debit, Apple Pay</v>
      </c>
      <c r="O590" s="4">
        <f>IFERROR(__xludf.DUMMYFUNCTION("""COMPUTED_VALUE"""),0.0)</f>
        <v>0</v>
      </c>
      <c r="P590" s="2">
        <f>IFERROR(__xludf.DUMMYFUNCTION("""COMPUTED_VALUE"""),9.0)</f>
        <v>9</v>
      </c>
      <c r="Q590" s="2">
        <f>IFERROR(__xludf.DUMMYFUNCTION("""COMPUTED_VALUE"""),6.0)</f>
        <v>6</v>
      </c>
      <c r="R590" s="2">
        <f>IFERROR(__xludf.DUMMYFUNCTION("""COMPUTED_VALUE"""),2025.0)</f>
        <v>2025</v>
      </c>
      <c r="S590" s="2" t="str">
        <f>IFERROR(__xludf.DUMMYFUNCTION("""COMPUTED_VALUE"""),"Digizag")</f>
        <v>Digizag</v>
      </c>
      <c r="T590" s="2" t="str">
        <f>IFERROR(__xludf.DUMMYFUNCTION("""COMPUTED_VALUE"""),"Digizag")</f>
        <v>Digizag</v>
      </c>
      <c r="U590" s="5">
        <f>IFERROR(__xludf.DUMMYFUNCTION("""COMPUTED_VALUE"""),56.12365976208)</f>
        <v>56.12365976</v>
      </c>
      <c r="V590" s="2"/>
      <c r="W590" s="2"/>
      <c r="X590" s="2"/>
      <c r="Y590" s="2"/>
      <c r="Z590" s="2"/>
    </row>
    <row r="591">
      <c r="A591" s="6">
        <f>IFERROR(__xludf.DUMMYFUNCTION("""COMPUTED_VALUE"""),45818.36452546296)</f>
        <v>45818.36453</v>
      </c>
      <c r="B591" s="2" t="str">
        <f>IFERROR(__xludf.DUMMYFUNCTION("""COMPUTED_VALUE"""),"June")</f>
        <v>June</v>
      </c>
      <c r="C591" s="3">
        <f>IFERROR(__xludf.DUMMYFUNCTION("""COMPUTED_VALUE"""),109176.0)</f>
        <v>109176</v>
      </c>
      <c r="D591" s="2" t="str">
        <f>IFERROR(__xludf.DUMMYFUNCTION("""COMPUTED_VALUE"""),"ZM22")</f>
        <v>ZM22</v>
      </c>
      <c r="E591" s="2" t="str">
        <f>IFERROR(__xludf.DUMMYFUNCTION("""COMPUTED_VALUE"""),"Imported from file Digizag.xlsx")</f>
        <v>Imported from file Digizag.xlsx</v>
      </c>
      <c r="F591" s="2" t="str">
        <f>IFERROR(__xludf.DUMMYFUNCTION("""COMPUTED_VALUE"""),"VCH485607")</f>
        <v>VCH485607</v>
      </c>
      <c r="G591" s="2" t="str">
        <f>IFERROR(__xludf.DUMMYFUNCTION("""COMPUTED_VALUE"""),"Kingdom of Saudi Arabia")</f>
        <v>Kingdom of Saudi Arabia</v>
      </c>
      <c r="H591" s="4">
        <f>IFERROR(__xludf.DUMMYFUNCTION("""COMPUTED_VALUE"""),134.0)</f>
        <v>134</v>
      </c>
      <c r="I591" s="3">
        <f>IFERROR(__xludf.DUMMYFUNCTION("""COMPUTED_VALUE"""),0.0)</f>
        <v>0</v>
      </c>
      <c r="J591" s="4">
        <f>IFERROR(__xludf.DUMMYFUNCTION("""COMPUTED_VALUE"""),30.0)</f>
        <v>30</v>
      </c>
      <c r="K591" s="2"/>
      <c r="L591" s="2" t="str">
        <f>IFERROR(__xludf.DUMMYFUNCTION("""COMPUTED_VALUE"""),"Delivered")</f>
        <v>Delivered</v>
      </c>
      <c r="M591" s="2" t="str">
        <f>IFERROR(__xludf.DUMMYFUNCTION("""COMPUTED_VALUE"""),"")</f>
        <v></v>
      </c>
      <c r="N591" s="2" t="str">
        <f>IFERROR(__xludf.DUMMYFUNCTION("""COMPUTED_VALUE"""),"Credit, Debit, Apple Pay")</f>
        <v>Credit, Debit, Apple Pay</v>
      </c>
      <c r="O591" s="4">
        <f>IFERROR(__xludf.DUMMYFUNCTION("""COMPUTED_VALUE"""),0.0)</f>
        <v>0</v>
      </c>
      <c r="P591" s="2">
        <f>IFERROR(__xludf.DUMMYFUNCTION("""COMPUTED_VALUE"""),10.0)</f>
        <v>10</v>
      </c>
      <c r="Q591" s="2">
        <f>IFERROR(__xludf.DUMMYFUNCTION("""COMPUTED_VALUE"""),6.0)</f>
        <v>6</v>
      </c>
      <c r="R591" s="2">
        <f>IFERROR(__xludf.DUMMYFUNCTION("""COMPUTED_VALUE"""),2025.0)</f>
        <v>2025</v>
      </c>
      <c r="S591" s="2" t="str">
        <f>IFERROR(__xludf.DUMMYFUNCTION("""COMPUTED_VALUE"""),"Digizag")</f>
        <v>Digizag</v>
      </c>
      <c r="T591" s="2" t="str">
        <f>IFERROR(__xludf.DUMMYFUNCTION("""COMPUTED_VALUE"""),"Digizag")</f>
        <v>Digizag</v>
      </c>
      <c r="U591" s="5">
        <f>IFERROR(__xludf.DUMMYFUNCTION("""COMPUTED_VALUE"""),35.73057016400001)</f>
        <v>35.73057016</v>
      </c>
      <c r="V591" s="2"/>
      <c r="W591" s="2"/>
      <c r="X591" s="2"/>
      <c r="Y591" s="2"/>
      <c r="Z591" s="2"/>
    </row>
    <row r="592">
      <c r="A592" s="6">
        <f>IFERROR(__xludf.DUMMYFUNCTION("""COMPUTED_VALUE"""),45818.38791666667)</f>
        <v>45818.38792</v>
      </c>
      <c r="B592" s="2" t="str">
        <f>IFERROR(__xludf.DUMMYFUNCTION("""COMPUTED_VALUE"""),"June")</f>
        <v>June</v>
      </c>
      <c r="C592" s="3">
        <f>IFERROR(__xludf.DUMMYFUNCTION("""COMPUTED_VALUE"""),597756.0)</f>
        <v>597756</v>
      </c>
      <c r="D592" s="2" t="str">
        <f>IFERROR(__xludf.DUMMYFUNCTION("""COMPUTED_VALUE"""),"DB1")</f>
        <v>DB1</v>
      </c>
      <c r="E592" s="2" t="str">
        <f>IFERROR(__xludf.DUMMYFUNCTION("""COMPUTED_VALUE"""),"Imported from file Digizag.xlsx")</f>
        <v>Imported from file Digizag.xlsx</v>
      </c>
      <c r="F592" s="2" t="str">
        <f>IFERROR(__xludf.DUMMYFUNCTION("""COMPUTED_VALUE"""),"BCY945469")</f>
        <v>BCY945469</v>
      </c>
      <c r="G592" s="2" t="str">
        <f>IFERROR(__xludf.DUMMYFUNCTION("""COMPUTED_VALUE"""),"Bahrain")</f>
        <v>Bahrain</v>
      </c>
      <c r="H592" s="4">
        <f>IFERROR(__xludf.DUMMYFUNCTION("""COMPUTED_VALUE"""),13.53)</f>
        <v>13.53</v>
      </c>
      <c r="I592" s="3">
        <f>IFERROR(__xludf.DUMMYFUNCTION("""COMPUTED_VALUE"""),0.0)</f>
        <v>0</v>
      </c>
      <c r="J592" s="4">
        <f>IFERROR(__xludf.DUMMYFUNCTION("""COMPUTED_VALUE"""),1.35)</f>
        <v>1.35</v>
      </c>
      <c r="K592" s="2"/>
      <c r="L592" s="2" t="str">
        <f>IFERROR(__xludf.DUMMYFUNCTION("""COMPUTED_VALUE"""),"Delivered")</f>
        <v>Delivered</v>
      </c>
      <c r="M592" s="2" t="str">
        <f>IFERROR(__xludf.DUMMYFUNCTION("""COMPUTED_VALUE"""),"BHD")</f>
        <v>BHD</v>
      </c>
      <c r="N592" s="2" t="str">
        <f>IFERROR(__xludf.DUMMYFUNCTION("""COMPUTED_VALUE"""),"Credit, Debit")</f>
        <v>Credit, Debit</v>
      </c>
      <c r="O592" s="4">
        <f>IFERROR(__xludf.DUMMYFUNCTION("""COMPUTED_VALUE"""),0.0)</f>
        <v>0</v>
      </c>
      <c r="P592" s="2">
        <f>IFERROR(__xludf.DUMMYFUNCTION("""COMPUTED_VALUE"""),10.0)</f>
        <v>10</v>
      </c>
      <c r="Q592" s="2">
        <f>IFERROR(__xludf.DUMMYFUNCTION("""COMPUTED_VALUE"""),6.0)</f>
        <v>6</v>
      </c>
      <c r="R592" s="2">
        <f>IFERROR(__xludf.DUMMYFUNCTION("""COMPUTED_VALUE"""),2025.0)</f>
        <v>2025</v>
      </c>
      <c r="S592" s="2" t="str">
        <f>IFERROR(__xludf.DUMMYFUNCTION("""COMPUTED_VALUE"""),"Digizag")</f>
        <v>Digizag</v>
      </c>
      <c r="T592" s="2" t="str">
        <f>IFERROR(__xludf.DUMMYFUNCTION("""COMPUTED_VALUE"""),"Digizag")</f>
        <v>Digizag</v>
      </c>
      <c r="U592" s="5">
        <f>IFERROR(__xludf.DUMMYFUNCTION("""COMPUTED_VALUE"""),35.89396701)</f>
        <v>35.89396701</v>
      </c>
      <c r="V592" s="2"/>
      <c r="W592" s="2"/>
      <c r="X592" s="2"/>
      <c r="Y592" s="2"/>
      <c r="Z592" s="2"/>
    </row>
    <row r="593">
      <c r="A593" s="6">
        <f>IFERROR(__xludf.DUMMYFUNCTION("""COMPUTED_VALUE"""),45818.710381944446)</f>
        <v>45818.71038</v>
      </c>
      <c r="B593" s="2" t="str">
        <f>IFERROR(__xludf.DUMMYFUNCTION("""COMPUTED_VALUE"""),"June")</f>
        <v>June</v>
      </c>
      <c r="C593" s="3">
        <f>IFERROR(__xludf.DUMMYFUNCTION("""COMPUTED_VALUE"""),305250.0)</f>
        <v>305250</v>
      </c>
      <c r="D593" s="2" t="str">
        <f>IFERROR(__xludf.DUMMYFUNCTION("""COMPUTED_VALUE"""),"MNN16")</f>
        <v>MNN16</v>
      </c>
      <c r="E593" s="2" t="str">
        <f>IFERROR(__xludf.DUMMYFUNCTION("""COMPUTED_VALUE"""),"Imported from file DigiZag Bidding Codes.xlsx")</f>
        <v>Imported from file DigiZag Bidding Codes.xlsx</v>
      </c>
      <c r="F593" s="2" t="str">
        <f>IFERROR(__xludf.DUMMYFUNCTION("""COMPUTED_VALUE"""),"KBU876514")</f>
        <v>KBU876514</v>
      </c>
      <c r="G593" s="2" t="str">
        <f>IFERROR(__xludf.DUMMYFUNCTION("""COMPUTED_VALUE"""),"Kingdom of Saudi Arabia")</f>
        <v>Kingdom of Saudi Arabia</v>
      </c>
      <c r="H593" s="4">
        <f>IFERROR(__xludf.DUMMYFUNCTION("""COMPUTED_VALUE"""),143.91)</f>
        <v>143.91</v>
      </c>
      <c r="I593" s="3">
        <f>IFERROR(__xludf.DUMMYFUNCTION("""COMPUTED_VALUE"""),0.0)</f>
        <v>0</v>
      </c>
      <c r="J593" s="4">
        <f>IFERROR(__xludf.DUMMYFUNCTION("""COMPUTED_VALUE"""),30.0)</f>
        <v>30</v>
      </c>
      <c r="K593" s="2"/>
      <c r="L593" s="2" t="str">
        <f>IFERROR(__xludf.DUMMYFUNCTION("""COMPUTED_VALUE"""),"Processing")</f>
        <v>Processing</v>
      </c>
      <c r="M593" s="2" t="str">
        <f>IFERROR(__xludf.DUMMYFUNCTION("""COMPUTED_VALUE"""),"")</f>
        <v></v>
      </c>
      <c r="N593" s="2" t="str">
        <f>IFERROR(__xludf.DUMMYFUNCTION("""COMPUTED_VALUE"""),"Credit, Debit, Apple Pay")</f>
        <v>Credit, Debit, Apple Pay</v>
      </c>
      <c r="O593" s="4">
        <f>IFERROR(__xludf.DUMMYFUNCTION("""COMPUTED_VALUE"""),0.0)</f>
        <v>0</v>
      </c>
      <c r="P593" s="2">
        <f>IFERROR(__xludf.DUMMYFUNCTION("""COMPUTED_VALUE"""),10.0)</f>
        <v>10</v>
      </c>
      <c r="Q593" s="2">
        <f>IFERROR(__xludf.DUMMYFUNCTION("""COMPUTED_VALUE"""),6.0)</f>
        <v>6</v>
      </c>
      <c r="R593" s="2">
        <f>IFERROR(__xludf.DUMMYFUNCTION("""COMPUTED_VALUE"""),2025.0)</f>
        <v>2025</v>
      </c>
      <c r="S593" s="2" t="str">
        <f>IFERROR(__xludf.DUMMYFUNCTION("""COMPUTED_VALUE"""),"Digizag")</f>
        <v>Digizag</v>
      </c>
      <c r="T593" s="2" t="str">
        <f>IFERROR(__xludf.DUMMYFUNCTION("""COMPUTED_VALUE"""),"Digizag")</f>
        <v>Digizag</v>
      </c>
      <c r="U593" s="5">
        <f>IFERROR(__xludf.DUMMYFUNCTION("""COMPUTED_VALUE"""),38.37303247986)</f>
        <v>38.37303248</v>
      </c>
      <c r="V593" s="2"/>
      <c r="W593" s="2"/>
      <c r="X593" s="2"/>
      <c r="Y593" s="2"/>
      <c r="Z593" s="2"/>
    </row>
    <row r="594">
      <c r="A594" s="6">
        <f>IFERROR(__xludf.DUMMYFUNCTION("""COMPUTED_VALUE"""),45819.330243055556)</f>
        <v>45819.33024</v>
      </c>
      <c r="B594" s="2" t="str">
        <f>IFERROR(__xludf.DUMMYFUNCTION("""COMPUTED_VALUE"""),"June")</f>
        <v>June</v>
      </c>
      <c r="C594" s="3">
        <f>IFERROR(__xludf.DUMMYFUNCTION("""COMPUTED_VALUE"""),296377.0)</f>
        <v>296377</v>
      </c>
      <c r="D594" s="2" t="str">
        <f>IFERROR(__xludf.DUMMYFUNCTION("""COMPUTED_VALUE"""),"ZM22")</f>
        <v>ZM22</v>
      </c>
      <c r="E594" s="2" t="str">
        <f>IFERROR(__xludf.DUMMYFUNCTION("""COMPUTED_VALUE"""),"Imported from file Digizag.xlsx")</f>
        <v>Imported from file Digizag.xlsx</v>
      </c>
      <c r="F594" s="2" t="str">
        <f>IFERROR(__xludf.DUMMYFUNCTION("""COMPUTED_VALUE"""),"PPK942209")</f>
        <v>PPK942209</v>
      </c>
      <c r="G594" s="2" t="str">
        <f>IFERROR(__xludf.DUMMYFUNCTION("""COMPUTED_VALUE"""),"Kuwait")</f>
        <v>Kuwait</v>
      </c>
      <c r="H594" s="4">
        <f>IFERROR(__xludf.DUMMYFUNCTION("""COMPUTED_VALUE"""),4.9)</f>
        <v>4.9</v>
      </c>
      <c r="I594" s="3">
        <f>IFERROR(__xludf.DUMMYFUNCTION("""COMPUTED_VALUE"""),0.0)</f>
        <v>0</v>
      </c>
      <c r="J594" s="4">
        <f>IFERROR(__xludf.DUMMYFUNCTION("""COMPUTED_VALUE"""),0.49)</f>
        <v>0.49</v>
      </c>
      <c r="K594" s="2"/>
      <c r="L594" s="2" t="str">
        <f>IFERROR(__xludf.DUMMYFUNCTION("""COMPUTED_VALUE"""),"Delivered")</f>
        <v>Delivered</v>
      </c>
      <c r="M594" s="2" t="str">
        <f>IFERROR(__xludf.DUMMYFUNCTION("""COMPUTED_VALUE"""),"KD")</f>
        <v>KD</v>
      </c>
      <c r="N594" s="2" t="str">
        <f>IFERROR(__xludf.DUMMYFUNCTION("""COMPUTED_VALUE"""),"Credit, Debit, Knet")</f>
        <v>Credit, Debit, Knet</v>
      </c>
      <c r="O594" s="4">
        <f>IFERROR(__xludf.DUMMYFUNCTION("""COMPUTED_VALUE"""),0.0)</f>
        <v>0</v>
      </c>
      <c r="P594" s="2">
        <f>IFERROR(__xludf.DUMMYFUNCTION("""COMPUTED_VALUE"""),11.0)</f>
        <v>11</v>
      </c>
      <c r="Q594" s="2">
        <f>IFERROR(__xludf.DUMMYFUNCTION("""COMPUTED_VALUE"""),6.0)</f>
        <v>6</v>
      </c>
      <c r="R594" s="2">
        <f>IFERROR(__xludf.DUMMYFUNCTION("""COMPUTED_VALUE"""),2025.0)</f>
        <v>2025</v>
      </c>
      <c r="S594" s="2" t="str">
        <f>IFERROR(__xludf.DUMMYFUNCTION("""COMPUTED_VALUE"""),"Digizag")</f>
        <v>Digizag</v>
      </c>
      <c r="T594" s="2" t="str">
        <f>IFERROR(__xludf.DUMMYFUNCTION("""COMPUTED_VALUE"""),"Digizag")</f>
        <v>Digizag</v>
      </c>
      <c r="U594" s="5">
        <f>IFERROR(__xludf.DUMMYFUNCTION("""COMPUTED_VALUE"""),15.977038)</f>
        <v>15.977038</v>
      </c>
      <c r="V594" s="2"/>
      <c r="W594" s="2"/>
      <c r="X594" s="2"/>
      <c r="Y594" s="2"/>
      <c r="Z594" s="2"/>
    </row>
    <row r="595">
      <c r="A595" s="6">
        <f>IFERROR(__xludf.DUMMYFUNCTION("""COMPUTED_VALUE"""),45819.35347222222)</f>
        <v>45819.35347</v>
      </c>
      <c r="B595" s="2" t="str">
        <f>IFERROR(__xludf.DUMMYFUNCTION("""COMPUTED_VALUE"""),"June")</f>
        <v>June</v>
      </c>
      <c r="C595" s="3">
        <f>IFERROR(__xludf.DUMMYFUNCTION("""COMPUTED_VALUE"""),755844.0)</f>
        <v>755844</v>
      </c>
      <c r="D595" s="2" t="str">
        <f>IFERROR(__xludf.DUMMYFUNCTION("""COMPUTED_VALUE"""),"ZM22")</f>
        <v>ZM22</v>
      </c>
      <c r="E595" s="2" t="str">
        <f>IFERROR(__xludf.DUMMYFUNCTION("""COMPUTED_VALUE"""),"Imported from file Digizag.xlsx")</f>
        <v>Imported from file Digizag.xlsx</v>
      </c>
      <c r="F595" s="2" t="str">
        <f>IFERROR(__xludf.DUMMYFUNCTION("""COMPUTED_VALUE"""),"NST469847")</f>
        <v>NST469847</v>
      </c>
      <c r="G595" s="2" t="str">
        <f>IFERROR(__xludf.DUMMYFUNCTION("""COMPUTED_VALUE"""),"UAE")</f>
        <v>UAE</v>
      </c>
      <c r="H595" s="4">
        <f>IFERROR(__xludf.DUMMYFUNCTION("""COMPUTED_VALUE"""),130.85)</f>
        <v>130.85</v>
      </c>
      <c r="I595" s="3">
        <f>IFERROR(__xludf.DUMMYFUNCTION("""COMPUTED_VALUE"""),0.0)</f>
        <v>0</v>
      </c>
      <c r="J595" s="4">
        <f>IFERROR(__xludf.DUMMYFUNCTION("""COMPUTED_VALUE"""),13.08)</f>
        <v>13.08</v>
      </c>
      <c r="K595" s="2"/>
      <c r="L595" s="2" t="str">
        <f>IFERROR(__xludf.DUMMYFUNCTION("""COMPUTED_VALUE"""),"Delivered")</f>
        <v>Delivered</v>
      </c>
      <c r="M595" s="2" t="str">
        <f>IFERROR(__xludf.DUMMYFUNCTION("""COMPUTED_VALUE"""),"")</f>
        <v></v>
      </c>
      <c r="N595" s="2" t="str">
        <f>IFERROR(__xludf.DUMMYFUNCTION("""COMPUTED_VALUE"""),"Credit, Debit , Apple Pay")</f>
        <v>Credit, Debit , Apple Pay</v>
      </c>
      <c r="O595" s="4">
        <f>IFERROR(__xludf.DUMMYFUNCTION("""COMPUTED_VALUE"""),0.0)</f>
        <v>0</v>
      </c>
      <c r="P595" s="2">
        <f>IFERROR(__xludf.DUMMYFUNCTION("""COMPUTED_VALUE"""),11.0)</f>
        <v>11</v>
      </c>
      <c r="Q595" s="2">
        <f>IFERROR(__xludf.DUMMYFUNCTION("""COMPUTED_VALUE"""),6.0)</f>
        <v>6</v>
      </c>
      <c r="R595" s="2">
        <f>IFERROR(__xludf.DUMMYFUNCTION("""COMPUTED_VALUE"""),2025.0)</f>
        <v>2025</v>
      </c>
      <c r="S595" s="2" t="str">
        <f>IFERROR(__xludf.DUMMYFUNCTION("""COMPUTED_VALUE"""),"Digizag")</f>
        <v>Digizag</v>
      </c>
      <c r="T595" s="2" t="str">
        <f>IFERROR(__xludf.DUMMYFUNCTION("""COMPUTED_VALUE"""),"Digizag")</f>
        <v>Digizag</v>
      </c>
      <c r="U595" s="5">
        <f>IFERROR(__xludf.DUMMYFUNCTION("""COMPUTED_VALUE"""),35.6296801063)</f>
        <v>35.62968011</v>
      </c>
      <c r="V595" s="2"/>
      <c r="W595" s="2"/>
      <c r="X595" s="2"/>
      <c r="Y595" s="2"/>
      <c r="Z595" s="2"/>
    </row>
    <row r="596">
      <c r="A596" s="6">
        <f>IFERROR(__xludf.DUMMYFUNCTION("""COMPUTED_VALUE"""),45819.432604166665)</f>
        <v>45819.4326</v>
      </c>
      <c r="B596" s="2" t="str">
        <f>IFERROR(__xludf.DUMMYFUNCTION("""COMPUTED_VALUE"""),"June")</f>
        <v>June</v>
      </c>
      <c r="C596" s="3">
        <f>IFERROR(__xludf.DUMMYFUNCTION("""COMPUTED_VALUE"""),66697.0)</f>
        <v>66697</v>
      </c>
      <c r="D596" s="2" t="str">
        <f>IFERROR(__xludf.DUMMYFUNCTION("""COMPUTED_VALUE"""),"ZM22")</f>
        <v>ZM22</v>
      </c>
      <c r="E596" s="2" t="str">
        <f>IFERROR(__xludf.DUMMYFUNCTION("""COMPUTED_VALUE"""),"Imported from file Digizag.xlsx")</f>
        <v>Imported from file Digizag.xlsx</v>
      </c>
      <c r="F596" s="2" t="str">
        <f>IFERROR(__xludf.DUMMYFUNCTION("""COMPUTED_VALUE"""),"YVX204871")</f>
        <v>YVX204871</v>
      </c>
      <c r="G596" s="2" t="str">
        <f>IFERROR(__xludf.DUMMYFUNCTION("""COMPUTED_VALUE"""),"UAE")</f>
        <v>UAE</v>
      </c>
      <c r="H596" s="4">
        <f>IFERROR(__xludf.DUMMYFUNCTION("""COMPUTED_VALUE"""),386.0)</f>
        <v>386</v>
      </c>
      <c r="I596" s="3">
        <f>IFERROR(__xludf.DUMMYFUNCTION("""COMPUTED_VALUE"""),0.0)</f>
        <v>0</v>
      </c>
      <c r="J596" s="4">
        <f>IFERROR(__xludf.DUMMYFUNCTION("""COMPUTED_VALUE"""),38.6)</f>
        <v>38.6</v>
      </c>
      <c r="K596" s="2"/>
      <c r="L596" s="2" t="str">
        <f>IFERROR(__xludf.DUMMYFUNCTION("""COMPUTED_VALUE"""),"Delivered")</f>
        <v>Delivered</v>
      </c>
      <c r="M596" s="2" t="str">
        <f>IFERROR(__xludf.DUMMYFUNCTION("""COMPUTED_VALUE"""),"")</f>
        <v></v>
      </c>
      <c r="N596" s="2" t="str">
        <f>IFERROR(__xludf.DUMMYFUNCTION("""COMPUTED_VALUE"""),"Credit, Debit , Apple Pay")</f>
        <v>Credit, Debit , Apple Pay</v>
      </c>
      <c r="O596" s="4">
        <f>IFERROR(__xludf.DUMMYFUNCTION("""COMPUTED_VALUE"""),0.0)</f>
        <v>0</v>
      </c>
      <c r="P596" s="2">
        <f>IFERROR(__xludf.DUMMYFUNCTION("""COMPUTED_VALUE"""),11.0)</f>
        <v>11</v>
      </c>
      <c r="Q596" s="2">
        <f>IFERROR(__xludf.DUMMYFUNCTION("""COMPUTED_VALUE"""),6.0)</f>
        <v>6</v>
      </c>
      <c r="R596" s="2">
        <f>IFERROR(__xludf.DUMMYFUNCTION("""COMPUTED_VALUE"""),2025.0)</f>
        <v>2025</v>
      </c>
      <c r="S596" s="2" t="str">
        <f>IFERROR(__xludf.DUMMYFUNCTION("""COMPUTED_VALUE"""),"Digizag")</f>
        <v>Digizag</v>
      </c>
      <c r="T596" s="2" t="str">
        <f>IFERROR(__xludf.DUMMYFUNCTION("""COMPUTED_VALUE"""),"Digizag")</f>
        <v>Digizag</v>
      </c>
      <c r="U596" s="5">
        <f>IFERROR(__xludf.DUMMYFUNCTION("""COMPUTED_VALUE"""),105.105514108)</f>
        <v>105.1055141</v>
      </c>
      <c r="V596" s="2"/>
      <c r="W596" s="2"/>
      <c r="X596" s="2"/>
      <c r="Y596" s="2"/>
      <c r="Z596" s="2"/>
    </row>
    <row r="597">
      <c r="A597" s="6">
        <f>IFERROR(__xludf.DUMMYFUNCTION("""COMPUTED_VALUE"""),45819.56704861111)</f>
        <v>45819.56705</v>
      </c>
      <c r="B597" s="2" t="str">
        <f>IFERROR(__xludf.DUMMYFUNCTION("""COMPUTED_VALUE"""),"June")</f>
        <v>June</v>
      </c>
      <c r="C597" s="3">
        <f>IFERROR(__xludf.DUMMYFUNCTION("""COMPUTED_VALUE"""),755987.0)</f>
        <v>755987</v>
      </c>
      <c r="D597" s="2" t="str">
        <f>IFERROR(__xludf.DUMMYFUNCTION("""COMPUTED_VALUE"""),"ZM22")</f>
        <v>ZM22</v>
      </c>
      <c r="E597" s="2" t="str">
        <f>IFERROR(__xludf.DUMMYFUNCTION("""COMPUTED_VALUE"""),"Imported from file Digizag.xlsx")</f>
        <v>Imported from file Digizag.xlsx</v>
      </c>
      <c r="F597" s="2" t="str">
        <f>IFERROR(__xludf.DUMMYFUNCTION("""COMPUTED_VALUE"""),"DDT622929")</f>
        <v>DDT622929</v>
      </c>
      <c r="G597" s="2" t="str">
        <f>IFERROR(__xludf.DUMMYFUNCTION("""COMPUTED_VALUE"""),"UAE")</f>
        <v>UAE</v>
      </c>
      <c r="H597" s="4">
        <f>IFERROR(__xludf.DUMMYFUNCTION("""COMPUTED_VALUE"""),59.0)</f>
        <v>59</v>
      </c>
      <c r="I597" s="3">
        <f>IFERROR(__xludf.DUMMYFUNCTION("""COMPUTED_VALUE"""),0.0)</f>
        <v>0</v>
      </c>
      <c r="J597" s="4">
        <f>IFERROR(__xludf.DUMMYFUNCTION("""COMPUTED_VALUE"""),5.9)</f>
        <v>5.9</v>
      </c>
      <c r="K597" s="2"/>
      <c r="L597" s="2" t="str">
        <f>IFERROR(__xludf.DUMMYFUNCTION("""COMPUTED_VALUE"""),"Processing")</f>
        <v>Processing</v>
      </c>
      <c r="M597" s="2" t="str">
        <f>IFERROR(__xludf.DUMMYFUNCTION("""COMPUTED_VALUE"""),"")</f>
        <v></v>
      </c>
      <c r="N597" s="2" t="str">
        <f>IFERROR(__xludf.DUMMYFUNCTION("""COMPUTED_VALUE"""),"Cash")</f>
        <v>Cash</v>
      </c>
      <c r="O597" s="4">
        <f>IFERROR(__xludf.DUMMYFUNCTION("""COMPUTED_VALUE"""),0.0)</f>
        <v>0</v>
      </c>
      <c r="P597" s="2">
        <f>IFERROR(__xludf.DUMMYFUNCTION("""COMPUTED_VALUE"""),11.0)</f>
        <v>11</v>
      </c>
      <c r="Q597" s="2">
        <f>IFERROR(__xludf.DUMMYFUNCTION("""COMPUTED_VALUE"""),6.0)</f>
        <v>6</v>
      </c>
      <c r="R597" s="2">
        <f>IFERROR(__xludf.DUMMYFUNCTION("""COMPUTED_VALUE"""),2025.0)</f>
        <v>2025</v>
      </c>
      <c r="S597" s="2" t="str">
        <f>IFERROR(__xludf.DUMMYFUNCTION("""COMPUTED_VALUE"""),"Digizag")</f>
        <v>Digizag</v>
      </c>
      <c r="T597" s="2" t="str">
        <f>IFERROR(__xludf.DUMMYFUNCTION("""COMPUTED_VALUE"""),"Digizag")</f>
        <v>Digizag</v>
      </c>
      <c r="U597" s="5">
        <f>IFERROR(__xludf.DUMMYFUNCTION("""COMPUTED_VALUE"""),16.065350602)</f>
        <v>16.0653506</v>
      </c>
      <c r="V597" s="2"/>
      <c r="W597" s="2"/>
      <c r="X597" s="2"/>
      <c r="Y597" s="2"/>
      <c r="Z597" s="2"/>
    </row>
    <row r="598">
      <c r="A598" s="6">
        <f>IFERROR(__xludf.DUMMYFUNCTION("""COMPUTED_VALUE"""),45819.73611111111)</f>
        <v>45819.73611</v>
      </c>
      <c r="B598" s="2" t="str">
        <f>IFERROR(__xludf.DUMMYFUNCTION("""COMPUTED_VALUE"""),"June")</f>
        <v>June</v>
      </c>
      <c r="C598" s="3">
        <f>IFERROR(__xludf.DUMMYFUNCTION("""COMPUTED_VALUE"""),756144.0)</f>
        <v>756144</v>
      </c>
      <c r="D598" s="2" t="str">
        <f>IFERROR(__xludf.DUMMYFUNCTION("""COMPUTED_VALUE"""),"DB33")</f>
        <v>DB33</v>
      </c>
      <c r="E598" s="2" t="str">
        <f>IFERROR(__xludf.DUMMYFUNCTION("""COMPUTED_VALUE"""),"Imported from file Digizag.xlsx")</f>
        <v>Imported from file Digizag.xlsx</v>
      </c>
      <c r="F598" s="2" t="str">
        <f>IFERROR(__xludf.DUMMYFUNCTION("""COMPUTED_VALUE"""),"JXK424004")</f>
        <v>JXK424004</v>
      </c>
      <c r="G598" s="2" t="str">
        <f>IFERROR(__xludf.DUMMYFUNCTION("""COMPUTED_VALUE"""),"Kuwait")</f>
        <v>Kuwait</v>
      </c>
      <c r="H598" s="4">
        <f>IFERROR(__xludf.DUMMYFUNCTION("""COMPUTED_VALUE"""),22.45)</f>
        <v>22.45</v>
      </c>
      <c r="I598" s="3">
        <f>IFERROR(__xludf.DUMMYFUNCTION("""COMPUTED_VALUE"""),0.0)</f>
        <v>0</v>
      </c>
      <c r="J598" s="4">
        <f>IFERROR(__xludf.DUMMYFUNCTION("""COMPUTED_VALUE"""),2.245)</f>
        <v>2.245</v>
      </c>
      <c r="K598" s="2"/>
      <c r="L598" s="2" t="str">
        <f>IFERROR(__xludf.DUMMYFUNCTION("""COMPUTED_VALUE"""),"Processing")</f>
        <v>Processing</v>
      </c>
      <c r="M598" s="2" t="str">
        <f>IFERROR(__xludf.DUMMYFUNCTION("""COMPUTED_VALUE"""),"KD")</f>
        <v>KD</v>
      </c>
      <c r="N598" s="2" t="str">
        <f>IFERROR(__xludf.DUMMYFUNCTION("""COMPUTED_VALUE"""),"Credit, Debit, Knet")</f>
        <v>Credit, Debit, Knet</v>
      </c>
      <c r="O598" s="4">
        <f>IFERROR(__xludf.DUMMYFUNCTION("""COMPUTED_VALUE"""),0.0)</f>
        <v>0</v>
      </c>
      <c r="P598" s="2">
        <f>IFERROR(__xludf.DUMMYFUNCTION("""COMPUTED_VALUE"""),11.0)</f>
        <v>11</v>
      </c>
      <c r="Q598" s="2">
        <f>IFERROR(__xludf.DUMMYFUNCTION("""COMPUTED_VALUE"""),6.0)</f>
        <v>6</v>
      </c>
      <c r="R598" s="2">
        <f>IFERROR(__xludf.DUMMYFUNCTION("""COMPUTED_VALUE"""),2025.0)</f>
        <v>2025</v>
      </c>
      <c r="S598" s="2" t="str">
        <f>IFERROR(__xludf.DUMMYFUNCTION("""COMPUTED_VALUE"""),"Digizag")</f>
        <v>Digizag</v>
      </c>
      <c r="T598" s="2" t="str">
        <f>IFERROR(__xludf.DUMMYFUNCTION("""COMPUTED_VALUE"""),"Digizag")</f>
        <v>Digizag</v>
      </c>
      <c r="U598" s="5">
        <f>IFERROR(__xludf.DUMMYFUNCTION("""COMPUTED_VALUE"""),73.200919)</f>
        <v>73.200919</v>
      </c>
      <c r="V598" s="2"/>
      <c r="W598" s="2"/>
      <c r="X598" s="2"/>
      <c r="Y598" s="2"/>
      <c r="Z598" s="2"/>
    </row>
    <row r="599">
      <c r="A599" s="6">
        <f>IFERROR(__xludf.DUMMYFUNCTION("""COMPUTED_VALUE"""),45819.74674768518)</f>
        <v>45819.74675</v>
      </c>
      <c r="B599" s="2" t="str">
        <f>IFERROR(__xludf.DUMMYFUNCTION("""COMPUTED_VALUE"""),"June")</f>
        <v>June</v>
      </c>
      <c r="C599" s="3">
        <f>IFERROR(__xludf.DUMMYFUNCTION("""COMPUTED_VALUE"""),124534.0)</f>
        <v>124534</v>
      </c>
      <c r="D599" s="2" t="str">
        <f>IFERROR(__xludf.DUMMYFUNCTION("""COMPUTED_VALUE"""),"ZM22")</f>
        <v>ZM22</v>
      </c>
      <c r="E599" s="2" t="str">
        <f>IFERROR(__xludf.DUMMYFUNCTION("""COMPUTED_VALUE"""),"Imported from file Digizag.xlsx")</f>
        <v>Imported from file Digizag.xlsx</v>
      </c>
      <c r="F599" s="2" t="str">
        <f>IFERROR(__xludf.DUMMYFUNCTION("""COMPUTED_VALUE"""),"KXT843877")</f>
        <v>KXT843877</v>
      </c>
      <c r="G599" s="2" t="str">
        <f>IFERROR(__xludf.DUMMYFUNCTION("""COMPUTED_VALUE"""),"UAE")</f>
        <v>UAE</v>
      </c>
      <c r="H599" s="4">
        <f>IFERROR(__xludf.DUMMYFUNCTION("""COMPUTED_VALUE"""),275.64)</f>
        <v>275.64</v>
      </c>
      <c r="I599" s="3">
        <f>IFERROR(__xludf.DUMMYFUNCTION("""COMPUTED_VALUE"""),0.0)</f>
        <v>0</v>
      </c>
      <c r="J599" s="4">
        <f>IFERROR(__xludf.DUMMYFUNCTION("""COMPUTED_VALUE"""),27.56)</f>
        <v>27.56</v>
      </c>
      <c r="K599" s="2"/>
      <c r="L599" s="2" t="str">
        <f>IFERROR(__xludf.DUMMYFUNCTION("""COMPUTED_VALUE"""),"Processing")</f>
        <v>Processing</v>
      </c>
      <c r="M599" s="2" t="str">
        <f>IFERROR(__xludf.DUMMYFUNCTION("""COMPUTED_VALUE"""),"")</f>
        <v></v>
      </c>
      <c r="N599" s="2" t="str">
        <f>IFERROR(__xludf.DUMMYFUNCTION("""COMPUTED_VALUE"""),"Tamara: split in 3, interest-free")</f>
        <v>Tamara: split in 3, interest-free</v>
      </c>
      <c r="O599" s="4">
        <f>IFERROR(__xludf.DUMMYFUNCTION("""COMPUTED_VALUE"""),0.0)</f>
        <v>0</v>
      </c>
      <c r="P599" s="2">
        <f>IFERROR(__xludf.DUMMYFUNCTION("""COMPUTED_VALUE"""),11.0)</f>
        <v>11</v>
      </c>
      <c r="Q599" s="2">
        <f>IFERROR(__xludf.DUMMYFUNCTION("""COMPUTED_VALUE"""),6.0)</f>
        <v>6</v>
      </c>
      <c r="R599" s="2">
        <f>IFERROR(__xludf.DUMMYFUNCTION("""COMPUTED_VALUE"""),2025.0)</f>
        <v>2025</v>
      </c>
      <c r="S599" s="2" t="str">
        <f>IFERROR(__xludf.DUMMYFUNCTION("""COMPUTED_VALUE"""),"Digizag")</f>
        <v>Digizag</v>
      </c>
      <c r="T599" s="2" t="str">
        <f>IFERROR(__xludf.DUMMYFUNCTION("""COMPUTED_VALUE"""),"Digizag")</f>
        <v>Digizag</v>
      </c>
      <c r="U599" s="5">
        <f>IFERROR(__xludf.DUMMYFUNCTION("""COMPUTED_VALUE"""),75.05513965992)</f>
        <v>75.05513966</v>
      </c>
      <c r="V599" s="2"/>
      <c r="W599" s="2"/>
      <c r="X599" s="2"/>
      <c r="Y599" s="2"/>
      <c r="Z599" s="2"/>
    </row>
    <row r="600">
      <c r="A600" s="6">
        <f>IFERROR(__xludf.DUMMYFUNCTION("""COMPUTED_VALUE"""),45819.81418981481)</f>
        <v>45819.81419</v>
      </c>
      <c r="B600" s="2" t="str">
        <f>IFERROR(__xludf.DUMMYFUNCTION("""COMPUTED_VALUE"""),"June")</f>
        <v>June</v>
      </c>
      <c r="C600" s="3">
        <f>IFERROR(__xludf.DUMMYFUNCTION("""COMPUTED_VALUE"""),331500.0)</f>
        <v>331500</v>
      </c>
      <c r="D600" s="2" t="str">
        <f>IFERROR(__xludf.DUMMYFUNCTION("""COMPUTED_VALUE"""),"ZM22")</f>
        <v>ZM22</v>
      </c>
      <c r="E600" s="2" t="str">
        <f>IFERROR(__xludf.DUMMYFUNCTION("""COMPUTED_VALUE"""),"Imported from file Digizag.xlsx")</f>
        <v>Imported from file Digizag.xlsx</v>
      </c>
      <c r="F600" s="2" t="str">
        <f>IFERROR(__xludf.DUMMYFUNCTION("""COMPUTED_VALUE"""),"LPE707598")</f>
        <v>LPE707598</v>
      </c>
      <c r="G600" s="2" t="str">
        <f>IFERROR(__xludf.DUMMYFUNCTION("""COMPUTED_VALUE"""),"UAE")</f>
        <v>UAE</v>
      </c>
      <c r="H600" s="4">
        <f>IFERROR(__xludf.DUMMYFUNCTION("""COMPUTED_VALUE"""),306.0)</f>
        <v>306</v>
      </c>
      <c r="I600" s="3">
        <f>IFERROR(__xludf.DUMMYFUNCTION("""COMPUTED_VALUE"""),0.0)</f>
        <v>0</v>
      </c>
      <c r="J600" s="4">
        <f>IFERROR(__xludf.DUMMYFUNCTION("""COMPUTED_VALUE"""),30.6)</f>
        <v>30.6</v>
      </c>
      <c r="K600" s="2"/>
      <c r="L600" s="2" t="str">
        <f>IFERROR(__xludf.DUMMYFUNCTION("""COMPUTED_VALUE"""),"Processing")</f>
        <v>Processing</v>
      </c>
      <c r="M600" s="2" t="str">
        <f>IFERROR(__xludf.DUMMYFUNCTION("""COMPUTED_VALUE"""),"")</f>
        <v></v>
      </c>
      <c r="N600" s="2" t="str">
        <f>IFERROR(__xludf.DUMMYFUNCTION("""COMPUTED_VALUE"""),"Credit, Debit , Apple Pay")</f>
        <v>Credit, Debit , Apple Pay</v>
      </c>
      <c r="O600" s="4">
        <f>IFERROR(__xludf.DUMMYFUNCTION("""COMPUTED_VALUE"""),0.0)</f>
        <v>0</v>
      </c>
      <c r="P600" s="2">
        <f>IFERROR(__xludf.DUMMYFUNCTION("""COMPUTED_VALUE"""),11.0)</f>
        <v>11</v>
      </c>
      <c r="Q600" s="2">
        <f>IFERROR(__xludf.DUMMYFUNCTION("""COMPUTED_VALUE"""),6.0)</f>
        <v>6</v>
      </c>
      <c r="R600" s="2">
        <f>IFERROR(__xludf.DUMMYFUNCTION("""COMPUTED_VALUE"""),2025.0)</f>
        <v>2025</v>
      </c>
      <c r="S600" s="2" t="str">
        <f>IFERROR(__xludf.DUMMYFUNCTION("""COMPUTED_VALUE"""),"Digizag")</f>
        <v>Digizag</v>
      </c>
      <c r="T600" s="2" t="str">
        <f>IFERROR(__xludf.DUMMYFUNCTION("""COMPUTED_VALUE"""),"Digizag")</f>
        <v>Digizag</v>
      </c>
      <c r="U600" s="5">
        <f>IFERROR(__xludf.DUMMYFUNCTION("""COMPUTED_VALUE"""),83.321987868)</f>
        <v>83.32198787</v>
      </c>
      <c r="V600" s="2"/>
      <c r="W600" s="2"/>
      <c r="X600" s="2"/>
      <c r="Y600" s="2"/>
      <c r="Z600" s="2"/>
    </row>
    <row r="601">
      <c r="A601" s="6">
        <f>IFERROR(__xludf.DUMMYFUNCTION("""COMPUTED_VALUE"""),45820.296944444446)</f>
        <v>45820.29694</v>
      </c>
      <c r="B601" s="2" t="str">
        <f>IFERROR(__xludf.DUMMYFUNCTION("""COMPUTED_VALUE"""),"June")</f>
        <v>June</v>
      </c>
      <c r="C601" s="3">
        <f>IFERROR(__xludf.DUMMYFUNCTION("""COMPUTED_VALUE"""),361283.0)</f>
        <v>361283</v>
      </c>
      <c r="D601" s="2" t="str">
        <f>IFERROR(__xludf.DUMMYFUNCTION("""COMPUTED_VALUE"""),"DG3")</f>
        <v>DG3</v>
      </c>
      <c r="E601" s="2" t="str">
        <f>IFERROR(__xludf.DUMMYFUNCTION("""COMPUTED_VALUE"""),"Imported from file Digizag.xlsx")</f>
        <v>Imported from file Digizag.xlsx</v>
      </c>
      <c r="F601" s="2" t="str">
        <f>IFERROR(__xludf.DUMMYFUNCTION("""COMPUTED_VALUE"""),"PRM102377")</f>
        <v>PRM102377</v>
      </c>
      <c r="G601" s="2" t="str">
        <f>IFERROR(__xludf.DUMMYFUNCTION("""COMPUTED_VALUE"""),"Kuwait")</f>
        <v>Kuwait</v>
      </c>
      <c r="H601" s="4">
        <f>IFERROR(__xludf.DUMMYFUNCTION("""COMPUTED_VALUE"""),21.7)</f>
        <v>21.7</v>
      </c>
      <c r="I601" s="3">
        <f>IFERROR(__xludf.DUMMYFUNCTION("""COMPUTED_VALUE"""),0.0)</f>
        <v>0</v>
      </c>
      <c r="J601" s="4">
        <f>IFERROR(__xludf.DUMMYFUNCTION("""COMPUTED_VALUE"""),2.17)</f>
        <v>2.17</v>
      </c>
      <c r="K601" s="2"/>
      <c r="L601" s="2" t="str">
        <f>IFERROR(__xludf.DUMMYFUNCTION("""COMPUTED_VALUE"""),"Delivered")</f>
        <v>Delivered</v>
      </c>
      <c r="M601" s="2" t="str">
        <f>IFERROR(__xludf.DUMMYFUNCTION("""COMPUTED_VALUE"""),"KD")</f>
        <v>KD</v>
      </c>
      <c r="N601" s="2" t="str">
        <f>IFERROR(__xludf.DUMMYFUNCTION("""COMPUTED_VALUE"""),"Credit, Debit, Knet")</f>
        <v>Credit, Debit, Knet</v>
      </c>
      <c r="O601" s="4">
        <f>IFERROR(__xludf.DUMMYFUNCTION("""COMPUTED_VALUE"""),0.0)</f>
        <v>0</v>
      </c>
      <c r="P601" s="2">
        <f>IFERROR(__xludf.DUMMYFUNCTION("""COMPUTED_VALUE"""),12.0)</f>
        <v>12</v>
      </c>
      <c r="Q601" s="2">
        <f>IFERROR(__xludf.DUMMYFUNCTION("""COMPUTED_VALUE"""),6.0)</f>
        <v>6</v>
      </c>
      <c r="R601" s="2">
        <f>IFERROR(__xludf.DUMMYFUNCTION("""COMPUTED_VALUE"""),2025.0)</f>
        <v>2025</v>
      </c>
      <c r="S601" s="2" t="str">
        <f>IFERROR(__xludf.DUMMYFUNCTION("""COMPUTED_VALUE"""),"Digizag")</f>
        <v>Digizag</v>
      </c>
      <c r="T601" s="2" t="str">
        <f>IFERROR(__xludf.DUMMYFUNCTION("""COMPUTED_VALUE"""),"Digizag")</f>
        <v>Digizag</v>
      </c>
      <c r="U601" s="5">
        <f>IFERROR(__xludf.DUMMYFUNCTION("""COMPUTED_VALUE"""),70.755454)</f>
        <v>70.755454</v>
      </c>
      <c r="V601" s="2"/>
      <c r="W601" s="2"/>
      <c r="X601" s="2"/>
      <c r="Y601" s="2"/>
      <c r="Z601" s="2"/>
    </row>
    <row r="602">
      <c r="A602" s="6">
        <f>IFERROR(__xludf.DUMMYFUNCTION("""COMPUTED_VALUE"""),45820.30563657407)</f>
        <v>45820.30564</v>
      </c>
      <c r="B602" s="2" t="str">
        <f>IFERROR(__xludf.DUMMYFUNCTION("""COMPUTED_VALUE"""),"June")</f>
        <v>June</v>
      </c>
      <c r="C602" s="3">
        <f>IFERROR(__xludf.DUMMYFUNCTION("""COMPUTED_VALUE"""),756371.0)</f>
        <v>756371</v>
      </c>
      <c r="D602" s="2" t="str">
        <f>IFERROR(__xludf.DUMMYFUNCTION("""COMPUTED_VALUE"""),"MNN16")</f>
        <v>MNN16</v>
      </c>
      <c r="E602" s="2" t="str">
        <f>IFERROR(__xludf.DUMMYFUNCTION("""COMPUTED_VALUE"""),"Imported from file DigiZag Codes 25Feb25.xlsx")</f>
        <v>Imported from file DigiZag Codes 25Feb25.xlsx</v>
      </c>
      <c r="F602" s="2" t="str">
        <f>IFERROR(__xludf.DUMMYFUNCTION("""COMPUTED_VALUE"""),"QVN371498")</f>
        <v>QVN371498</v>
      </c>
      <c r="G602" s="2" t="str">
        <f>IFERROR(__xludf.DUMMYFUNCTION("""COMPUTED_VALUE"""),"Bahrain")</f>
        <v>Bahrain</v>
      </c>
      <c r="H602" s="4">
        <f>IFERROR(__xludf.DUMMYFUNCTION("""COMPUTED_VALUE"""),13.53)</f>
        <v>13.53</v>
      </c>
      <c r="I602" s="3">
        <f>IFERROR(__xludf.DUMMYFUNCTION("""COMPUTED_VALUE"""),0.0)</f>
        <v>0</v>
      </c>
      <c r="J602" s="4">
        <f>IFERROR(__xludf.DUMMYFUNCTION("""COMPUTED_VALUE"""),1.35)</f>
        <v>1.35</v>
      </c>
      <c r="K602" s="2"/>
      <c r="L602" s="2" t="str">
        <f>IFERROR(__xludf.DUMMYFUNCTION("""COMPUTED_VALUE"""),"Delivered")</f>
        <v>Delivered</v>
      </c>
      <c r="M602" s="2" t="str">
        <f>IFERROR(__xludf.DUMMYFUNCTION("""COMPUTED_VALUE"""),"BHD")</f>
        <v>BHD</v>
      </c>
      <c r="N602" s="2" t="str">
        <f>IFERROR(__xludf.DUMMYFUNCTION("""COMPUTED_VALUE"""),"Credit, Debit")</f>
        <v>Credit, Debit</v>
      </c>
      <c r="O602" s="4">
        <f>IFERROR(__xludf.DUMMYFUNCTION("""COMPUTED_VALUE"""),0.0)</f>
        <v>0</v>
      </c>
      <c r="P602" s="2">
        <f>IFERROR(__xludf.DUMMYFUNCTION("""COMPUTED_VALUE"""),12.0)</f>
        <v>12</v>
      </c>
      <c r="Q602" s="2">
        <f>IFERROR(__xludf.DUMMYFUNCTION("""COMPUTED_VALUE"""),6.0)</f>
        <v>6</v>
      </c>
      <c r="R602" s="2">
        <f>IFERROR(__xludf.DUMMYFUNCTION("""COMPUTED_VALUE"""),2025.0)</f>
        <v>2025</v>
      </c>
      <c r="S602" s="2" t="str">
        <f>IFERROR(__xludf.DUMMYFUNCTION("""COMPUTED_VALUE"""),"Digizag")</f>
        <v>Digizag</v>
      </c>
      <c r="T602" s="2" t="str">
        <f>IFERROR(__xludf.DUMMYFUNCTION("""COMPUTED_VALUE"""),"Digizag")</f>
        <v>Digizag</v>
      </c>
      <c r="U602" s="5">
        <f>IFERROR(__xludf.DUMMYFUNCTION("""COMPUTED_VALUE"""),35.89396701)</f>
        <v>35.89396701</v>
      </c>
      <c r="V602" s="2"/>
      <c r="W602" s="2"/>
      <c r="X602" s="2"/>
      <c r="Y602" s="2"/>
      <c r="Z602" s="2"/>
    </row>
    <row r="603">
      <c r="A603" s="6">
        <f>IFERROR(__xludf.DUMMYFUNCTION("""COMPUTED_VALUE"""),45820.42533564815)</f>
        <v>45820.42534</v>
      </c>
      <c r="B603" s="2" t="str">
        <f>IFERROR(__xludf.DUMMYFUNCTION("""COMPUTED_VALUE"""),"June")</f>
        <v>June</v>
      </c>
      <c r="C603" s="3">
        <f>IFERROR(__xludf.DUMMYFUNCTION("""COMPUTED_VALUE"""),475718.0)</f>
        <v>475718</v>
      </c>
      <c r="D603" s="2" t="str">
        <f>IFERROR(__xludf.DUMMYFUNCTION("""COMPUTED_VALUE"""),"ZM22")</f>
        <v>ZM22</v>
      </c>
      <c r="E603" s="2" t="str">
        <f>IFERROR(__xludf.DUMMYFUNCTION("""COMPUTED_VALUE"""),"Imported from file Digizag.xlsx")</f>
        <v>Imported from file Digizag.xlsx</v>
      </c>
      <c r="F603" s="2" t="str">
        <f>IFERROR(__xludf.DUMMYFUNCTION("""COMPUTED_VALUE"""),"UGZ907346")</f>
        <v>UGZ907346</v>
      </c>
      <c r="G603" s="2" t="str">
        <f>IFERROR(__xludf.DUMMYFUNCTION("""COMPUTED_VALUE"""),"Kuwait")</f>
        <v>Kuwait</v>
      </c>
      <c r="H603" s="4">
        <f>IFERROR(__xludf.DUMMYFUNCTION("""COMPUTED_VALUE"""),6.0)</f>
        <v>6</v>
      </c>
      <c r="I603" s="3">
        <f>IFERROR(__xludf.DUMMYFUNCTION("""COMPUTED_VALUE"""),0.0)</f>
        <v>0</v>
      </c>
      <c r="J603" s="4">
        <f>IFERROR(__xludf.DUMMYFUNCTION("""COMPUTED_VALUE"""),0.6)</f>
        <v>0.6</v>
      </c>
      <c r="K603" s="2"/>
      <c r="L603" s="2" t="str">
        <f>IFERROR(__xludf.DUMMYFUNCTION("""COMPUTED_VALUE"""),"Delivered")</f>
        <v>Delivered</v>
      </c>
      <c r="M603" s="2" t="str">
        <f>IFERROR(__xludf.DUMMYFUNCTION("""COMPUTED_VALUE"""),"KD")</f>
        <v>KD</v>
      </c>
      <c r="N603" s="2" t="str">
        <f>IFERROR(__xludf.DUMMYFUNCTION("""COMPUTED_VALUE"""),"Credit, Debit, Knet")</f>
        <v>Credit, Debit, Knet</v>
      </c>
      <c r="O603" s="4">
        <f>IFERROR(__xludf.DUMMYFUNCTION("""COMPUTED_VALUE"""),0.0)</f>
        <v>0</v>
      </c>
      <c r="P603" s="2">
        <f>IFERROR(__xludf.DUMMYFUNCTION("""COMPUTED_VALUE"""),12.0)</f>
        <v>12</v>
      </c>
      <c r="Q603" s="2">
        <f>IFERROR(__xludf.DUMMYFUNCTION("""COMPUTED_VALUE"""),6.0)</f>
        <v>6</v>
      </c>
      <c r="R603" s="2">
        <f>IFERROR(__xludf.DUMMYFUNCTION("""COMPUTED_VALUE"""),2025.0)</f>
        <v>2025</v>
      </c>
      <c r="S603" s="2" t="str">
        <f>IFERROR(__xludf.DUMMYFUNCTION("""COMPUTED_VALUE"""),"Digizag")</f>
        <v>Digizag</v>
      </c>
      <c r="T603" s="2" t="str">
        <f>IFERROR(__xludf.DUMMYFUNCTION("""COMPUTED_VALUE"""),"Digizag")</f>
        <v>Digizag</v>
      </c>
      <c r="U603" s="5">
        <f>IFERROR(__xludf.DUMMYFUNCTION("""COMPUTED_VALUE"""),19.56372)</f>
        <v>19.56372</v>
      </c>
      <c r="V603" s="2"/>
      <c r="W603" s="2"/>
      <c r="X603" s="2"/>
      <c r="Y603" s="2"/>
      <c r="Z603" s="2"/>
    </row>
    <row r="604">
      <c r="A604" s="6">
        <f>IFERROR(__xludf.DUMMYFUNCTION("""COMPUTED_VALUE"""),45820.43802083333)</f>
        <v>45820.43802</v>
      </c>
      <c r="B604" s="2" t="str">
        <f>IFERROR(__xludf.DUMMYFUNCTION("""COMPUTED_VALUE"""),"June")</f>
        <v>June</v>
      </c>
      <c r="C604" s="3">
        <f>IFERROR(__xludf.DUMMYFUNCTION("""COMPUTED_VALUE"""),756177.0)</f>
        <v>756177</v>
      </c>
      <c r="D604" s="2" t="str">
        <f>IFERROR(__xludf.DUMMYFUNCTION("""COMPUTED_VALUE"""),"MNN16")</f>
        <v>MNN16</v>
      </c>
      <c r="E604" s="2" t="str">
        <f>IFERROR(__xludf.DUMMYFUNCTION("""COMPUTED_VALUE"""),"Imported from file DigiZag Codes 25Feb25.xlsx")</f>
        <v>Imported from file DigiZag Codes 25Feb25.xlsx</v>
      </c>
      <c r="F604" s="2" t="str">
        <f>IFERROR(__xludf.DUMMYFUNCTION("""COMPUTED_VALUE"""),"SBV512677")</f>
        <v>SBV512677</v>
      </c>
      <c r="G604" s="2" t="str">
        <f>IFERROR(__xludf.DUMMYFUNCTION("""COMPUTED_VALUE"""),"Kuwait")</f>
        <v>Kuwait</v>
      </c>
      <c r="H604" s="4">
        <f>IFERROR(__xludf.DUMMYFUNCTION("""COMPUTED_VALUE"""),35.65)</f>
        <v>35.65</v>
      </c>
      <c r="I604" s="3">
        <f>IFERROR(__xludf.DUMMYFUNCTION("""COMPUTED_VALUE"""),0.0)</f>
        <v>0</v>
      </c>
      <c r="J604" s="4">
        <f>IFERROR(__xludf.DUMMYFUNCTION("""COMPUTED_VALUE"""),3.565)</f>
        <v>3.565</v>
      </c>
      <c r="K604" s="2"/>
      <c r="L604" s="2" t="str">
        <f>IFERROR(__xludf.DUMMYFUNCTION("""COMPUTED_VALUE"""),"Delivered")</f>
        <v>Delivered</v>
      </c>
      <c r="M604" s="2" t="str">
        <f>IFERROR(__xludf.DUMMYFUNCTION("""COMPUTED_VALUE"""),"KD")</f>
        <v>KD</v>
      </c>
      <c r="N604" s="2" t="str">
        <f>IFERROR(__xludf.DUMMYFUNCTION("""COMPUTED_VALUE"""),"Credit, Debit, Knet")</f>
        <v>Credit, Debit, Knet</v>
      </c>
      <c r="O604" s="4">
        <f>IFERROR(__xludf.DUMMYFUNCTION("""COMPUTED_VALUE"""),0.0)</f>
        <v>0</v>
      </c>
      <c r="P604" s="2">
        <f>IFERROR(__xludf.DUMMYFUNCTION("""COMPUTED_VALUE"""),12.0)</f>
        <v>12</v>
      </c>
      <c r="Q604" s="2">
        <f>IFERROR(__xludf.DUMMYFUNCTION("""COMPUTED_VALUE"""),6.0)</f>
        <v>6</v>
      </c>
      <c r="R604" s="2">
        <f>IFERROR(__xludf.DUMMYFUNCTION("""COMPUTED_VALUE"""),2025.0)</f>
        <v>2025</v>
      </c>
      <c r="S604" s="2" t="str">
        <f>IFERROR(__xludf.DUMMYFUNCTION("""COMPUTED_VALUE"""),"Digizag")</f>
        <v>Digizag</v>
      </c>
      <c r="T604" s="2" t="str">
        <f>IFERROR(__xludf.DUMMYFUNCTION("""COMPUTED_VALUE"""),"Digizag")</f>
        <v>Digizag</v>
      </c>
      <c r="U604" s="5">
        <f>IFERROR(__xludf.DUMMYFUNCTION("""COMPUTED_VALUE"""),116.241103)</f>
        <v>116.241103</v>
      </c>
      <c r="V604" s="2"/>
      <c r="W604" s="2"/>
      <c r="X604" s="2"/>
      <c r="Y604" s="2"/>
      <c r="Z604" s="2"/>
    </row>
    <row r="605">
      <c r="A605" s="6">
        <f>IFERROR(__xludf.DUMMYFUNCTION("""COMPUTED_VALUE"""),45820.467523148145)</f>
        <v>45820.46752</v>
      </c>
      <c r="B605" s="2" t="str">
        <f>IFERROR(__xludf.DUMMYFUNCTION("""COMPUTED_VALUE"""),"June")</f>
        <v>June</v>
      </c>
      <c r="C605" s="3">
        <f>IFERROR(__xludf.DUMMYFUNCTION("""COMPUTED_VALUE"""),756471.0)</f>
        <v>756471</v>
      </c>
      <c r="D605" s="2" t="str">
        <f>IFERROR(__xludf.DUMMYFUNCTION("""COMPUTED_VALUE"""),"DG3")</f>
        <v>DG3</v>
      </c>
      <c r="E605" s="2" t="str">
        <f>IFERROR(__xludf.DUMMYFUNCTION("""COMPUTED_VALUE"""),"Imported from file Digizag.xlsx")</f>
        <v>Imported from file Digizag.xlsx</v>
      </c>
      <c r="F605" s="2" t="str">
        <f>IFERROR(__xludf.DUMMYFUNCTION("""COMPUTED_VALUE"""),"XYT267871")</f>
        <v>XYT267871</v>
      </c>
      <c r="G605" s="2" t="str">
        <f>IFERROR(__xludf.DUMMYFUNCTION("""COMPUTED_VALUE"""),"UAE")</f>
        <v>UAE</v>
      </c>
      <c r="H605" s="4">
        <f>IFERROR(__xludf.DUMMYFUNCTION("""COMPUTED_VALUE"""),112.0)</f>
        <v>112</v>
      </c>
      <c r="I605" s="3">
        <f>IFERROR(__xludf.DUMMYFUNCTION("""COMPUTED_VALUE"""),0.0)</f>
        <v>0</v>
      </c>
      <c r="J605" s="4">
        <f>IFERROR(__xludf.DUMMYFUNCTION("""COMPUTED_VALUE"""),11.2)</f>
        <v>11.2</v>
      </c>
      <c r="K605" s="2"/>
      <c r="L605" s="2" t="str">
        <f>IFERROR(__xludf.DUMMYFUNCTION("""COMPUTED_VALUE"""),"Processing")</f>
        <v>Processing</v>
      </c>
      <c r="M605" s="2" t="str">
        <f>IFERROR(__xludf.DUMMYFUNCTION("""COMPUTED_VALUE"""),"")</f>
        <v></v>
      </c>
      <c r="N605" s="2" t="str">
        <f>IFERROR(__xludf.DUMMYFUNCTION("""COMPUTED_VALUE"""),"Tamara: split in 3, interest-free")</f>
        <v>Tamara: split in 3, interest-free</v>
      </c>
      <c r="O605" s="4">
        <f>IFERROR(__xludf.DUMMYFUNCTION("""COMPUTED_VALUE"""),0.0)</f>
        <v>0</v>
      </c>
      <c r="P605" s="2">
        <f>IFERROR(__xludf.DUMMYFUNCTION("""COMPUTED_VALUE"""),12.0)</f>
        <v>12</v>
      </c>
      <c r="Q605" s="2">
        <f>IFERROR(__xludf.DUMMYFUNCTION("""COMPUTED_VALUE"""),6.0)</f>
        <v>6</v>
      </c>
      <c r="R605" s="2">
        <f>IFERROR(__xludf.DUMMYFUNCTION("""COMPUTED_VALUE"""),2025.0)</f>
        <v>2025</v>
      </c>
      <c r="S605" s="2" t="str">
        <f>IFERROR(__xludf.DUMMYFUNCTION("""COMPUTED_VALUE"""),"Digizag")</f>
        <v>Digizag</v>
      </c>
      <c r="T605" s="2" t="str">
        <f>IFERROR(__xludf.DUMMYFUNCTION("""COMPUTED_VALUE"""),"Digizag")</f>
        <v>Digizag</v>
      </c>
      <c r="U605" s="5">
        <f>IFERROR(__xludf.DUMMYFUNCTION("""COMPUTED_VALUE"""),30.496936736)</f>
        <v>30.49693674</v>
      </c>
      <c r="V605" s="2"/>
      <c r="W605" s="2"/>
      <c r="X605" s="2"/>
      <c r="Y605" s="2"/>
      <c r="Z605" s="2"/>
    </row>
    <row r="606">
      <c r="A606" s="6">
        <f>IFERROR(__xludf.DUMMYFUNCTION("""COMPUTED_VALUE"""),45820.63082175926)</f>
        <v>45820.63082</v>
      </c>
      <c r="B606" s="2" t="str">
        <f>IFERROR(__xludf.DUMMYFUNCTION("""COMPUTED_VALUE"""),"June")</f>
        <v>June</v>
      </c>
      <c r="C606" s="3">
        <f>IFERROR(__xludf.DUMMYFUNCTION("""COMPUTED_VALUE"""),756616.0)</f>
        <v>756616</v>
      </c>
      <c r="D606" s="2" t="str">
        <f>IFERROR(__xludf.DUMMYFUNCTION("""COMPUTED_VALUE"""),"ZM22")</f>
        <v>ZM22</v>
      </c>
      <c r="E606" s="2" t="str">
        <f>IFERROR(__xludf.DUMMYFUNCTION("""COMPUTED_VALUE"""),"Imported from file Digizag.xlsx")</f>
        <v>Imported from file Digizag.xlsx</v>
      </c>
      <c r="F606" s="2" t="str">
        <f>IFERROR(__xludf.DUMMYFUNCTION("""COMPUTED_VALUE"""),"KTZ360637")</f>
        <v>KTZ360637</v>
      </c>
      <c r="G606" s="2" t="str">
        <f>IFERROR(__xludf.DUMMYFUNCTION("""COMPUTED_VALUE"""),"UAE")</f>
        <v>UAE</v>
      </c>
      <c r="H606" s="4">
        <f>IFERROR(__xludf.DUMMYFUNCTION("""COMPUTED_VALUE"""),613.0)</f>
        <v>613</v>
      </c>
      <c r="I606" s="3">
        <f>IFERROR(__xludf.DUMMYFUNCTION("""COMPUTED_VALUE"""),0.0)</f>
        <v>0</v>
      </c>
      <c r="J606" s="4">
        <f>IFERROR(__xludf.DUMMYFUNCTION("""COMPUTED_VALUE"""),61.3)</f>
        <v>61.3</v>
      </c>
      <c r="K606" s="2"/>
      <c r="L606" s="2" t="str">
        <f>IFERROR(__xludf.DUMMYFUNCTION("""COMPUTED_VALUE"""),"Processing")</f>
        <v>Processing</v>
      </c>
      <c r="M606" s="2" t="str">
        <f>IFERROR(__xludf.DUMMYFUNCTION("""COMPUTED_VALUE"""),"")</f>
        <v></v>
      </c>
      <c r="N606" s="2" t="str">
        <f>IFERROR(__xludf.DUMMYFUNCTION("""COMPUTED_VALUE"""),"Credit, Debit , Apple Pay")</f>
        <v>Credit, Debit , Apple Pay</v>
      </c>
      <c r="O606" s="4">
        <f>IFERROR(__xludf.DUMMYFUNCTION("""COMPUTED_VALUE"""),0.0)</f>
        <v>0</v>
      </c>
      <c r="P606" s="2">
        <f>IFERROR(__xludf.DUMMYFUNCTION("""COMPUTED_VALUE"""),12.0)</f>
        <v>12</v>
      </c>
      <c r="Q606" s="2">
        <f>IFERROR(__xludf.DUMMYFUNCTION("""COMPUTED_VALUE"""),6.0)</f>
        <v>6</v>
      </c>
      <c r="R606" s="2">
        <f>IFERROR(__xludf.DUMMYFUNCTION("""COMPUTED_VALUE"""),2025.0)</f>
        <v>2025</v>
      </c>
      <c r="S606" s="2" t="str">
        <f>IFERROR(__xludf.DUMMYFUNCTION("""COMPUTED_VALUE"""),"Digizag")</f>
        <v>Digizag</v>
      </c>
      <c r="T606" s="2" t="str">
        <f>IFERROR(__xludf.DUMMYFUNCTION("""COMPUTED_VALUE"""),"Digizag")</f>
        <v>Digizag</v>
      </c>
      <c r="U606" s="5">
        <f>IFERROR(__xludf.DUMMYFUNCTION("""COMPUTED_VALUE"""),166.916269814)</f>
        <v>166.9162698</v>
      </c>
      <c r="V606" s="2"/>
      <c r="W606" s="2"/>
      <c r="X606" s="2"/>
      <c r="Y606" s="2"/>
      <c r="Z606" s="2"/>
    </row>
    <row r="607">
      <c r="A607" s="6">
        <f>IFERROR(__xludf.DUMMYFUNCTION("""COMPUTED_VALUE"""),45820.74482638889)</f>
        <v>45820.74483</v>
      </c>
      <c r="B607" s="2" t="str">
        <f>IFERROR(__xludf.DUMMYFUNCTION("""COMPUTED_VALUE"""),"June")</f>
        <v>June</v>
      </c>
      <c r="C607" s="3">
        <f>IFERROR(__xludf.DUMMYFUNCTION("""COMPUTED_VALUE"""),756417.0)</f>
        <v>756417</v>
      </c>
      <c r="D607" s="2" t="str">
        <f>IFERROR(__xludf.DUMMYFUNCTION("""COMPUTED_VALUE"""),"RR22")</f>
        <v>RR22</v>
      </c>
      <c r="E607" s="2" t="str">
        <f>IFERROR(__xludf.DUMMYFUNCTION("""COMPUTED_VALUE"""),"Imported from file Digizag.xlsx")</f>
        <v>Imported from file Digizag.xlsx</v>
      </c>
      <c r="F607" s="2" t="str">
        <f>IFERROR(__xludf.DUMMYFUNCTION("""COMPUTED_VALUE"""),"GVD230156")</f>
        <v>GVD230156</v>
      </c>
      <c r="G607" s="2" t="str">
        <f>IFERROR(__xludf.DUMMYFUNCTION("""COMPUTED_VALUE"""),"UAE")</f>
        <v>UAE</v>
      </c>
      <c r="H607" s="4">
        <f>IFERROR(__xludf.DUMMYFUNCTION("""COMPUTED_VALUE"""),149.0)</f>
        <v>149</v>
      </c>
      <c r="I607" s="3">
        <f>IFERROR(__xludf.DUMMYFUNCTION("""COMPUTED_VALUE"""),0.0)</f>
        <v>0</v>
      </c>
      <c r="J607" s="4">
        <f>IFERROR(__xludf.DUMMYFUNCTION("""COMPUTED_VALUE"""),14.9)</f>
        <v>14.9</v>
      </c>
      <c r="K607" s="2"/>
      <c r="L607" s="2" t="str">
        <f>IFERROR(__xludf.DUMMYFUNCTION("""COMPUTED_VALUE"""),"Processing")</f>
        <v>Processing</v>
      </c>
      <c r="M607" s="2" t="str">
        <f>IFERROR(__xludf.DUMMYFUNCTION("""COMPUTED_VALUE"""),"")</f>
        <v></v>
      </c>
      <c r="N607" s="2" t="str">
        <f>IFERROR(__xludf.DUMMYFUNCTION("""COMPUTED_VALUE"""),"Credit, Debit , Apple Pay")</f>
        <v>Credit, Debit , Apple Pay</v>
      </c>
      <c r="O607" s="4">
        <f>IFERROR(__xludf.DUMMYFUNCTION("""COMPUTED_VALUE"""),0.0)</f>
        <v>0</v>
      </c>
      <c r="P607" s="2">
        <f>IFERROR(__xludf.DUMMYFUNCTION("""COMPUTED_VALUE"""),12.0)</f>
        <v>12</v>
      </c>
      <c r="Q607" s="2">
        <f>IFERROR(__xludf.DUMMYFUNCTION("""COMPUTED_VALUE"""),6.0)</f>
        <v>6</v>
      </c>
      <c r="R607" s="2">
        <f>IFERROR(__xludf.DUMMYFUNCTION("""COMPUTED_VALUE"""),2025.0)</f>
        <v>2025</v>
      </c>
      <c r="S607" s="2" t="str">
        <f>IFERROR(__xludf.DUMMYFUNCTION("""COMPUTED_VALUE"""),"Digizag")</f>
        <v>Digizag</v>
      </c>
      <c r="T607" s="2" t="str">
        <f>IFERROR(__xludf.DUMMYFUNCTION("""COMPUTED_VALUE"""),"Digizag")</f>
        <v>Digizag</v>
      </c>
      <c r="U607" s="5">
        <f>IFERROR(__xludf.DUMMYFUNCTION("""COMPUTED_VALUE"""),40.571817622)</f>
        <v>40.57181762</v>
      </c>
      <c r="V607" s="2"/>
      <c r="W607" s="2"/>
      <c r="X607" s="2"/>
      <c r="Y607" s="2"/>
      <c r="Z607" s="2"/>
    </row>
    <row r="608">
      <c r="A608" s="6">
        <f>IFERROR(__xludf.DUMMYFUNCTION("""COMPUTED_VALUE"""),45820.91386574074)</f>
        <v>45820.91387</v>
      </c>
      <c r="B608" s="2" t="str">
        <f>IFERROR(__xludf.DUMMYFUNCTION("""COMPUTED_VALUE"""),"June")</f>
        <v>June</v>
      </c>
      <c r="C608" s="3">
        <f>IFERROR(__xludf.DUMMYFUNCTION("""COMPUTED_VALUE"""),265232.0)</f>
        <v>265232</v>
      </c>
      <c r="D608" s="2" t="str">
        <f>IFERROR(__xludf.DUMMYFUNCTION("""COMPUTED_VALUE"""),"DB3")</f>
        <v>DB3</v>
      </c>
      <c r="E608" s="2" t="str">
        <f>IFERROR(__xludf.DUMMYFUNCTION("""COMPUTED_VALUE"""),"Imported from file Digizag.xlsx")</f>
        <v>Imported from file Digizag.xlsx</v>
      </c>
      <c r="F608" s="2" t="str">
        <f>IFERROR(__xludf.DUMMYFUNCTION("""COMPUTED_VALUE"""),"AYJ528845")</f>
        <v>AYJ528845</v>
      </c>
      <c r="G608" s="2" t="str">
        <f>IFERROR(__xludf.DUMMYFUNCTION("""COMPUTED_VALUE"""),"UAE")</f>
        <v>UAE</v>
      </c>
      <c r="H608" s="4">
        <f>IFERROR(__xludf.DUMMYFUNCTION("""COMPUTED_VALUE"""),218.1)</f>
        <v>218.1</v>
      </c>
      <c r="I608" s="3">
        <f>IFERROR(__xludf.DUMMYFUNCTION("""COMPUTED_VALUE"""),0.0)</f>
        <v>0</v>
      </c>
      <c r="J608" s="4">
        <f>IFERROR(__xludf.DUMMYFUNCTION("""COMPUTED_VALUE"""),21.81)</f>
        <v>21.81</v>
      </c>
      <c r="K608" s="2"/>
      <c r="L608" s="2" t="str">
        <f>IFERROR(__xludf.DUMMYFUNCTION("""COMPUTED_VALUE"""),"Processing")</f>
        <v>Processing</v>
      </c>
      <c r="M608" s="2" t="str">
        <f>IFERROR(__xludf.DUMMYFUNCTION("""COMPUTED_VALUE"""),"")</f>
        <v></v>
      </c>
      <c r="N608" s="2" t="str">
        <f>IFERROR(__xludf.DUMMYFUNCTION("""COMPUTED_VALUE"""),"Tamara: split in 3, interest-free")</f>
        <v>Tamara: split in 3, interest-free</v>
      </c>
      <c r="O608" s="4">
        <f>IFERROR(__xludf.DUMMYFUNCTION("""COMPUTED_VALUE"""),0.0)</f>
        <v>0</v>
      </c>
      <c r="P608" s="2">
        <f>IFERROR(__xludf.DUMMYFUNCTION("""COMPUTED_VALUE"""),12.0)</f>
        <v>12</v>
      </c>
      <c r="Q608" s="2">
        <f>IFERROR(__xludf.DUMMYFUNCTION("""COMPUTED_VALUE"""),6.0)</f>
        <v>6</v>
      </c>
      <c r="R608" s="2">
        <f>IFERROR(__xludf.DUMMYFUNCTION("""COMPUTED_VALUE"""),2025.0)</f>
        <v>2025</v>
      </c>
      <c r="S608" s="2" t="str">
        <f>IFERROR(__xludf.DUMMYFUNCTION("""COMPUTED_VALUE"""),"Digizag")</f>
        <v>Digizag</v>
      </c>
      <c r="T608" s="2" t="str">
        <f>IFERROR(__xludf.DUMMYFUNCTION("""COMPUTED_VALUE"""),"Digizag")</f>
        <v>Digizag</v>
      </c>
      <c r="U608" s="5">
        <f>IFERROR(__xludf.DUMMYFUNCTION("""COMPUTED_VALUE"""),59.387338411799995)</f>
        <v>59.38733841</v>
      </c>
      <c r="V608" s="2"/>
      <c r="W608" s="2"/>
      <c r="X608" s="2"/>
      <c r="Y608" s="2"/>
      <c r="Z608" s="2"/>
    </row>
    <row r="609">
      <c r="A609" s="6">
        <f>IFERROR(__xludf.DUMMYFUNCTION("""COMPUTED_VALUE"""),45821.31072916667)</f>
        <v>45821.31073</v>
      </c>
      <c r="B609" s="2" t="str">
        <f>IFERROR(__xludf.DUMMYFUNCTION("""COMPUTED_VALUE"""),"June")</f>
        <v>June</v>
      </c>
      <c r="C609" s="3">
        <f>IFERROR(__xludf.DUMMYFUNCTION("""COMPUTED_VALUE"""),373839.0)</f>
        <v>373839</v>
      </c>
      <c r="D609" s="2" t="str">
        <f>IFERROR(__xludf.DUMMYFUNCTION("""COMPUTED_VALUE"""),"JM")</f>
        <v>JM</v>
      </c>
      <c r="E609" s="2" t="str">
        <f>IFERROR(__xludf.DUMMYFUNCTION("""COMPUTED_VALUE"""),"DigiZag")</f>
        <v>DigiZag</v>
      </c>
      <c r="F609" s="2" t="str">
        <f>IFERROR(__xludf.DUMMYFUNCTION("""COMPUTED_VALUE"""),"HNR653215")</f>
        <v>HNR653215</v>
      </c>
      <c r="G609" s="2" t="str">
        <f>IFERROR(__xludf.DUMMYFUNCTION("""COMPUTED_VALUE"""),"Bahrain")</f>
        <v>Bahrain</v>
      </c>
      <c r="H609" s="4">
        <f>IFERROR(__xludf.DUMMYFUNCTION("""COMPUTED_VALUE"""),10.83)</f>
        <v>10.83</v>
      </c>
      <c r="I609" s="3">
        <f>IFERROR(__xludf.DUMMYFUNCTION("""COMPUTED_VALUE"""),0.0)</f>
        <v>0</v>
      </c>
      <c r="J609" s="4">
        <f>IFERROR(__xludf.DUMMYFUNCTION("""COMPUTED_VALUE"""),1.08)</f>
        <v>1.08</v>
      </c>
      <c r="K609" s="2"/>
      <c r="L609" s="2" t="str">
        <f>IFERROR(__xludf.DUMMYFUNCTION("""COMPUTED_VALUE"""),"Processing")</f>
        <v>Processing</v>
      </c>
      <c r="M609" s="2" t="str">
        <f>IFERROR(__xludf.DUMMYFUNCTION("""COMPUTED_VALUE"""),"BHD")</f>
        <v>BHD</v>
      </c>
      <c r="N609" s="2" t="str">
        <f>IFERROR(__xludf.DUMMYFUNCTION("""COMPUTED_VALUE"""),"Cash")</f>
        <v>Cash</v>
      </c>
      <c r="O609" s="4">
        <f>IFERROR(__xludf.DUMMYFUNCTION("""COMPUTED_VALUE"""),0.0)</f>
        <v>0</v>
      </c>
      <c r="P609" s="2">
        <f>IFERROR(__xludf.DUMMYFUNCTION("""COMPUTED_VALUE"""),13.0)</f>
        <v>13</v>
      </c>
      <c r="Q609" s="2">
        <f>IFERROR(__xludf.DUMMYFUNCTION("""COMPUTED_VALUE"""),6.0)</f>
        <v>6</v>
      </c>
      <c r="R609" s="2">
        <f>IFERROR(__xludf.DUMMYFUNCTION("""COMPUTED_VALUE"""),2025.0)</f>
        <v>2025</v>
      </c>
      <c r="S609" s="2" t="str">
        <f>IFERROR(__xludf.DUMMYFUNCTION("""COMPUTED_VALUE"""),"Digizag")</f>
        <v>Digizag</v>
      </c>
      <c r="T609" s="2" t="str">
        <f>IFERROR(__xludf.DUMMYFUNCTION("""COMPUTED_VALUE"""),"Digizag")</f>
        <v>Digizag</v>
      </c>
      <c r="U609" s="5">
        <f>IFERROR(__xludf.DUMMYFUNCTION("""COMPUTED_VALUE"""),28.73109111)</f>
        <v>28.73109111</v>
      </c>
      <c r="V609" s="2"/>
      <c r="W609" s="2"/>
      <c r="X609" s="2"/>
      <c r="Y609" s="2"/>
      <c r="Z609" s="2"/>
    </row>
    <row r="610">
      <c r="A610" s="6">
        <f>IFERROR(__xludf.DUMMYFUNCTION("""COMPUTED_VALUE"""),45821.49092592592)</f>
        <v>45821.49093</v>
      </c>
      <c r="B610" s="2" t="str">
        <f>IFERROR(__xludf.DUMMYFUNCTION("""COMPUTED_VALUE"""),"June")</f>
        <v>June</v>
      </c>
      <c r="C610" s="3">
        <f>IFERROR(__xludf.DUMMYFUNCTION("""COMPUTED_VALUE"""),85451.0)</f>
        <v>85451</v>
      </c>
      <c r="D610" s="2" t="str">
        <f>IFERROR(__xludf.DUMMYFUNCTION("""COMPUTED_VALUE"""),"ZM22")</f>
        <v>ZM22</v>
      </c>
      <c r="E610" s="2" t="str">
        <f>IFERROR(__xludf.DUMMYFUNCTION("""COMPUTED_VALUE"""),"Imported from file Digizag.xlsx")</f>
        <v>Imported from file Digizag.xlsx</v>
      </c>
      <c r="F610" s="2" t="str">
        <f>IFERROR(__xludf.DUMMYFUNCTION("""COMPUTED_VALUE"""),"APX248411")</f>
        <v>APX248411</v>
      </c>
      <c r="G610" s="2" t="str">
        <f>IFERROR(__xludf.DUMMYFUNCTION("""COMPUTED_VALUE"""),"UAE")</f>
        <v>UAE</v>
      </c>
      <c r="H610" s="4">
        <f>IFERROR(__xludf.DUMMYFUNCTION("""COMPUTED_VALUE"""),174.0)</f>
        <v>174</v>
      </c>
      <c r="I610" s="3">
        <f>IFERROR(__xludf.DUMMYFUNCTION("""COMPUTED_VALUE"""),0.0)</f>
        <v>0</v>
      </c>
      <c r="J610" s="4">
        <f>IFERROR(__xludf.DUMMYFUNCTION("""COMPUTED_VALUE"""),17.4)</f>
        <v>17.4</v>
      </c>
      <c r="K610" s="2"/>
      <c r="L610" s="2" t="str">
        <f>IFERROR(__xludf.DUMMYFUNCTION("""COMPUTED_VALUE"""),"Processing")</f>
        <v>Processing</v>
      </c>
      <c r="M610" s="2" t="str">
        <f>IFERROR(__xludf.DUMMYFUNCTION("""COMPUTED_VALUE"""),"")</f>
        <v></v>
      </c>
      <c r="N610" s="2" t="str">
        <f>IFERROR(__xludf.DUMMYFUNCTION("""COMPUTED_VALUE"""),"Credit, Debit , Apple Pay")</f>
        <v>Credit, Debit , Apple Pay</v>
      </c>
      <c r="O610" s="4">
        <f>IFERROR(__xludf.DUMMYFUNCTION("""COMPUTED_VALUE"""),0.0)</f>
        <v>0</v>
      </c>
      <c r="P610" s="2">
        <f>IFERROR(__xludf.DUMMYFUNCTION("""COMPUTED_VALUE"""),13.0)</f>
        <v>13</v>
      </c>
      <c r="Q610" s="2">
        <f>IFERROR(__xludf.DUMMYFUNCTION("""COMPUTED_VALUE"""),6.0)</f>
        <v>6</v>
      </c>
      <c r="R610" s="2">
        <f>IFERROR(__xludf.DUMMYFUNCTION("""COMPUTED_VALUE"""),2025.0)</f>
        <v>2025</v>
      </c>
      <c r="S610" s="2" t="str">
        <f>IFERROR(__xludf.DUMMYFUNCTION("""COMPUTED_VALUE"""),"Digizag")</f>
        <v>Digizag</v>
      </c>
      <c r="T610" s="2" t="str">
        <f>IFERROR(__xludf.DUMMYFUNCTION("""COMPUTED_VALUE"""),"Digizag")</f>
        <v>Digizag</v>
      </c>
      <c r="U610" s="5">
        <f>IFERROR(__xludf.DUMMYFUNCTION("""COMPUTED_VALUE"""),47.379169572)</f>
        <v>47.37916957</v>
      </c>
      <c r="V610" s="2"/>
      <c r="W610" s="2"/>
      <c r="X610" s="2"/>
      <c r="Y610" s="2"/>
      <c r="Z610" s="2"/>
    </row>
    <row r="611">
      <c r="A611" s="6">
        <f>IFERROR(__xludf.DUMMYFUNCTION("""COMPUTED_VALUE"""),45821.49940972222)</f>
        <v>45821.49941</v>
      </c>
      <c r="B611" s="2" t="str">
        <f>IFERROR(__xludf.DUMMYFUNCTION("""COMPUTED_VALUE"""),"June")</f>
        <v>June</v>
      </c>
      <c r="C611" s="3">
        <f>IFERROR(__xludf.DUMMYFUNCTION("""COMPUTED_VALUE"""),752591.0)</f>
        <v>752591</v>
      </c>
      <c r="D611" s="2" t="str">
        <f>IFERROR(__xludf.DUMMYFUNCTION("""COMPUTED_VALUE"""),"DB12")</f>
        <v>DB12</v>
      </c>
      <c r="E611" s="2" t="str">
        <f>IFERROR(__xludf.DUMMYFUNCTION("""COMPUTED_VALUE"""),"Imported from file Digizag.xlsx")</f>
        <v>Imported from file Digizag.xlsx</v>
      </c>
      <c r="F611" s="2" t="str">
        <f>IFERROR(__xludf.DUMMYFUNCTION("""COMPUTED_VALUE"""),"NSD104208")</f>
        <v>NSD104208</v>
      </c>
      <c r="G611" s="2" t="str">
        <f>IFERROR(__xludf.DUMMYFUNCTION("""COMPUTED_VALUE"""),"Kuwait")</f>
        <v>Kuwait</v>
      </c>
      <c r="H611" s="4">
        <f>IFERROR(__xludf.DUMMYFUNCTION("""COMPUTED_VALUE"""),8.95)</f>
        <v>8.95</v>
      </c>
      <c r="I611" s="3">
        <f>IFERROR(__xludf.DUMMYFUNCTION("""COMPUTED_VALUE"""),0.0)</f>
        <v>0</v>
      </c>
      <c r="J611" s="4">
        <f>IFERROR(__xludf.DUMMYFUNCTION("""COMPUTED_VALUE"""),0.895)</f>
        <v>0.895</v>
      </c>
      <c r="K611" s="2"/>
      <c r="L611" s="2" t="str">
        <f>IFERROR(__xludf.DUMMYFUNCTION("""COMPUTED_VALUE"""),"Delivered")</f>
        <v>Delivered</v>
      </c>
      <c r="M611" s="2" t="str">
        <f>IFERROR(__xludf.DUMMYFUNCTION("""COMPUTED_VALUE"""),"KD")</f>
        <v>KD</v>
      </c>
      <c r="N611" s="2" t="str">
        <f>IFERROR(__xludf.DUMMYFUNCTION("""COMPUTED_VALUE"""),"Credit, Debit, Knet")</f>
        <v>Credit, Debit, Knet</v>
      </c>
      <c r="O611" s="4">
        <f>IFERROR(__xludf.DUMMYFUNCTION("""COMPUTED_VALUE"""),0.0)</f>
        <v>0</v>
      </c>
      <c r="P611" s="2">
        <f>IFERROR(__xludf.DUMMYFUNCTION("""COMPUTED_VALUE"""),13.0)</f>
        <v>13</v>
      </c>
      <c r="Q611" s="2">
        <f>IFERROR(__xludf.DUMMYFUNCTION("""COMPUTED_VALUE"""),6.0)</f>
        <v>6</v>
      </c>
      <c r="R611" s="2">
        <f>IFERROR(__xludf.DUMMYFUNCTION("""COMPUTED_VALUE"""),2025.0)</f>
        <v>2025</v>
      </c>
      <c r="S611" s="2" t="str">
        <f>IFERROR(__xludf.DUMMYFUNCTION("""COMPUTED_VALUE"""),"Digizag")</f>
        <v>Digizag</v>
      </c>
      <c r="T611" s="2" t="str">
        <f>IFERROR(__xludf.DUMMYFUNCTION("""COMPUTED_VALUE"""),"Digizag")</f>
        <v>Digizag</v>
      </c>
      <c r="U611" s="5">
        <f>IFERROR(__xludf.DUMMYFUNCTION("""COMPUTED_VALUE"""),29.182548999999998)</f>
        <v>29.182549</v>
      </c>
      <c r="V611" s="2"/>
      <c r="W611" s="2"/>
      <c r="X611" s="2"/>
      <c r="Y611" s="2"/>
      <c r="Z611" s="2"/>
    </row>
    <row r="612">
      <c r="A612" s="6">
        <f>IFERROR(__xludf.DUMMYFUNCTION("""COMPUTED_VALUE"""),45821.500081018516)</f>
        <v>45821.50008</v>
      </c>
      <c r="B612" s="2" t="str">
        <f>IFERROR(__xludf.DUMMYFUNCTION("""COMPUTED_VALUE"""),"June")</f>
        <v>June</v>
      </c>
      <c r="C612" s="3">
        <f>IFERROR(__xludf.DUMMYFUNCTION("""COMPUTED_VALUE"""),149766.0)</f>
        <v>149766</v>
      </c>
      <c r="D612" s="2" t="str">
        <f>IFERROR(__xludf.DUMMYFUNCTION("""COMPUTED_VALUE"""),"JM")</f>
        <v>JM</v>
      </c>
      <c r="E612" s="2" t="str">
        <f>IFERROR(__xludf.DUMMYFUNCTION("""COMPUTED_VALUE"""),"DigiZag")</f>
        <v>DigiZag</v>
      </c>
      <c r="F612" s="2" t="str">
        <f>IFERROR(__xludf.DUMMYFUNCTION("""COMPUTED_VALUE"""),"RBN226256")</f>
        <v>RBN226256</v>
      </c>
      <c r="G612" s="2" t="str">
        <f>IFERROR(__xludf.DUMMYFUNCTION("""COMPUTED_VALUE"""),"Bahrain")</f>
        <v>Bahrain</v>
      </c>
      <c r="H612" s="4">
        <f>IFERROR(__xludf.DUMMYFUNCTION("""COMPUTED_VALUE"""),22.58)</f>
        <v>22.58</v>
      </c>
      <c r="I612" s="3">
        <f>IFERROR(__xludf.DUMMYFUNCTION("""COMPUTED_VALUE"""),0.0)</f>
        <v>0</v>
      </c>
      <c r="J612" s="4">
        <f>IFERROR(__xludf.DUMMYFUNCTION("""COMPUTED_VALUE"""),2.25)</f>
        <v>2.25</v>
      </c>
      <c r="K612" s="2"/>
      <c r="L612" s="2" t="str">
        <f>IFERROR(__xludf.DUMMYFUNCTION("""COMPUTED_VALUE"""),"Delivered")</f>
        <v>Delivered</v>
      </c>
      <c r="M612" s="2" t="str">
        <f>IFERROR(__xludf.DUMMYFUNCTION("""COMPUTED_VALUE"""),"BHD")</f>
        <v>BHD</v>
      </c>
      <c r="N612" s="2" t="str">
        <f>IFERROR(__xludf.DUMMYFUNCTION("""COMPUTED_VALUE"""),"Credit, Debit")</f>
        <v>Credit, Debit</v>
      </c>
      <c r="O612" s="4">
        <f>IFERROR(__xludf.DUMMYFUNCTION("""COMPUTED_VALUE"""),0.0)</f>
        <v>0</v>
      </c>
      <c r="P612" s="2">
        <f>IFERROR(__xludf.DUMMYFUNCTION("""COMPUTED_VALUE"""),13.0)</f>
        <v>13</v>
      </c>
      <c r="Q612" s="2">
        <f>IFERROR(__xludf.DUMMYFUNCTION("""COMPUTED_VALUE"""),6.0)</f>
        <v>6</v>
      </c>
      <c r="R612" s="2">
        <f>IFERROR(__xludf.DUMMYFUNCTION("""COMPUTED_VALUE"""),2025.0)</f>
        <v>2025</v>
      </c>
      <c r="S612" s="2" t="str">
        <f>IFERROR(__xludf.DUMMYFUNCTION("""COMPUTED_VALUE"""),"Digizag")</f>
        <v>Digizag</v>
      </c>
      <c r="T612" s="2" t="str">
        <f>IFERROR(__xludf.DUMMYFUNCTION("""COMPUTED_VALUE"""),"Digizag")</f>
        <v>Digizag</v>
      </c>
      <c r="U612" s="5">
        <f>IFERROR(__xludf.DUMMYFUNCTION("""COMPUTED_VALUE"""),59.90286585999999)</f>
        <v>59.90286586</v>
      </c>
      <c r="V612" s="2"/>
      <c r="W612" s="2"/>
      <c r="X612" s="2"/>
      <c r="Y612" s="2"/>
      <c r="Z612" s="2"/>
    </row>
    <row r="613">
      <c r="A613" s="6">
        <f>IFERROR(__xludf.DUMMYFUNCTION("""COMPUTED_VALUE"""),45821.76158564815)</f>
        <v>45821.76159</v>
      </c>
      <c r="B613" s="2" t="str">
        <f>IFERROR(__xludf.DUMMYFUNCTION("""COMPUTED_VALUE"""),"June")</f>
        <v>June</v>
      </c>
      <c r="C613" s="3">
        <f>IFERROR(__xludf.DUMMYFUNCTION("""COMPUTED_VALUE"""),231127.0)</f>
        <v>231127</v>
      </c>
      <c r="D613" s="2" t="str">
        <f>IFERROR(__xludf.DUMMYFUNCTION("""COMPUTED_VALUE"""),"DB1")</f>
        <v>DB1</v>
      </c>
      <c r="E613" s="2" t="str">
        <f>IFERROR(__xludf.DUMMYFUNCTION("""COMPUTED_VALUE"""),"Imported from file Digizag.xlsx")</f>
        <v>Imported from file Digizag.xlsx</v>
      </c>
      <c r="F613" s="2" t="str">
        <f>IFERROR(__xludf.DUMMYFUNCTION("""COMPUTED_VALUE"""),"UCZ307406")</f>
        <v>UCZ307406</v>
      </c>
      <c r="G613" s="2" t="str">
        <f>IFERROR(__xludf.DUMMYFUNCTION("""COMPUTED_VALUE"""),"UAE")</f>
        <v>UAE</v>
      </c>
      <c r="H613" s="4">
        <f>IFERROR(__xludf.DUMMYFUNCTION("""COMPUTED_VALUE"""),606.45)</f>
        <v>606.45</v>
      </c>
      <c r="I613" s="3">
        <f>IFERROR(__xludf.DUMMYFUNCTION("""COMPUTED_VALUE"""),0.0)</f>
        <v>0</v>
      </c>
      <c r="J613" s="4">
        <f>IFERROR(__xludf.DUMMYFUNCTION("""COMPUTED_VALUE"""),60.64)</f>
        <v>60.64</v>
      </c>
      <c r="K613" s="2"/>
      <c r="L613" s="2" t="str">
        <f>IFERROR(__xludf.DUMMYFUNCTION("""COMPUTED_VALUE"""),"Processing")</f>
        <v>Processing</v>
      </c>
      <c r="M613" s="2" t="str">
        <f>IFERROR(__xludf.DUMMYFUNCTION("""COMPUTED_VALUE"""),"")</f>
        <v></v>
      </c>
      <c r="N613" s="2" t="str">
        <f>IFERROR(__xludf.DUMMYFUNCTION("""COMPUTED_VALUE"""),"Credit, Debit , Apple Pay")</f>
        <v>Credit, Debit , Apple Pay</v>
      </c>
      <c r="O613" s="4">
        <f>IFERROR(__xludf.DUMMYFUNCTION("""COMPUTED_VALUE"""),0.0)</f>
        <v>0</v>
      </c>
      <c r="P613" s="2">
        <f>IFERROR(__xludf.DUMMYFUNCTION("""COMPUTED_VALUE"""),13.0)</f>
        <v>13</v>
      </c>
      <c r="Q613" s="2">
        <f>IFERROR(__xludf.DUMMYFUNCTION("""COMPUTED_VALUE"""),6.0)</f>
        <v>6</v>
      </c>
      <c r="R613" s="2">
        <f>IFERROR(__xludf.DUMMYFUNCTION("""COMPUTED_VALUE"""),2025.0)</f>
        <v>2025</v>
      </c>
      <c r="S613" s="2" t="str">
        <f>IFERROR(__xludf.DUMMYFUNCTION("""COMPUTED_VALUE"""),"Digizag")</f>
        <v>Digizag</v>
      </c>
      <c r="T613" s="2" t="str">
        <f>IFERROR(__xludf.DUMMYFUNCTION("""COMPUTED_VALUE"""),"Digizag")</f>
        <v>Digizag</v>
      </c>
      <c r="U613" s="5">
        <f>IFERROR(__xludf.DUMMYFUNCTION("""COMPUTED_VALUE"""),165.1327436031)</f>
        <v>165.1327436</v>
      </c>
      <c r="V613" s="2"/>
      <c r="W613" s="2"/>
      <c r="X613" s="2"/>
      <c r="Y613" s="2"/>
      <c r="Z613" s="2"/>
    </row>
    <row r="614">
      <c r="A614" s="6">
        <f>IFERROR(__xludf.DUMMYFUNCTION("""COMPUTED_VALUE"""),45821.84313657407)</f>
        <v>45821.84314</v>
      </c>
      <c r="B614" s="2" t="str">
        <f>IFERROR(__xludf.DUMMYFUNCTION("""COMPUTED_VALUE"""),"June")</f>
        <v>June</v>
      </c>
      <c r="C614" s="3">
        <f>IFERROR(__xludf.DUMMYFUNCTION("""COMPUTED_VALUE"""),108715.0)</f>
        <v>108715</v>
      </c>
      <c r="D614" s="2" t="str">
        <f>IFERROR(__xludf.DUMMYFUNCTION("""COMPUTED_VALUE"""),"ZM22")</f>
        <v>ZM22</v>
      </c>
      <c r="E614" s="2" t="str">
        <f>IFERROR(__xludf.DUMMYFUNCTION("""COMPUTED_VALUE"""),"Imported from file Digizag.xlsx")</f>
        <v>Imported from file Digizag.xlsx</v>
      </c>
      <c r="F614" s="2" t="str">
        <f>IFERROR(__xludf.DUMMYFUNCTION("""COMPUTED_VALUE"""),"DXQ478251")</f>
        <v>DXQ478251</v>
      </c>
      <c r="G614" s="2" t="str">
        <f>IFERROR(__xludf.DUMMYFUNCTION("""COMPUTED_VALUE"""),"UAE")</f>
        <v>UAE</v>
      </c>
      <c r="H614" s="4">
        <f>IFERROR(__xludf.DUMMYFUNCTION("""COMPUTED_VALUE"""),285.0)</f>
        <v>285</v>
      </c>
      <c r="I614" s="3">
        <f>IFERROR(__xludf.DUMMYFUNCTION("""COMPUTED_VALUE"""),0.0)</f>
        <v>0</v>
      </c>
      <c r="J614" s="4">
        <f>IFERROR(__xludf.DUMMYFUNCTION("""COMPUTED_VALUE"""),28.5)</f>
        <v>28.5</v>
      </c>
      <c r="K614" s="2"/>
      <c r="L614" s="2" t="str">
        <f>IFERROR(__xludf.DUMMYFUNCTION("""COMPUTED_VALUE"""),"Processing")</f>
        <v>Processing</v>
      </c>
      <c r="M614" s="2" t="str">
        <f>IFERROR(__xludf.DUMMYFUNCTION("""COMPUTED_VALUE"""),"")</f>
        <v></v>
      </c>
      <c r="N614" s="2" t="str">
        <f>IFERROR(__xludf.DUMMYFUNCTION("""COMPUTED_VALUE"""),"Credit, Debit , Apple Pay")</f>
        <v>Credit, Debit , Apple Pay</v>
      </c>
      <c r="O614" s="4">
        <f>IFERROR(__xludf.DUMMYFUNCTION("""COMPUTED_VALUE"""),0.0)</f>
        <v>0</v>
      </c>
      <c r="P614" s="2">
        <f>IFERROR(__xludf.DUMMYFUNCTION("""COMPUTED_VALUE"""),13.0)</f>
        <v>13</v>
      </c>
      <c r="Q614" s="2">
        <f>IFERROR(__xludf.DUMMYFUNCTION("""COMPUTED_VALUE"""),6.0)</f>
        <v>6</v>
      </c>
      <c r="R614" s="2">
        <f>IFERROR(__xludf.DUMMYFUNCTION("""COMPUTED_VALUE"""),2025.0)</f>
        <v>2025</v>
      </c>
      <c r="S614" s="2" t="str">
        <f>IFERROR(__xludf.DUMMYFUNCTION("""COMPUTED_VALUE"""),"Digizag")</f>
        <v>Digizag</v>
      </c>
      <c r="T614" s="2" t="str">
        <f>IFERROR(__xludf.DUMMYFUNCTION("""COMPUTED_VALUE"""),"Digizag")</f>
        <v>Digizag</v>
      </c>
      <c r="U614" s="5">
        <f>IFERROR(__xludf.DUMMYFUNCTION("""COMPUTED_VALUE"""),77.60381223)</f>
        <v>77.60381223</v>
      </c>
      <c r="V614" s="2"/>
      <c r="W614" s="2"/>
      <c r="X614" s="2"/>
      <c r="Y614" s="2"/>
      <c r="Z614" s="2"/>
    </row>
    <row r="615">
      <c r="A615" s="6">
        <f>IFERROR(__xludf.DUMMYFUNCTION("""COMPUTED_VALUE"""),45821.969189814816)</f>
        <v>45821.96919</v>
      </c>
      <c r="B615" s="2" t="str">
        <f>IFERROR(__xludf.DUMMYFUNCTION("""COMPUTED_VALUE"""),"June")</f>
        <v>June</v>
      </c>
      <c r="C615" s="3">
        <f>IFERROR(__xludf.DUMMYFUNCTION("""COMPUTED_VALUE"""),576608.0)</f>
        <v>576608</v>
      </c>
      <c r="D615" s="2" t="str">
        <f>IFERROR(__xludf.DUMMYFUNCTION("""COMPUTED_VALUE"""),"DB33")</f>
        <v>DB33</v>
      </c>
      <c r="E615" s="2" t="str">
        <f>IFERROR(__xludf.DUMMYFUNCTION("""COMPUTED_VALUE"""),"Imported from file Digizag.xlsx")</f>
        <v>Imported from file Digizag.xlsx</v>
      </c>
      <c r="F615" s="2" t="str">
        <f>IFERROR(__xludf.DUMMYFUNCTION("""COMPUTED_VALUE"""),"XDX318257")</f>
        <v>XDX318257</v>
      </c>
      <c r="G615" s="2" t="str">
        <f>IFERROR(__xludf.DUMMYFUNCTION("""COMPUTED_VALUE"""),"Kuwait")</f>
        <v>Kuwait</v>
      </c>
      <c r="H615" s="4">
        <f>IFERROR(__xludf.DUMMYFUNCTION("""COMPUTED_VALUE"""),43.7)</f>
        <v>43.7</v>
      </c>
      <c r="I615" s="3">
        <f>IFERROR(__xludf.DUMMYFUNCTION("""COMPUTED_VALUE"""),0.0)</f>
        <v>0</v>
      </c>
      <c r="J615" s="4">
        <f>IFERROR(__xludf.DUMMYFUNCTION("""COMPUTED_VALUE"""),4.37)</f>
        <v>4.37</v>
      </c>
      <c r="K615" s="2"/>
      <c r="L615" s="2" t="str">
        <f>IFERROR(__xludf.DUMMYFUNCTION("""COMPUTED_VALUE"""),"Processing")</f>
        <v>Processing</v>
      </c>
      <c r="M615" s="2" t="str">
        <f>IFERROR(__xludf.DUMMYFUNCTION("""COMPUTED_VALUE"""),"KD")</f>
        <v>KD</v>
      </c>
      <c r="N615" s="2" t="str">
        <f>IFERROR(__xludf.DUMMYFUNCTION("""COMPUTED_VALUE"""),"Credit, Debit, Knet")</f>
        <v>Credit, Debit, Knet</v>
      </c>
      <c r="O615" s="4">
        <f>IFERROR(__xludf.DUMMYFUNCTION("""COMPUTED_VALUE"""),0.0)</f>
        <v>0</v>
      </c>
      <c r="P615" s="2">
        <f>IFERROR(__xludf.DUMMYFUNCTION("""COMPUTED_VALUE"""),13.0)</f>
        <v>13</v>
      </c>
      <c r="Q615" s="2">
        <f>IFERROR(__xludf.DUMMYFUNCTION("""COMPUTED_VALUE"""),6.0)</f>
        <v>6</v>
      </c>
      <c r="R615" s="2">
        <f>IFERROR(__xludf.DUMMYFUNCTION("""COMPUTED_VALUE"""),2025.0)</f>
        <v>2025</v>
      </c>
      <c r="S615" s="2" t="str">
        <f>IFERROR(__xludf.DUMMYFUNCTION("""COMPUTED_VALUE"""),"Digizag")</f>
        <v>Digizag</v>
      </c>
      <c r="T615" s="2" t="str">
        <f>IFERROR(__xludf.DUMMYFUNCTION("""COMPUTED_VALUE"""),"Digizag")</f>
        <v>Digizag</v>
      </c>
      <c r="U615" s="5">
        <f>IFERROR(__xludf.DUMMYFUNCTION("""COMPUTED_VALUE"""),142.489094)</f>
        <v>142.489094</v>
      </c>
      <c r="V615" s="2"/>
      <c r="W615" s="2"/>
      <c r="X615" s="2"/>
      <c r="Y615" s="2"/>
      <c r="Z615" s="2"/>
    </row>
    <row r="616">
      <c r="A616" s="6">
        <f>IFERROR(__xludf.DUMMYFUNCTION("""COMPUTED_VALUE"""),45822.352314814816)</f>
        <v>45822.35231</v>
      </c>
      <c r="B616" s="2" t="str">
        <f>IFERROR(__xludf.DUMMYFUNCTION("""COMPUTED_VALUE"""),"June")</f>
        <v>June</v>
      </c>
      <c r="C616" s="3">
        <f>IFERROR(__xludf.DUMMYFUNCTION("""COMPUTED_VALUE"""),22815.0)</f>
        <v>22815</v>
      </c>
      <c r="D616" s="2" t="str">
        <f>IFERROR(__xludf.DUMMYFUNCTION("""COMPUTED_VALUE"""),"ZM22")</f>
        <v>ZM22</v>
      </c>
      <c r="E616" s="2" t="str">
        <f>IFERROR(__xludf.DUMMYFUNCTION("""COMPUTED_VALUE"""),"Imported from file Digizag.xlsx")</f>
        <v>Imported from file Digizag.xlsx</v>
      </c>
      <c r="F616" s="2" t="str">
        <f>IFERROR(__xludf.DUMMYFUNCTION("""COMPUTED_VALUE"""),"MQJ346170")</f>
        <v>MQJ346170</v>
      </c>
      <c r="G616" s="2" t="str">
        <f>IFERROR(__xludf.DUMMYFUNCTION("""COMPUTED_VALUE"""),"UAE")</f>
        <v>UAE</v>
      </c>
      <c r="H616" s="4">
        <f>IFERROR(__xludf.DUMMYFUNCTION("""COMPUTED_VALUE"""),585.0)</f>
        <v>585</v>
      </c>
      <c r="I616" s="3">
        <f>IFERROR(__xludf.DUMMYFUNCTION("""COMPUTED_VALUE"""),0.0)</f>
        <v>0</v>
      </c>
      <c r="J616" s="4">
        <f>IFERROR(__xludf.DUMMYFUNCTION("""COMPUTED_VALUE"""),58.5)</f>
        <v>58.5</v>
      </c>
      <c r="K616" s="2"/>
      <c r="L616" s="2" t="str">
        <f>IFERROR(__xludf.DUMMYFUNCTION("""COMPUTED_VALUE"""),"Processing")</f>
        <v>Processing</v>
      </c>
      <c r="M616" s="2" t="str">
        <f>IFERROR(__xludf.DUMMYFUNCTION("""COMPUTED_VALUE"""),"")</f>
        <v></v>
      </c>
      <c r="N616" s="2" t="str">
        <f>IFERROR(__xludf.DUMMYFUNCTION("""COMPUTED_VALUE"""),"Cash")</f>
        <v>Cash</v>
      </c>
      <c r="O616" s="4">
        <f>IFERROR(__xludf.DUMMYFUNCTION("""COMPUTED_VALUE"""),0.0)</f>
        <v>0</v>
      </c>
      <c r="P616" s="2">
        <f>IFERROR(__xludf.DUMMYFUNCTION("""COMPUTED_VALUE"""),14.0)</f>
        <v>14</v>
      </c>
      <c r="Q616" s="2">
        <f>IFERROR(__xludf.DUMMYFUNCTION("""COMPUTED_VALUE"""),6.0)</f>
        <v>6</v>
      </c>
      <c r="R616" s="2">
        <f>IFERROR(__xludf.DUMMYFUNCTION("""COMPUTED_VALUE"""),2025.0)</f>
        <v>2025</v>
      </c>
      <c r="S616" s="2" t="str">
        <f>IFERROR(__xludf.DUMMYFUNCTION("""COMPUTED_VALUE"""),"Digizag")</f>
        <v>Digizag</v>
      </c>
      <c r="T616" s="2" t="str">
        <f>IFERROR(__xludf.DUMMYFUNCTION("""COMPUTED_VALUE"""),"Digizag")</f>
        <v>Digizag</v>
      </c>
      <c r="U616" s="5">
        <f>IFERROR(__xludf.DUMMYFUNCTION("""COMPUTED_VALUE"""),159.29203563)</f>
        <v>159.2920356</v>
      </c>
      <c r="V616" s="2"/>
      <c r="W616" s="2"/>
      <c r="X616" s="2"/>
      <c r="Y616" s="2"/>
      <c r="Z616" s="2"/>
    </row>
    <row r="617">
      <c r="A617" s="6">
        <f>IFERROR(__xludf.DUMMYFUNCTION("""COMPUTED_VALUE"""),45822.36924768519)</f>
        <v>45822.36925</v>
      </c>
      <c r="B617" s="2" t="str">
        <f>IFERROR(__xludf.DUMMYFUNCTION("""COMPUTED_VALUE"""),"June")</f>
        <v>June</v>
      </c>
      <c r="C617" s="3">
        <f>IFERROR(__xludf.DUMMYFUNCTION("""COMPUTED_VALUE"""),162041.0)</f>
        <v>162041</v>
      </c>
      <c r="D617" s="2" t="str">
        <f>IFERROR(__xludf.DUMMYFUNCTION("""COMPUTED_VALUE"""),"ZM22")</f>
        <v>ZM22</v>
      </c>
      <c r="E617" s="2" t="str">
        <f>IFERROR(__xludf.DUMMYFUNCTION("""COMPUTED_VALUE"""),"Imported from file Digizag.xlsx")</f>
        <v>Imported from file Digizag.xlsx</v>
      </c>
      <c r="F617" s="2" t="str">
        <f>IFERROR(__xludf.DUMMYFUNCTION("""COMPUTED_VALUE"""),"BLW989483")</f>
        <v>BLW989483</v>
      </c>
      <c r="G617" s="2" t="str">
        <f>IFERROR(__xludf.DUMMYFUNCTION("""COMPUTED_VALUE"""),"UAE")</f>
        <v>UAE</v>
      </c>
      <c r="H617" s="4">
        <f>IFERROR(__xludf.DUMMYFUNCTION("""COMPUTED_VALUE"""),123.8)</f>
        <v>123.8</v>
      </c>
      <c r="I617" s="3">
        <f>IFERROR(__xludf.DUMMYFUNCTION("""COMPUTED_VALUE"""),0.0)</f>
        <v>0</v>
      </c>
      <c r="J617" s="4">
        <f>IFERROR(__xludf.DUMMYFUNCTION("""COMPUTED_VALUE"""),12.38)</f>
        <v>12.38</v>
      </c>
      <c r="K617" s="2"/>
      <c r="L617" s="2" t="str">
        <f>IFERROR(__xludf.DUMMYFUNCTION("""COMPUTED_VALUE"""),"Delivered")</f>
        <v>Delivered</v>
      </c>
      <c r="M617" s="2" t="str">
        <f>IFERROR(__xludf.DUMMYFUNCTION("""COMPUTED_VALUE"""),"")</f>
        <v></v>
      </c>
      <c r="N617" s="2" t="str">
        <f>IFERROR(__xludf.DUMMYFUNCTION("""COMPUTED_VALUE"""),"Credit, Debit , Apple Pay")</f>
        <v>Credit, Debit , Apple Pay</v>
      </c>
      <c r="O617" s="4">
        <f>IFERROR(__xludf.DUMMYFUNCTION("""COMPUTED_VALUE"""),0.0)</f>
        <v>0</v>
      </c>
      <c r="P617" s="2">
        <f>IFERROR(__xludf.DUMMYFUNCTION("""COMPUTED_VALUE"""),14.0)</f>
        <v>14</v>
      </c>
      <c r="Q617" s="2">
        <f>IFERROR(__xludf.DUMMYFUNCTION("""COMPUTED_VALUE"""),6.0)</f>
        <v>6</v>
      </c>
      <c r="R617" s="2">
        <f>IFERROR(__xludf.DUMMYFUNCTION("""COMPUTED_VALUE"""),2025.0)</f>
        <v>2025</v>
      </c>
      <c r="S617" s="2" t="str">
        <f>IFERROR(__xludf.DUMMYFUNCTION("""COMPUTED_VALUE"""),"Digizag")</f>
        <v>Digizag</v>
      </c>
      <c r="T617" s="2" t="str">
        <f>IFERROR(__xludf.DUMMYFUNCTION("""COMPUTED_VALUE"""),"Digizag")</f>
        <v>Digizag</v>
      </c>
      <c r="U617" s="5">
        <f>IFERROR(__xludf.DUMMYFUNCTION("""COMPUTED_VALUE"""),33.7100068564)</f>
        <v>33.71000686</v>
      </c>
      <c r="V617" s="2"/>
      <c r="W617" s="2"/>
      <c r="X617" s="2"/>
      <c r="Y617" s="2"/>
      <c r="Z617" s="2"/>
    </row>
    <row r="618">
      <c r="A618" s="6">
        <f>IFERROR(__xludf.DUMMYFUNCTION("""COMPUTED_VALUE"""),45823.200162037036)</f>
        <v>45823.20016</v>
      </c>
      <c r="B618" s="2" t="str">
        <f>IFERROR(__xludf.DUMMYFUNCTION("""COMPUTED_VALUE"""),"June")</f>
        <v>June</v>
      </c>
      <c r="C618" s="3">
        <f>IFERROR(__xludf.DUMMYFUNCTION("""COMPUTED_VALUE"""),613092.0)</f>
        <v>613092</v>
      </c>
      <c r="D618" s="2" t="str">
        <f>IFERROR(__xludf.DUMMYFUNCTION("""COMPUTED_VALUE"""),"ZM22")</f>
        <v>ZM22</v>
      </c>
      <c r="E618" s="2" t="str">
        <f>IFERROR(__xludf.DUMMYFUNCTION("""COMPUTED_VALUE"""),"Imported from file Digizag.xlsx")</f>
        <v>Imported from file Digizag.xlsx</v>
      </c>
      <c r="F618" s="2" t="str">
        <f>IFERROR(__xludf.DUMMYFUNCTION("""COMPUTED_VALUE"""),"ZNY214030")</f>
        <v>ZNY214030</v>
      </c>
      <c r="G618" s="2" t="str">
        <f>IFERROR(__xludf.DUMMYFUNCTION("""COMPUTED_VALUE"""),"UAE")</f>
        <v>UAE</v>
      </c>
      <c r="H618" s="4">
        <f>IFERROR(__xludf.DUMMYFUNCTION("""COMPUTED_VALUE"""),139.76)</f>
        <v>139.76</v>
      </c>
      <c r="I618" s="3">
        <f>IFERROR(__xludf.DUMMYFUNCTION("""COMPUTED_VALUE"""),0.0)</f>
        <v>0</v>
      </c>
      <c r="J618" s="4">
        <f>IFERROR(__xludf.DUMMYFUNCTION("""COMPUTED_VALUE"""),13.97)</f>
        <v>13.97</v>
      </c>
      <c r="K618" s="2"/>
      <c r="L618" s="2" t="str">
        <f>IFERROR(__xludf.DUMMYFUNCTION("""COMPUTED_VALUE"""),"Delivered")</f>
        <v>Delivered</v>
      </c>
      <c r="M618" s="2" t="str">
        <f>IFERROR(__xludf.DUMMYFUNCTION("""COMPUTED_VALUE"""),"")</f>
        <v></v>
      </c>
      <c r="N618" s="2" t="str">
        <f>IFERROR(__xludf.DUMMYFUNCTION("""COMPUTED_VALUE"""),"Credit, Debit , Apple Pay")</f>
        <v>Credit, Debit , Apple Pay</v>
      </c>
      <c r="O618" s="4">
        <f>IFERROR(__xludf.DUMMYFUNCTION("""COMPUTED_VALUE"""),0.0)</f>
        <v>0</v>
      </c>
      <c r="P618" s="2">
        <f>IFERROR(__xludf.DUMMYFUNCTION("""COMPUTED_VALUE"""),15.0)</f>
        <v>15</v>
      </c>
      <c r="Q618" s="2">
        <f>IFERROR(__xludf.DUMMYFUNCTION("""COMPUTED_VALUE"""),6.0)</f>
        <v>6</v>
      </c>
      <c r="R618" s="2">
        <f>IFERROR(__xludf.DUMMYFUNCTION("""COMPUTED_VALUE"""),2025.0)</f>
        <v>2025</v>
      </c>
      <c r="S618" s="2" t="str">
        <f>IFERROR(__xludf.DUMMYFUNCTION("""COMPUTED_VALUE"""),"Digizag")</f>
        <v>Digizag</v>
      </c>
      <c r="T618" s="2" t="str">
        <f>IFERROR(__xludf.DUMMYFUNCTION("""COMPUTED_VALUE"""),"Digizag")</f>
        <v>Digizag</v>
      </c>
      <c r="U618" s="5">
        <f>IFERROR(__xludf.DUMMYFUNCTION("""COMPUTED_VALUE"""),38.05582034128)</f>
        <v>38.05582034</v>
      </c>
      <c r="V618" s="2"/>
      <c r="W618" s="2"/>
      <c r="X618" s="2"/>
      <c r="Y618" s="2"/>
      <c r="Z618" s="2"/>
    </row>
    <row r="619">
      <c r="A619" s="6">
        <f>IFERROR(__xludf.DUMMYFUNCTION("""COMPUTED_VALUE"""),45823.25540509259)</f>
        <v>45823.25541</v>
      </c>
      <c r="B619" s="2" t="str">
        <f>IFERROR(__xludf.DUMMYFUNCTION("""COMPUTED_VALUE"""),"June")</f>
        <v>June</v>
      </c>
      <c r="C619" s="3">
        <f>IFERROR(__xludf.DUMMYFUNCTION("""COMPUTED_VALUE"""),757829.0)</f>
        <v>757829</v>
      </c>
      <c r="D619" s="2" t="str">
        <f>IFERROR(__xludf.DUMMYFUNCTION("""COMPUTED_VALUE"""),"DB3")</f>
        <v>DB3</v>
      </c>
      <c r="E619" s="2" t="str">
        <f>IFERROR(__xludf.DUMMYFUNCTION("""COMPUTED_VALUE"""),"Imported from file Digizag.xlsx")</f>
        <v>Imported from file Digizag.xlsx</v>
      </c>
      <c r="F619" s="2" t="str">
        <f>IFERROR(__xludf.DUMMYFUNCTION("""COMPUTED_VALUE"""),"QCC815849")</f>
        <v>QCC815849</v>
      </c>
      <c r="G619" s="2" t="str">
        <f>IFERROR(__xludf.DUMMYFUNCTION("""COMPUTED_VALUE"""),"Bahrain")</f>
        <v>Bahrain</v>
      </c>
      <c r="H619" s="4">
        <f>IFERROR(__xludf.DUMMYFUNCTION("""COMPUTED_VALUE"""),8.0)</f>
        <v>8</v>
      </c>
      <c r="I619" s="3">
        <f>IFERROR(__xludf.DUMMYFUNCTION("""COMPUTED_VALUE"""),0.0)</f>
        <v>0</v>
      </c>
      <c r="J619" s="4">
        <f>IFERROR(__xludf.DUMMYFUNCTION("""COMPUTED_VALUE"""),0.8)</f>
        <v>0.8</v>
      </c>
      <c r="K619" s="2"/>
      <c r="L619" s="2" t="str">
        <f>IFERROR(__xludf.DUMMYFUNCTION("""COMPUTED_VALUE"""),"Delivered")</f>
        <v>Delivered</v>
      </c>
      <c r="M619" s="2" t="str">
        <f>IFERROR(__xludf.DUMMYFUNCTION("""COMPUTED_VALUE"""),"BHD")</f>
        <v>BHD</v>
      </c>
      <c r="N619" s="2" t="str">
        <f>IFERROR(__xludf.DUMMYFUNCTION("""COMPUTED_VALUE"""),"Credit, Debit")</f>
        <v>Credit, Debit</v>
      </c>
      <c r="O619" s="4">
        <f>IFERROR(__xludf.DUMMYFUNCTION("""COMPUTED_VALUE"""),0.0)</f>
        <v>0</v>
      </c>
      <c r="P619" s="2">
        <f>IFERROR(__xludf.DUMMYFUNCTION("""COMPUTED_VALUE"""),15.0)</f>
        <v>15</v>
      </c>
      <c r="Q619" s="2">
        <f>IFERROR(__xludf.DUMMYFUNCTION("""COMPUTED_VALUE"""),6.0)</f>
        <v>6</v>
      </c>
      <c r="R619" s="2">
        <f>IFERROR(__xludf.DUMMYFUNCTION("""COMPUTED_VALUE"""),2025.0)</f>
        <v>2025</v>
      </c>
      <c r="S619" s="2" t="str">
        <f>IFERROR(__xludf.DUMMYFUNCTION("""COMPUTED_VALUE"""),"Digizag")</f>
        <v>Digizag</v>
      </c>
      <c r="T619" s="2" t="str">
        <f>IFERROR(__xludf.DUMMYFUNCTION("""COMPUTED_VALUE"""),"Digizag")</f>
        <v>Digizag</v>
      </c>
      <c r="U619" s="5">
        <f>IFERROR(__xludf.DUMMYFUNCTION("""COMPUTED_VALUE"""),21.223336)</f>
        <v>21.223336</v>
      </c>
      <c r="V619" s="2"/>
      <c r="W619" s="2"/>
      <c r="X619" s="2"/>
      <c r="Y619" s="2"/>
      <c r="Z619" s="2"/>
    </row>
    <row r="620">
      <c r="A620" s="6">
        <f>IFERROR(__xludf.DUMMYFUNCTION("""COMPUTED_VALUE"""),45823.599444444444)</f>
        <v>45823.59944</v>
      </c>
      <c r="B620" s="2" t="str">
        <f>IFERROR(__xludf.DUMMYFUNCTION("""COMPUTED_VALUE"""),"June")</f>
        <v>June</v>
      </c>
      <c r="C620" s="3">
        <f>IFERROR(__xludf.DUMMYFUNCTION("""COMPUTED_VALUE"""),170375.0)</f>
        <v>170375</v>
      </c>
      <c r="D620" s="2" t="str">
        <f>IFERROR(__xludf.DUMMYFUNCTION("""COMPUTED_VALUE"""),"DB3")</f>
        <v>DB3</v>
      </c>
      <c r="E620" s="2" t="str">
        <f>IFERROR(__xludf.DUMMYFUNCTION("""COMPUTED_VALUE"""),"Imported from file Digizag.xlsx")</f>
        <v>Imported from file Digizag.xlsx</v>
      </c>
      <c r="F620" s="2" t="str">
        <f>IFERROR(__xludf.DUMMYFUNCTION("""COMPUTED_VALUE"""),"ZKU375556")</f>
        <v>ZKU375556</v>
      </c>
      <c r="G620" s="2" t="str">
        <f>IFERROR(__xludf.DUMMYFUNCTION("""COMPUTED_VALUE"""),"Kingdom of Saudi Arabia")</f>
        <v>Kingdom of Saudi Arabia</v>
      </c>
      <c r="H620" s="4">
        <f>IFERROR(__xludf.DUMMYFUNCTION("""COMPUTED_VALUE"""),86.0)</f>
        <v>86</v>
      </c>
      <c r="I620" s="3">
        <f>IFERROR(__xludf.DUMMYFUNCTION("""COMPUTED_VALUE"""),0.0)</f>
        <v>0</v>
      </c>
      <c r="J620" s="4">
        <f>IFERROR(__xludf.DUMMYFUNCTION("""COMPUTED_VALUE"""),30.0)</f>
        <v>30</v>
      </c>
      <c r="K620" s="2"/>
      <c r="L620" s="2" t="str">
        <f>IFERROR(__xludf.DUMMYFUNCTION("""COMPUTED_VALUE"""),"Delivered")</f>
        <v>Delivered</v>
      </c>
      <c r="M620" s="2" t="str">
        <f>IFERROR(__xludf.DUMMYFUNCTION("""COMPUTED_VALUE"""),"")</f>
        <v></v>
      </c>
      <c r="N620" s="2" t="str">
        <f>IFERROR(__xludf.DUMMYFUNCTION("""COMPUTED_VALUE"""),"Credit, Debit, Apple Pay")</f>
        <v>Credit, Debit, Apple Pay</v>
      </c>
      <c r="O620" s="4">
        <f>IFERROR(__xludf.DUMMYFUNCTION("""COMPUTED_VALUE"""),0.0)</f>
        <v>0</v>
      </c>
      <c r="P620" s="2">
        <f>IFERROR(__xludf.DUMMYFUNCTION("""COMPUTED_VALUE"""),15.0)</f>
        <v>15</v>
      </c>
      <c r="Q620" s="2">
        <f>IFERROR(__xludf.DUMMYFUNCTION("""COMPUTED_VALUE"""),6.0)</f>
        <v>6</v>
      </c>
      <c r="R620" s="2">
        <f>IFERROR(__xludf.DUMMYFUNCTION("""COMPUTED_VALUE"""),2025.0)</f>
        <v>2025</v>
      </c>
      <c r="S620" s="2" t="str">
        <f>IFERROR(__xludf.DUMMYFUNCTION("""COMPUTED_VALUE"""),"Digizag")</f>
        <v>Digizag</v>
      </c>
      <c r="T620" s="2" t="str">
        <f>IFERROR(__xludf.DUMMYFUNCTION("""COMPUTED_VALUE"""),"Digizag")</f>
        <v>Digizag</v>
      </c>
      <c r="U620" s="5">
        <f>IFERROR(__xludf.DUMMYFUNCTION("""COMPUTED_VALUE"""),22.931559956)</f>
        <v>22.93155996</v>
      </c>
      <c r="V620" s="2"/>
      <c r="W620" s="2"/>
      <c r="X620" s="2"/>
      <c r="Y620" s="2"/>
      <c r="Z620" s="2"/>
    </row>
    <row r="621">
      <c r="A621" s="6">
        <f>IFERROR(__xludf.DUMMYFUNCTION("""COMPUTED_VALUE"""),45823.63136574074)</f>
        <v>45823.63137</v>
      </c>
      <c r="B621" s="2" t="str">
        <f>IFERROR(__xludf.DUMMYFUNCTION("""COMPUTED_VALUE"""),"June")</f>
        <v>June</v>
      </c>
      <c r="C621" s="3">
        <f>IFERROR(__xludf.DUMMYFUNCTION("""COMPUTED_VALUE"""),19546.0)</f>
        <v>19546</v>
      </c>
      <c r="D621" s="2" t="str">
        <f>IFERROR(__xludf.DUMMYFUNCTION("""COMPUTED_VALUE"""),"JM")</f>
        <v>JM</v>
      </c>
      <c r="E621" s="2" t="str">
        <f>IFERROR(__xludf.DUMMYFUNCTION("""COMPUTED_VALUE"""),"DigiZag")</f>
        <v>DigiZag</v>
      </c>
      <c r="F621" s="2" t="str">
        <f>IFERROR(__xludf.DUMMYFUNCTION("""COMPUTED_VALUE"""),"WSN319044")</f>
        <v>WSN319044</v>
      </c>
      <c r="G621" s="2" t="str">
        <f>IFERROR(__xludf.DUMMYFUNCTION("""COMPUTED_VALUE"""),"Bahrain")</f>
        <v>Bahrain</v>
      </c>
      <c r="H621" s="4">
        <f>IFERROR(__xludf.DUMMYFUNCTION("""COMPUTED_VALUE"""),76.02)</f>
        <v>76.02</v>
      </c>
      <c r="I621" s="3">
        <f>IFERROR(__xludf.DUMMYFUNCTION("""COMPUTED_VALUE"""),0.0)</f>
        <v>0</v>
      </c>
      <c r="J621" s="4">
        <f>IFERROR(__xludf.DUMMYFUNCTION("""COMPUTED_VALUE"""),7.57)</f>
        <v>7.57</v>
      </c>
      <c r="K621" s="2"/>
      <c r="L621" s="2" t="str">
        <f>IFERROR(__xludf.DUMMYFUNCTION("""COMPUTED_VALUE"""),"Delivered")</f>
        <v>Delivered</v>
      </c>
      <c r="M621" s="2" t="str">
        <f>IFERROR(__xludf.DUMMYFUNCTION("""COMPUTED_VALUE"""),"BHD")</f>
        <v>BHD</v>
      </c>
      <c r="N621" s="2" t="str">
        <f>IFERROR(__xludf.DUMMYFUNCTION("""COMPUTED_VALUE"""),"Credit, Debit")</f>
        <v>Credit, Debit</v>
      </c>
      <c r="O621" s="4">
        <f>IFERROR(__xludf.DUMMYFUNCTION("""COMPUTED_VALUE"""),0.0)</f>
        <v>0</v>
      </c>
      <c r="P621" s="2">
        <f>IFERROR(__xludf.DUMMYFUNCTION("""COMPUTED_VALUE"""),15.0)</f>
        <v>15</v>
      </c>
      <c r="Q621" s="2">
        <f>IFERROR(__xludf.DUMMYFUNCTION("""COMPUTED_VALUE"""),6.0)</f>
        <v>6</v>
      </c>
      <c r="R621" s="2">
        <f>IFERROR(__xludf.DUMMYFUNCTION("""COMPUTED_VALUE"""),2025.0)</f>
        <v>2025</v>
      </c>
      <c r="S621" s="2" t="str">
        <f>IFERROR(__xludf.DUMMYFUNCTION("""COMPUTED_VALUE"""),"Digizag")</f>
        <v>Digizag</v>
      </c>
      <c r="T621" s="2" t="str">
        <f>IFERROR(__xludf.DUMMYFUNCTION("""COMPUTED_VALUE"""),"Digizag")</f>
        <v>Digizag</v>
      </c>
      <c r="U621" s="5">
        <f>IFERROR(__xludf.DUMMYFUNCTION("""COMPUTED_VALUE"""),201.67475033999997)</f>
        <v>201.6747503</v>
      </c>
      <c r="V621" s="2"/>
      <c r="W621" s="2"/>
      <c r="X621" s="2"/>
      <c r="Y621" s="2"/>
      <c r="Z621" s="2"/>
    </row>
    <row r="622">
      <c r="A622" s="6">
        <f>IFERROR(__xludf.DUMMYFUNCTION("""COMPUTED_VALUE"""),45824.60564814814)</f>
        <v>45824.60565</v>
      </c>
      <c r="B622" s="2" t="str">
        <f>IFERROR(__xludf.DUMMYFUNCTION("""COMPUTED_VALUE"""),"June")</f>
        <v>June</v>
      </c>
      <c r="C622" s="3">
        <f>IFERROR(__xludf.DUMMYFUNCTION("""COMPUTED_VALUE"""),124509.0)</f>
        <v>124509</v>
      </c>
      <c r="D622" s="2" t="str">
        <f>IFERROR(__xludf.DUMMYFUNCTION("""COMPUTED_VALUE"""),"ZM22")</f>
        <v>ZM22</v>
      </c>
      <c r="E622" s="2" t="str">
        <f>IFERROR(__xludf.DUMMYFUNCTION("""COMPUTED_VALUE"""),"Imported from file Digizag.xlsx")</f>
        <v>Imported from file Digizag.xlsx</v>
      </c>
      <c r="F622" s="2" t="str">
        <f>IFERROR(__xludf.DUMMYFUNCTION("""COMPUTED_VALUE"""),"ZKW411478")</f>
        <v>ZKW411478</v>
      </c>
      <c r="G622" s="2" t="str">
        <f>IFERROR(__xludf.DUMMYFUNCTION("""COMPUTED_VALUE"""),"UAE")</f>
        <v>UAE</v>
      </c>
      <c r="H622" s="4">
        <f>IFERROR(__xludf.DUMMYFUNCTION("""COMPUTED_VALUE"""),322.85)</f>
        <v>322.85</v>
      </c>
      <c r="I622" s="3">
        <f>IFERROR(__xludf.DUMMYFUNCTION("""COMPUTED_VALUE"""),0.0)</f>
        <v>0</v>
      </c>
      <c r="J622" s="4">
        <f>IFERROR(__xludf.DUMMYFUNCTION("""COMPUTED_VALUE"""),32.27)</f>
        <v>32.27</v>
      </c>
      <c r="K622" s="2"/>
      <c r="L622" s="2" t="str">
        <f>IFERROR(__xludf.DUMMYFUNCTION("""COMPUTED_VALUE"""),"Delivered")</f>
        <v>Delivered</v>
      </c>
      <c r="M622" s="2" t="str">
        <f>IFERROR(__xludf.DUMMYFUNCTION("""COMPUTED_VALUE"""),"")</f>
        <v></v>
      </c>
      <c r="N622" s="2" t="str">
        <f>IFERROR(__xludf.DUMMYFUNCTION("""COMPUTED_VALUE"""),"Credit, Debit , Apple Pay")</f>
        <v>Credit, Debit , Apple Pay</v>
      </c>
      <c r="O622" s="4">
        <f>IFERROR(__xludf.DUMMYFUNCTION("""COMPUTED_VALUE"""),0.0)</f>
        <v>0</v>
      </c>
      <c r="P622" s="2">
        <f>IFERROR(__xludf.DUMMYFUNCTION("""COMPUTED_VALUE"""),16.0)</f>
        <v>16</v>
      </c>
      <c r="Q622" s="2">
        <f>IFERROR(__xludf.DUMMYFUNCTION("""COMPUTED_VALUE"""),6.0)</f>
        <v>6</v>
      </c>
      <c r="R622" s="2">
        <f>IFERROR(__xludf.DUMMYFUNCTION("""COMPUTED_VALUE"""),2025.0)</f>
        <v>2025</v>
      </c>
      <c r="S622" s="2" t="str">
        <f>IFERROR(__xludf.DUMMYFUNCTION("""COMPUTED_VALUE"""),"Digizag")</f>
        <v>Digizag</v>
      </c>
      <c r="T622" s="2" t="str">
        <f>IFERROR(__xludf.DUMMYFUNCTION("""COMPUTED_VALUE"""),"Digizag")</f>
        <v>Digizag</v>
      </c>
      <c r="U622" s="5">
        <f>IFERROR(__xludf.DUMMYFUNCTION("""COMPUTED_VALUE"""),87.91014308230001)</f>
        <v>87.91014308</v>
      </c>
      <c r="V622" s="2"/>
      <c r="W622" s="2"/>
      <c r="X622" s="2"/>
      <c r="Y622" s="2"/>
      <c r="Z622" s="2"/>
    </row>
    <row r="623">
      <c r="A623" s="6">
        <f>IFERROR(__xludf.DUMMYFUNCTION("""COMPUTED_VALUE"""),45824.64136574074)</f>
        <v>45824.64137</v>
      </c>
      <c r="B623" s="2" t="str">
        <f>IFERROR(__xludf.DUMMYFUNCTION("""COMPUTED_VALUE"""),"June")</f>
        <v>June</v>
      </c>
      <c r="C623" s="3">
        <f>IFERROR(__xludf.DUMMYFUNCTION("""COMPUTED_VALUE"""),53513.0)</f>
        <v>53513</v>
      </c>
      <c r="D623" s="2" t="str">
        <f>IFERROR(__xludf.DUMMYFUNCTION("""COMPUTED_VALUE"""),"SA5")</f>
        <v>SA5</v>
      </c>
      <c r="E623" s="2" t="str">
        <f>IFERROR(__xludf.DUMMYFUNCTION("""COMPUTED_VALUE"""),"Imported from file Digizag.xlsx")</f>
        <v>Imported from file Digizag.xlsx</v>
      </c>
      <c r="F623" s="2" t="str">
        <f>IFERROR(__xludf.DUMMYFUNCTION("""COMPUTED_VALUE"""),"LEL834185")</f>
        <v>LEL834185</v>
      </c>
      <c r="G623" s="2" t="str">
        <f>IFERROR(__xludf.DUMMYFUNCTION("""COMPUTED_VALUE"""),"Kingdom of Saudi Arabia")</f>
        <v>Kingdom of Saudi Arabia</v>
      </c>
      <c r="H623" s="4">
        <f>IFERROR(__xludf.DUMMYFUNCTION("""COMPUTED_VALUE"""),209.0)</f>
        <v>209</v>
      </c>
      <c r="I623" s="3">
        <f>IFERROR(__xludf.DUMMYFUNCTION("""COMPUTED_VALUE"""),0.0)</f>
        <v>0</v>
      </c>
      <c r="J623" s="4">
        <f>IFERROR(__xludf.DUMMYFUNCTION("""COMPUTED_VALUE"""),30.0)</f>
        <v>30</v>
      </c>
      <c r="K623" s="2"/>
      <c r="L623" s="2" t="str">
        <f>IFERROR(__xludf.DUMMYFUNCTION("""COMPUTED_VALUE"""),"Processing")</f>
        <v>Processing</v>
      </c>
      <c r="M623" s="2" t="str">
        <f>IFERROR(__xludf.DUMMYFUNCTION("""COMPUTED_VALUE"""),"")</f>
        <v></v>
      </c>
      <c r="N623" s="2" t="str">
        <f>IFERROR(__xludf.DUMMYFUNCTION("""COMPUTED_VALUE"""),"Credit, Debit, Apple Pay")</f>
        <v>Credit, Debit, Apple Pay</v>
      </c>
      <c r="O623" s="4">
        <f>IFERROR(__xludf.DUMMYFUNCTION("""COMPUTED_VALUE"""),0.0)</f>
        <v>0</v>
      </c>
      <c r="P623" s="2">
        <f>IFERROR(__xludf.DUMMYFUNCTION("""COMPUTED_VALUE"""),16.0)</f>
        <v>16</v>
      </c>
      <c r="Q623" s="2">
        <f>IFERROR(__xludf.DUMMYFUNCTION("""COMPUTED_VALUE"""),6.0)</f>
        <v>6</v>
      </c>
      <c r="R623" s="2">
        <f>IFERROR(__xludf.DUMMYFUNCTION("""COMPUTED_VALUE"""),2025.0)</f>
        <v>2025</v>
      </c>
      <c r="S623" s="2" t="str">
        <f>IFERROR(__xludf.DUMMYFUNCTION("""COMPUTED_VALUE"""),"Digizag")</f>
        <v>Digizag</v>
      </c>
      <c r="T623" s="2" t="str">
        <f>IFERROR(__xludf.DUMMYFUNCTION("""COMPUTED_VALUE"""),"Digizag")</f>
        <v>Digizag</v>
      </c>
      <c r="U623" s="5">
        <f>IFERROR(__xludf.DUMMYFUNCTION("""COMPUTED_VALUE"""),55.729023614000006)</f>
        <v>55.72902361</v>
      </c>
      <c r="V623" s="2"/>
      <c r="W623" s="2"/>
      <c r="X623" s="2"/>
      <c r="Y623" s="2"/>
      <c r="Z623" s="2"/>
    </row>
    <row r="624">
      <c r="A624" s="6">
        <f>IFERROR(__xludf.DUMMYFUNCTION("""COMPUTED_VALUE"""),45824.681608796294)</f>
        <v>45824.68161</v>
      </c>
      <c r="B624" s="2" t="str">
        <f>IFERROR(__xludf.DUMMYFUNCTION("""COMPUTED_VALUE"""),"June")</f>
        <v>June</v>
      </c>
      <c r="C624" s="3">
        <f>IFERROR(__xludf.DUMMYFUNCTION("""COMPUTED_VALUE"""),622331.0)</f>
        <v>622331</v>
      </c>
      <c r="D624" s="2" t="str">
        <f>IFERROR(__xludf.DUMMYFUNCTION("""COMPUTED_VALUE"""),"ZM22")</f>
        <v>ZM22</v>
      </c>
      <c r="E624" s="2" t="str">
        <f>IFERROR(__xludf.DUMMYFUNCTION("""COMPUTED_VALUE"""),"Imported from file Digizag.xlsx")</f>
        <v>Imported from file Digizag.xlsx</v>
      </c>
      <c r="F624" s="2" t="str">
        <f>IFERROR(__xludf.DUMMYFUNCTION("""COMPUTED_VALUE"""),"JTP217140")</f>
        <v>JTP217140</v>
      </c>
      <c r="G624" s="2" t="str">
        <f>IFERROR(__xludf.DUMMYFUNCTION("""COMPUTED_VALUE"""),"UAE")</f>
        <v>UAE</v>
      </c>
      <c r="H624" s="4">
        <f>IFERROR(__xludf.DUMMYFUNCTION("""COMPUTED_VALUE"""),160.67)</f>
        <v>160.67</v>
      </c>
      <c r="I624" s="3">
        <f>IFERROR(__xludf.DUMMYFUNCTION("""COMPUTED_VALUE"""),0.0)</f>
        <v>0</v>
      </c>
      <c r="J624" s="4">
        <f>IFERROR(__xludf.DUMMYFUNCTION("""COMPUTED_VALUE"""),16.06)</f>
        <v>16.06</v>
      </c>
      <c r="K624" s="2"/>
      <c r="L624" s="2" t="str">
        <f>IFERROR(__xludf.DUMMYFUNCTION("""COMPUTED_VALUE"""),"Processing")</f>
        <v>Processing</v>
      </c>
      <c r="M624" s="2" t="str">
        <f>IFERROR(__xludf.DUMMYFUNCTION("""COMPUTED_VALUE"""),"")</f>
        <v></v>
      </c>
      <c r="N624" s="2"/>
      <c r="O624" s="4">
        <f>IFERROR(__xludf.DUMMYFUNCTION("""COMPUTED_VALUE"""),0.0)</f>
        <v>0</v>
      </c>
      <c r="P624" s="2">
        <f>IFERROR(__xludf.DUMMYFUNCTION("""COMPUTED_VALUE"""),16.0)</f>
        <v>16</v>
      </c>
      <c r="Q624" s="2">
        <f>IFERROR(__xludf.DUMMYFUNCTION("""COMPUTED_VALUE"""),6.0)</f>
        <v>6</v>
      </c>
      <c r="R624" s="2">
        <f>IFERROR(__xludf.DUMMYFUNCTION("""COMPUTED_VALUE"""),2025.0)</f>
        <v>2025</v>
      </c>
      <c r="S624" s="2" t="str">
        <f>IFERROR(__xludf.DUMMYFUNCTION("""COMPUTED_VALUE"""),"Digizag")</f>
        <v>Digizag</v>
      </c>
      <c r="T624" s="2" t="str">
        <f>IFERROR(__xludf.DUMMYFUNCTION("""COMPUTED_VALUE"""),"Digizag")</f>
        <v>Digizag</v>
      </c>
      <c r="U624" s="5">
        <f>IFERROR(__xludf.DUMMYFUNCTION("""COMPUTED_VALUE"""),43.74948951226)</f>
        <v>43.74948951</v>
      </c>
      <c r="V624" s="2"/>
      <c r="W624" s="2"/>
      <c r="X624" s="2"/>
      <c r="Y624" s="2"/>
      <c r="Z624" s="2"/>
    </row>
    <row r="625">
      <c r="A625" s="6">
        <f>IFERROR(__xludf.DUMMYFUNCTION("""COMPUTED_VALUE"""),45824.77987268518)</f>
        <v>45824.77987</v>
      </c>
      <c r="B625" s="2" t="str">
        <f>IFERROR(__xludf.DUMMYFUNCTION("""COMPUTED_VALUE"""),"June")</f>
        <v>June</v>
      </c>
      <c r="C625" s="3">
        <f>IFERROR(__xludf.DUMMYFUNCTION("""COMPUTED_VALUE"""),705286.0)</f>
        <v>705286</v>
      </c>
      <c r="D625" s="2" t="str">
        <f>IFERROR(__xludf.DUMMYFUNCTION("""COMPUTED_VALUE"""),"ZM22")</f>
        <v>ZM22</v>
      </c>
      <c r="E625" s="2" t="str">
        <f>IFERROR(__xludf.DUMMYFUNCTION("""COMPUTED_VALUE"""),"Imported from file Digizag.xlsx")</f>
        <v>Imported from file Digizag.xlsx</v>
      </c>
      <c r="F625" s="2" t="str">
        <f>IFERROR(__xludf.DUMMYFUNCTION("""COMPUTED_VALUE"""),"GRK693538")</f>
        <v>GRK693538</v>
      </c>
      <c r="G625" s="2" t="str">
        <f>IFERROR(__xludf.DUMMYFUNCTION("""COMPUTED_VALUE"""),"UAE")</f>
        <v>UAE</v>
      </c>
      <c r="H625" s="4">
        <f>IFERROR(__xludf.DUMMYFUNCTION("""COMPUTED_VALUE"""),218.0)</f>
        <v>218</v>
      </c>
      <c r="I625" s="3">
        <f>IFERROR(__xludf.DUMMYFUNCTION("""COMPUTED_VALUE"""),0.0)</f>
        <v>0</v>
      </c>
      <c r="J625" s="4">
        <f>IFERROR(__xludf.DUMMYFUNCTION("""COMPUTED_VALUE"""),21.8)</f>
        <v>21.8</v>
      </c>
      <c r="K625" s="2"/>
      <c r="L625" s="2" t="str">
        <f>IFERROR(__xludf.DUMMYFUNCTION("""COMPUTED_VALUE"""),"Processing")</f>
        <v>Processing</v>
      </c>
      <c r="M625" s="2" t="str">
        <f>IFERROR(__xludf.DUMMYFUNCTION("""COMPUTED_VALUE"""),"")</f>
        <v></v>
      </c>
      <c r="N625" s="2" t="str">
        <f>IFERROR(__xludf.DUMMYFUNCTION("""COMPUTED_VALUE"""),"Credit, Debit , Apple Pay")</f>
        <v>Credit, Debit , Apple Pay</v>
      </c>
      <c r="O625" s="4">
        <f>IFERROR(__xludf.DUMMYFUNCTION("""COMPUTED_VALUE"""),0.0)</f>
        <v>0</v>
      </c>
      <c r="P625" s="2">
        <f>IFERROR(__xludf.DUMMYFUNCTION("""COMPUTED_VALUE"""),16.0)</f>
        <v>16</v>
      </c>
      <c r="Q625" s="2">
        <f>IFERROR(__xludf.DUMMYFUNCTION("""COMPUTED_VALUE"""),6.0)</f>
        <v>6</v>
      </c>
      <c r="R625" s="2">
        <f>IFERROR(__xludf.DUMMYFUNCTION("""COMPUTED_VALUE"""),2025.0)</f>
        <v>2025</v>
      </c>
      <c r="S625" s="2" t="str">
        <f>IFERROR(__xludf.DUMMYFUNCTION("""COMPUTED_VALUE"""),"Digizag")</f>
        <v>Digizag</v>
      </c>
      <c r="T625" s="2" t="str">
        <f>IFERROR(__xludf.DUMMYFUNCTION("""COMPUTED_VALUE"""),"Digizag")</f>
        <v>Digizag</v>
      </c>
      <c r="U625" s="5">
        <f>IFERROR(__xludf.DUMMYFUNCTION("""COMPUTED_VALUE"""),59.360109004)</f>
        <v>59.360109</v>
      </c>
      <c r="V625" s="2"/>
      <c r="W625" s="2"/>
      <c r="X625" s="2"/>
      <c r="Y625" s="2"/>
      <c r="Z625" s="2"/>
    </row>
    <row r="626">
      <c r="A626" s="6">
        <f>IFERROR(__xludf.DUMMYFUNCTION("""COMPUTED_VALUE"""),45825.304259259254)</f>
        <v>45825.30426</v>
      </c>
      <c r="B626" s="2" t="str">
        <f>IFERROR(__xludf.DUMMYFUNCTION("""COMPUTED_VALUE"""),"June")</f>
        <v>June</v>
      </c>
      <c r="C626" s="3">
        <f>IFERROR(__xludf.DUMMYFUNCTION("""COMPUTED_VALUE"""),442986.0)</f>
        <v>442986</v>
      </c>
      <c r="D626" s="2" t="str">
        <f>IFERROR(__xludf.DUMMYFUNCTION("""COMPUTED_VALUE"""),"DG3")</f>
        <v>DG3</v>
      </c>
      <c r="E626" s="2" t="str">
        <f>IFERROR(__xludf.DUMMYFUNCTION("""COMPUTED_VALUE"""),"Imported from file Digizag.xlsx")</f>
        <v>Imported from file Digizag.xlsx</v>
      </c>
      <c r="F626" s="2" t="str">
        <f>IFERROR(__xludf.DUMMYFUNCTION("""COMPUTED_VALUE"""),"HJG683593")</f>
        <v>HJG683593</v>
      </c>
      <c r="G626" s="2" t="str">
        <f>IFERROR(__xludf.DUMMYFUNCTION("""COMPUTED_VALUE"""),"UAE")</f>
        <v>UAE</v>
      </c>
      <c r="H626" s="4">
        <f>IFERROR(__xludf.DUMMYFUNCTION("""COMPUTED_VALUE"""),170.0)</f>
        <v>170</v>
      </c>
      <c r="I626" s="3">
        <f>IFERROR(__xludf.DUMMYFUNCTION("""COMPUTED_VALUE"""),0.0)</f>
        <v>0</v>
      </c>
      <c r="J626" s="4">
        <f>IFERROR(__xludf.DUMMYFUNCTION("""COMPUTED_VALUE"""),17.0)</f>
        <v>17</v>
      </c>
      <c r="K626" s="2"/>
      <c r="L626" s="2" t="str">
        <f>IFERROR(__xludf.DUMMYFUNCTION("""COMPUTED_VALUE"""),"Processing")</f>
        <v>Processing</v>
      </c>
      <c r="M626" s="2" t="str">
        <f>IFERROR(__xludf.DUMMYFUNCTION("""COMPUTED_VALUE"""),"")</f>
        <v></v>
      </c>
      <c r="N626" s="2" t="str">
        <f>IFERROR(__xludf.DUMMYFUNCTION("""COMPUTED_VALUE"""),"Credit, Debit , Apple Pay")</f>
        <v>Credit, Debit , Apple Pay</v>
      </c>
      <c r="O626" s="4">
        <f>IFERROR(__xludf.DUMMYFUNCTION("""COMPUTED_VALUE"""),0.0)</f>
        <v>0</v>
      </c>
      <c r="P626" s="2">
        <f>IFERROR(__xludf.DUMMYFUNCTION("""COMPUTED_VALUE"""),17.0)</f>
        <v>17</v>
      </c>
      <c r="Q626" s="2">
        <f>IFERROR(__xludf.DUMMYFUNCTION("""COMPUTED_VALUE"""),6.0)</f>
        <v>6</v>
      </c>
      <c r="R626" s="2">
        <f>IFERROR(__xludf.DUMMYFUNCTION("""COMPUTED_VALUE"""),2025.0)</f>
        <v>2025</v>
      </c>
      <c r="S626" s="2" t="str">
        <f>IFERROR(__xludf.DUMMYFUNCTION("""COMPUTED_VALUE"""),"Digizag")</f>
        <v>Digizag</v>
      </c>
      <c r="T626" s="2" t="str">
        <f>IFERROR(__xludf.DUMMYFUNCTION("""COMPUTED_VALUE"""),"Digizag")</f>
        <v>Digizag</v>
      </c>
      <c r="U626" s="5">
        <f>IFERROR(__xludf.DUMMYFUNCTION("""COMPUTED_VALUE"""),46.289993259999996)</f>
        <v>46.28999326</v>
      </c>
      <c r="V626" s="2"/>
      <c r="W626" s="2"/>
      <c r="X626" s="2"/>
      <c r="Y626" s="2"/>
      <c r="Z626" s="2"/>
    </row>
    <row r="627">
      <c r="A627" s="6">
        <f>IFERROR(__xludf.DUMMYFUNCTION("""COMPUTED_VALUE"""),45825.43482638889)</f>
        <v>45825.43483</v>
      </c>
      <c r="B627" s="2" t="str">
        <f>IFERROR(__xludf.DUMMYFUNCTION("""COMPUTED_VALUE"""),"June")</f>
        <v>June</v>
      </c>
      <c r="C627" s="3">
        <f>IFERROR(__xludf.DUMMYFUNCTION("""COMPUTED_VALUE"""),23860.0)</f>
        <v>23860</v>
      </c>
      <c r="D627" s="2" t="str">
        <f>IFERROR(__xludf.DUMMYFUNCTION("""COMPUTED_VALUE"""),"ZM22")</f>
        <v>ZM22</v>
      </c>
      <c r="E627" s="2" t="str">
        <f>IFERROR(__xludf.DUMMYFUNCTION("""COMPUTED_VALUE"""),"Imported from file Digizag.xlsx")</f>
        <v>Imported from file Digizag.xlsx</v>
      </c>
      <c r="F627" s="2" t="str">
        <f>IFERROR(__xludf.DUMMYFUNCTION("""COMPUTED_VALUE"""),"KSK346385")</f>
        <v>KSK346385</v>
      </c>
      <c r="G627" s="2" t="str">
        <f>IFERROR(__xludf.DUMMYFUNCTION("""COMPUTED_VALUE"""),"Kuwait")</f>
        <v>Kuwait</v>
      </c>
      <c r="H627" s="4">
        <f>IFERROR(__xludf.DUMMYFUNCTION("""COMPUTED_VALUE"""),7.15)</f>
        <v>7.15</v>
      </c>
      <c r="I627" s="3">
        <f>IFERROR(__xludf.DUMMYFUNCTION("""COMPUTED_VALUE"""),0.0)</f>
        <v>0</v>
      </c>
      <c r="J627" s="4">
        <f>IFERROR(__xludf.DUMMYFUNCTION("""COMPUTED_VALUE"""),0.715)</f>
        <v>0.715</v>
      </c>
      <c r="K627" s="2"/>
      <c r="L627" s="2" t="str">
        <f>IFERROR(__xludf.DUMMYFUNCTION("""COMPUTED_VALUE"""),"Processing")</f>
        <v>Processing</v>
      </c>
      <c r="M627" s="2" t="str">
        <f>IFERROR(__xludf.DUMMYFUNCTION("""COMPUTED_VALUE"""),"KD")</f>
        <v>KD</v>
      </c>
      <c r="N627" s="2" t="str">
        <f>IFERROR(__xludf.DUMMYFUNCTION("""COMPUTED_VALUE"""),"Credit, Debit, Knet")</f>
        <v>Credit, Debit, Knet</v>
      </c>
      <c r="O627" s="4">
        <f>IFERROR(__xludf.DUMMYFUNCTION("""COMPUTED_VALUE"""),0.0)</f>
        <v>0</v>
      </c>
      <c r="P627" s="2">
        <f>IFERROR(__xludf.DUMMYFUNCTION("""COMPUTED_VALUE"""),17.0)</f>
        <v>17</v>
      </c>
      <c r="Q627" s="2">
        <f>IFERROR(__xludf.DUMMYFUNCTION("""COMPUTED_VALUE"""),6.0)</f>
        <v>6</v>
      </c>
      <c r="R627" s="2">
        <f>IFERROR(__xludf.DUMMYFUNCTION("""COMPUTED_VALUE"""),2025.0)</f>
        <v>2025</v>
      </c>
      <c r="S627" s="2" t="str">
        <f>IFERROR(__xludf.DUMMYFUNCTION("""COMPUTED_VALUE"""),"Digizag")</f>
        <v>Digizag</v>
      </c>
      <c r="T627" s="2" t="str">
        <f>IFERROR(__xludf.DUMMYFUNCTION("""COMPUTED_VALUE"""),"Digizag")</f>
        <v>Digizag</v>
      </c>
      <c r="U627" s="5">
        <f>IFERROR(__xludf.DUMMYFUNCTION("""COMPUTED_VALUE"""),23.313433)</f>
        <v>23.313433</v>
      </c>
      <c r="V627" s="2"/>
      <c r="W627" s="2"/>
      <c r="X627" s="2"/>
      <c r="Y627" s="2"/>
      <c r="Z627" s="2"/>
    </row>
    <row r="628">
      <c r="A628" s="6">
        <f>IFERROR(__xludf.DUMMYFUNCTION("""COMPUTED_VALUE"""),45825.68457175926)</f>
        <v>45825.68457</v>
      </c>
      <c r="B628" s="2" t="str">
        <f>IFERROR(__xludf.DUMMYFUNCTION("""COMPUTED_VALUE"""),"June")</f>
        <v>June</v>
      </c>
      <c r="C628" s="3">
        <f>IFERROR(__xludf.DUMMYFUNCTION("""COMPUTED_VALUE"""),379062.0)</f>
        <v>379062</v>
      </c>
      <c r="D628" s="2" t="str">
        <f>IFERROR(__xludf.DUMMYFUNCTION("""COMPUTED_VALUE"""),"DB3")</f>
        <v>DB3</v>
      </c>
      <c r="E628" s="2" t="str">
        <f>IFERROR(__xludf.DUMMYFUNCTION("""COMPUTED_VALUE"""),"Imported from file Digizag.xlsx")</f>
        <v>Imported from file Digizag.xlsx</v>
      </c>
      <c r="F628" s="2" t="str">
        <f>IFERROR(__xludf.DUMMYFUNCTION("""COMPUTED_VALUE"""),"HBJ499507")</f>
        <v>HBJ499507</v>
      </c>
      <c r="G628" s="2" t="str">
        <f>IFERROR(__xludf.DUMMYFUNCTION("""COMPUTED_VALUE"""),"UAE")</f>
        <v>UAE</v>
      </c>
      <c r="H628" s="4">
        <f>IFERROR(__xludf.DUMMYFUNCTION("""COMPUTED_VALUE"""),146.05)</f>
        <v>146.05</v>
      </c>
      <c r="I628" s="3">
        <f>IFERROR(__xludf.DUMMYFUNCTION("""COMPUTED_VALUE"""),0.0)</f>
        <v>0</v>
      </c>
      <c r="J628" s="4">
        <f>IFERROR(__xludf.DUMMYFUNCTION("""COMPUTED_VALUE"""),14.6)</f>
        <v>14.6</v>
      </c>
      <c r="K628" s="2"/>
      <c r="L628" s="2" t="str">
        <f>IFERROR(__xludf.DUMMYFUNCTION("""COMPUTED_VALUE"""),"Processing")</f>
        <v>Processing</v>
      </c>
      <c r="M628" s="2" t="str">
        <f>IFERROR(__xludf.DUMMYFUNCTION("""COMPUTED_VALUE"""),"")</f>
        <v></v>
      </c>
      <c r="N628" s="2" t="str">
        <f>IFERROR(__xludf.DUMMYFUNCTION("""COMPUTED_VALUE"""),"Credit, Debit , Apple Pay")</f>
        <v>Credit, Debit , Apple Pay</v>
      </c>
      <c r="O628" s="4">
        <f>IFERROR(__xludf.DUMMYFUNCTION("""COMPUTED_VALUE"""),0.0)</f>
        <v>0</v>
      </c>
      <c r="P628" s="2">
        <f>IFERROR(__xludf.DUMMYFUNCTION("""COMPUTED_VALUE"""),17.0)</f>
        <v>17</v>
      </c>
      <c r="Q628" s="2">
        <f>IFERROR(__xludf.DUMMYFUNCTION("""COMPUTED_VALUE"""),6.0)</f>
        <v>6</v>
      </c>
      <c r="R628" s="2">
        <f>IFERROR(__xludf.DUMMYFUNCTION("""COMPUTED_VALUE"""),2025.0)</f>
        <v>2025</v>
      </c>
      <c r="S628" s="2" t="str">
        <f>IFERROR(__xludf.DUMMYFUNCTION("""COMPUTED_VALUE"""),"Digizag")</f>
        <v>Digizag</v>
      </c>
      <c r="T628" s="2" t="str">
        <f>IFERROR(__xludf.DUMMYFUNCTION("""COMPUTED_VALUE"""),"Digizag")</f>
        <v>Digizag</v>
      </c>
      <c r="U628" s="5">
        <f>IFERROR(__xludf.DUMMYFUNCTION("""COMPUTED_VALUE"""),39.7685500919)</f>
        <v>39.76855009</v>
      </c>
      <c r="V628" s="2"/>
      <c r="W628" s="2"/>
      <c r="X628" s="2"/>
      <c r="Y628" s="2"/>
      <c r="Z628" s="2"/>
    </row>
    <row r="629">
      <c r="A629" s="6">
        <f>IFERROR(__xludf.DUMMYFUNCTION("""COMPUTED_VALUE"""),45825.69032407407)</f>
        <v>45825.69032</v>
      </c>
      <c r="B629" s="2" t="str">
        <f>IFERROR(__xludf.DUMMYFUNCTION("""COMPUTED_VALUE"""),"June")</f>
        <v>June</v>
      </c>
      <c r="C629" s="3">
        <f>IFERROR(__xludf.DUMMYFUNCTION("""COMPUTED_VALUE"""),347110.0)</f>
        <v>347110</v>
      </c>
      <c r="D629" s="2" t="str">
        <f>IFERROR(__xludf.DUMMYFUNCTION("""COMPUTED_VALUE"""),"ZM22")</f>
        <v>ZM22</v>
      </c>
      <c r="E629" s="2" t="str">
        <f>IFERROR(__xludf.DUMMYFUNCTION("""COMPUTED_VALUE"""),"Imported from file Digizag.xlsx")</f>
        <v>Imported from file Digizag.xlsx</v>
      </c>
      <c r="F629" s="2" t="str">
        <f>IFERROR(__xludf.DUMMYFUNCTION("""COMPUTED_VALUE"""),"YAS453783")</f>
        <v>YAS453783</v>
      </c>
      <c r="G629" s="2" t="str">
        <f>IFERROR(__xludf.DUMMYFUNCTION("""COMPUTED_VALUE"""),"UAE")</f>
        <v>UAE</v>
      </c>
      <c r="H629" s="4">
        <f>IFERROR(__xludf.DUMMYFUNCTION("""COMPUTED_VALUE"""),231.0)</f>
        <v>231</v>
      </c>
      <c r="I629" s="3">
        <f>IFERROR(__xludf.DUMMYFUNCTION("""COMPUTED_VALUE"""),0.0)</f>
        <v>0</v>
      </c>
      <c r="J629" s="4">
        <f>IFERROR(__xludf.DUMMYFUNCTION("""COMPUTED_VALUE"""),23.1)</f>
        <v>23.1</v>
      </c>
      <c r="K629" s="2"/>
      <c r="L629" s="2" t="str">
        <f>IFERROR(__xludf.DUMMYFUNCTION("""COMPUTED_VALUE"""),"Processing")</f>
        <v>Processing</v>
      </c>
      <c r="M629" s="2" t="str">
        <f>IFERROR(__xludf.DUMMYFUNCTION("""COMPUTED_VALUE"""),"")</f>
        <v></v>
      </c>
      <c r="N629" s="2" t="str">
        <f>IFERROR(__xludf.DUMMYFUNCTION("""COMPUTED_VALUE"""),"Credit, Debit , Apple Pay")</f>
        <v>Credit, Debit , Apple Pay</v>
      </c>
      <c r="O629" s="4">
        <f>IFERROR(__xludf.DUMMYFUNCTION("""COMPUTED_VALUE"""),0.0)</f>
        <v>0</v>
      </c>
      <c r="P629" s="2">
        <f>IFERROR(__xludf.DUMMYFUNCTION("""COMPUTED_VALUE"""),17.0)</f>
        <v>17</v>
      </c>
      <c r="Q629" s="2">
        <f>IFERROR(__xludf.DUMMYFUNCTION("""COMPUTED_VALUE"""),6.0)</f>
        <v>6</v>
      </c>
      <c r="R629" s="2">
        <f>IFERROR(__xludf.DUMMYFUNCTION("""COMPUTED_VALUE"""),2025.0)</f>
        <v>2025</v>
      </c>
      <c r="S629" s="2" t="str">
        <f>IFERROR(__xludf.DUMMYFUNCTION("""COMPUTED_VALUE"""),"Digizag")</f>
        <v>Digizag</v>
      </c>
      <c r="T629" s="2" t="str">
        <f>IFERROR(__xludf.DUMMYFUNCTION("""COMPUTED_VALUE"""),"Digizag")</f>
        <v>Digizag</v>
      </c>
      <c r="U629" s="5">
        <f>IFERROR(__xludf.DUMMYFUNCTION("""COMPUTED_VALUE"""),62.899932018)</f>
        <v>62.89993202</v>
      </c>
      <c r="V629" s="2"/>
      <c r="W629" s="2"/>
      <c r="X629" s="2"/>
      <c r="Y629" s="2"/>
      <c r="Z629" s="2"/>
    </row>
    <row r="630">
      <c r="A630" s="6">
        <f>IFERROR(__xludf.DUMMYFUNCTION("""COMPUTED_VALUE"""),45826.484988425924)</f>
        <v>45826.48499</v>
      </c>
      <c r="B630" s="2" t="str">
        <f>IFERROR(__xludf.DUMMYFUNCTION("""COMPUTED_VALUE"""),"June")</f>
        <v>June</v>
      </c>
      <c r="C630" s="3">
        <f>IFERROR(__xludf.DUMMYFUNCTION("""COMPUTED_VALUE"""),682696.0)</f>
        <v>682696</v>
      </c>
      <c r="D630" s="2" t="str">
        <f>IFERROR(__xludf.DUMMYFUNCTION("""COMPUTED_VALUE"""),"JM")</f>
        <v>JM</v>
      </c>
      <c r="E630" s="2" t="str">
        <f>IFERROR(__xludf.DUMMYFUNCTION("""COMPUTED_VALUE"""),"Digizag")</f>
        <v>Digizag</v>
      </c>
      <c r="F630" s="2" t="str">
        <f>IFERROR(__xludf.DUMMYFUNCTION("""COMPUTED_VALUE"""),"VNV749133")</f>
        <v>VNV749133</v>
      </c>
      <c r="G630" s="2" t="str">
        <f>IFERROR(__xludf.DUMMYFUNCTION("""COMPUTED_VALUE"""),"Kuwait")</f>
        <v>Kuwait</v>
      </c>
      <c r="H630" s="4">
        <f>IFERROR(__xludf.DUMMYFUNCTION("""COMPUTED_VALUE"""),15.2)</f>
        <v>15.2</v>
      </c>
      <c r="I630" s="3">
        <f>IFERROR(__xludf.DUMMYFUNCTION("""COMPUTED_VALUE"""),0.0)</f>
        <v>0</v>
      </c>
      <c r="J630" s="4">
        <f>IFERROR(__xludf.DUMMYFUNCTION("""COMPUTED_VALUE"""),1.52)</f>
        <v>1.52</v>
      </c>
      <c r="K630" s="2"/>
      <c r="L630" s="2" t="str">
        <f>IFERROR(__xludf.DUMMYFUNCTION("""COMPUTED_VALUE"""),"Delivered")</f>
        <v>Delivered</v>
      </c>
      <c r="M630" s="2" t="str">
        <f>IFERROR(__xludf.DUMMYFUNCTION("""COMPUTED_VALUE"""),"KD")</f>
        <v>KD</v>
      </c>
      <c r="N630" s="2" t="str">
        <f>IFERROR(__xludf.DUMMYFUNCTION("""COMPUTED_VALUE"""),"Credit, Debit, Knet")</f>
        <v>Credit, Debit, Knet</v>
      </c>
      <c r="O630" s="4">
        <f>IFERROR(__xludf.DUMMYFUNCTION("""COMPUTED_VALUE"""),0.0)</f>
        <v>0</v>
      </c>
      <c r="P630" s="2">
        <f>IFERROR(__xludf.DUMMYFUNCTION("""COMPUTED_VALUE"""),18.0)</f>
        <v>18</v>
      </c>
      <c r="Q630" s="2">
        <f>IFERROR(__xludf.DUMMYFUNCTION("""COMPUTED_VALUE"""),6.0)</f>
        <v>6</v>
      </c>
      <c r="R630" s="2">
        <f>IFERROR(__xludf.DUMMYFUNCTION("""COMPUTED_VALUE"""),2025.0)</f>
        <v>2025</v>
      </c>
      <c r="S630" s="2" t="str">
        <f>IFERROR(__xludf.DUMMYFUNCTION("""COMPUTED_VALUE"""),"Digizag")</f>
        <v>Digizag</v>
      </c>
      <c r="T630" s="2" t="str">
        <f>IFERROR(__xludf.DUMMYFUNCTION("""COMPUTED_VALUE"""),"Digizag")</f>
        <v>Digizag</v>
      </c>
      <c r="U630" s="5">
        <f>IFERROR(__xludf.DUMMYFUNCTION("""COMPUTED_VALUE"""),49.561423999999995)</f>
        <v>49.561424</v>
      </c>
      <c r="V630" s="2"/>
      <c r="W630" s="2"/>
      <c r="X630" s="2"/>
      <c r="Y630" s="2"/>
      <c r="Z630" s="2"/>
    </row>
    <row r="631">
      <c r="A631" s="6">
        <f>IFERROR(__xludf.DUMMYFUNCTION("""COMPUTED_VALUE"""),45826.504537037035)</f>
        <v>45826.50454</v>
      </c>
      <c r="B631" s="2" t="str">
        <f>IFERROR(__xludf.DUMMYFUNCTION("""COMPUTED_VALUE"""),"June")</f>
        <v>June</v>
      </c>
      <c r="C631" s="3">
        <f>IFERROR(__xludf.DUMMYFUNCTION("""COMPUTED_VALUE"""),14697.0)</f>
        <v>14697</v>
      </c>
      <c r="D631" s="2" t="str">
        <f>IFERROR(__xludf.DUMMYFUNCTION("""COMPUTED_VALUE"""),"ZM22")</f>
        <v>ZM22</v>
      </c>
      <c r="E631" s="2" t="str">
        <f>IFERROR(__xludf.DUMMYFUNCTION("""COMPUTED_VALUE"""),"Imported from file Digizag.xlsx")</f>
        <v>Imported from file Digizag.xlsx</v>
      </c>
      <c r="F631" s="2" t="str">
        <f>IFERROR(__xludf.DUMMYFUNCTION("""COMPUTED_VALUE"""),"WAY736075")</f>
        <v>WAY736075</v>
      </c>
      <c r="G631" s="2" t="str">
        <f>IFERROR(__xludf.DUMMYFUNCTION("""COMPUTED_VALUE"""),"UAE")</f>
        <v>UAE</v>
      </c>
      <c r="H631" s="4">
        <f>IFERROR(__xludf.DUMMYFUNCTION("""COMPUTED_VALUE"""),745.62)</f>
        <v>745.62</v>
      </c>
      <c r="I631" s="3">
        <f>IFERROR(__xludf.DUMMYFUNCTION("""COMPUTED_VALUE"""),0.0)</f>
        <v>0</v>
      </c>
      <c r="J631" s="4">
        <f>IFERROR(__xludf.DUMMYFUNCTION("""COMPUTED_VALUE"""),74.55)</f>
        <v>74.55</v>
      </c>
      <c r="K631" s="2"/>
      <c r="L631" s="2" t="str">
        <f>IFERROR(__xludf.DUMMYFUNCTION("""COMPUTED_VALUE"""),"Processing")</f>
        <v>Processing</v>
      </c>
      <c r="M631" s="2" t="str">
        <f>IFERROR(__xludf.DUMMYFUNCTION("""COMPUTED_VALUE"""),"")</f>
        <v></v>
      </c>
      <c r="N631" s="2" t="str">
        <f>IFERROR(__xludf.DUMMYFUNCTION("""COMPUTED_VALUE"""),"Credit, Debit , Apple Pay")</f>
        <v>Credit, Debit , Apple Pay</v>
      </c>
      <c r="O631" s="4">
        <f>IFERROR(__xludf.DUMMYFUNCTION("""COMPUTED_VALUE"""),0.0)</f>
        <v>0</v>
      </c>
      <c r="P631" s="2">
        <f>IFERROR(__xludf.DUMMYFUNCTION("""COMPUTED_VALUE"""),18.0)</f>
        <v>18</v>
      </c>
      <c r="Q631" s="2">
        <f>IFERROR(__xludf.DUMMYFUNCTION("""COMPUTED_VALUE"""),6.0)</f>
        <v>6</v>
      </c>
      <c r="R631" s="2">
        <f>IFERROR(__xludf.DUMMYFUNCTION("""COMPUTED_VALUE"""),2025.0)</f>
        <v>2025</v>
      </c>
      <c r="S631" s="2" t="str">
        <f>IFERROR(__xludf.DUMMYFUNCTION("""COMPUTED_VALUE"""),"Digizag")</f>
        <v>Digizag</v>
      </c>
      <c r="T631" s="2" t="str">
        <f>IFERROR(__xludf.DUMMYFUNCTION("""COMPUTED_VALUE"""),"Digizag")</f>
        <v>Digizag</v>
      </c>
      <c r="U631" s="5">
        <f>IFERROR(__xludf.DUMMYFUNCTION("""COMPUTED_VALUE"""),203.02791043836)</f>
        <v>203.0279104</v>
      </c>
      <c r="V631" s="2"/>
      <c r="W631" s="2"/>
      <c r="X631" s="2"/>
      <c r="Y631" s="2"/>
      <c r="Z631" s="2"/>
    </row>
    <row r="632">
      <c r="A632" s="6">
        <f>IFERROR(__xludf.DUMMYFUNCTION("""COMPUTED_VALUE"""),45826.521215277775)</f>
        <v>45826.52122</v>
      </c>
      <c r="B632" s="2" t="str">
        <f>IFERROR(__xludf.DUMMYFUNCTION("""COMPUTED_VALUE"""),"June")</f>
        <v>June</v>
      </c>
      <c r="C632" s="3">
        <f>IFERROR(__xludf.DUMMYFUNCTION("""COMPUTED_VALUE"""),3471.0)</f>
        <v>3471</v>
      </c>
      <c r="D632" s="2" t="str">
        <f>IFERROR(__xludf.DUMMYFUNCTION("""COMPUTED_VALUE"""),"ZM22")</f>
        <v>ZM22</v>
      </c>
      <c r="E632" s="2" t="str">
        <f>IFERROR(__xludf.DUMMYFUNCTION("""COMPUTED_VALUE"""),"Imported from file Digizag.xlsx")</f>
        <v>Imported from file Digizag.xlsx</v>
      </c>
      <c r="F632" s="2" t="str">
        <f>IFERROR(__xludf.DUMMYFUNCTION("""COMPUTED_VALUE"""),"WKE195802")</f>
        <v>WKE195802</v>
      </c>
      <c r="G632" s="2" t="str">
        <f>IFERROR(__xludf.DUMMYFUNCTION("""COMPUTED_VALUE"""),"UAE")</f>
        <v>UAE</v>
      </c>
      <c r="H632" s="4">
        <f>IFERROR(__xludf.DUMMYFUNCTION("""COMPUTED_VALUE"""),143.8)</f>
        <v>143.8</v>
      </c>
      <c r="I632" s="3">
        <f>IFERROR(__xludf.DUMMYFUNCTION("""COMPUTED_VALUE"""),0.0)</f>
        <v>0</v>
      </c>
      <c r="J632" s="4">
        <f>IFERROR(__xludf.DUMMYFUNCTION("""COMPUTED_VALUE"""),14.38)</f>
        <v>14.38</v>
      </c>
      <c r="K632" s="2"/>
      <c r="L632" s="2" t="str">
        <f>IFERROR(__xludf.DUMMYFUNCTION("""COMPUTED_VALUE"""),"Processing")</f>
        <v>Processing</v>
      </c>
      <c r="M632" s="2" t="str">
        <f>IFERROR(__xludf.DUMMYFUNCTION("""COMPUTED_VALUE"""),"")</f>
        <v></v>
      </c>
      <c r="N632" s="2" t="str">
        <f>IFERROR(__xludf.DUMMYFUNCTION("""COMPUTED_VALUE"""),"Tamara: split in 3, interest-free")</f>
        <v>Tamara: split in 3, interest-free</v>
      </c>
      <c r="O632" s="4">
        <f>IFERROR(__xludf.DUMMYFUNCTION("""COMPUTED_VALUE"""),0.0)</f>
        <v>0</v>
      </c>
      <c r="P632" s="2">
        <f>IFERROR(__xludf.DUMMYFUNCTION("""COMPUTED_VALUE"""),18.0)</f>
        <v>18</v>
      </c>
      <c r="Q632" s="2">
        <f>IFERROR(__xludf.DUMMYFUNCTION("""COMPUTED_VALUE"""),6.0)</f>
        <v>6</v>
      </c>
      <c r="R632" s="2">
        <f>IFERROR(__xludf.DUMMYFUNCTION("""COMPUTED_VALUE"""),2025.0)</f>
        <v>2025</v>
      </c>
      <c r="S632" s="2" t="str">
        <f>IFERROR(__xludf.DUMMYFUNCTION("""COMPUTED_VALUE"""),"Digizag")</f>
        <v>Digizag</v>
      </c>
      <c r="T632" s="2" t="str">
        <f>IFERROR(__xludf.DUMMYFUNCTION("""COMPUTED_VALUE"""),"Digizag")</f>
        <v>Digizag</v>
      </c>
      <c r="U632" s="5">
        <f>IFERROR(__xludf.DUMMYFUNCTION("""COMPUTED_VALUE"""),39.1558884164)</f>
        <v>39.15588842</v>
      </c>
      <c r="V632" s="2"/>
      <c r="W632" s="2"/>
      <c r="X632" s="2"/>
      <c r="Y632" s="2"/>
      <c r="Z632" s="2"/>
    </row>
    <row r="633">
      <c r="A633" s="6">
        <f>IFERROR(__xludf.DUMMYFUNCTION("""COMPUTED_VALUE"""),45826.591412037036)</f>
        <v>45826.59141</v>
      </c>
      <c r="B633" s="2" t="str">
        <f>IFERROR(__xludf.DUMMYFUNCTION("""COMPUTED_VALUE"""),"June")</f>
        <v>June</v>
      </c>
      <c r="C633" s="3">
        <f>IFERROR(__xludf.DUMMYFUNCTION("""COMPUTED_VALUE"""),501514.0)</f>
        <v>501514</v>
      </c>
      <c r="D633" s="2" t="str">
        <f>IFERROR(__xludf.DUMMYFUNCTION("""COMPUTED_VALUE"""),"ZM22")</f>
        <v>ZM22</v>
      </c>
      <c r="E633" s="2" t="str">
        <f>IFERROR(__xludf.DUMMYFUNCTION("""COMPUTED_VALUE"""),"Imported from file Digizag.xlsx")</f>
        <v>Imported from file Digizag.xlsx</v>
      </c>
      <c r="F633" s="2" t="str">
        <f>IFERROR(__xludf.DUMMYFUNCTION("""COMPUTED_VALUE"""),"TRP782041")</f>
        <v>TRP782041</v>
      </c>
      <c r="G633" s="2" t="str">
        <f>IFERROR(__xludf.DUMMYFUNCTION("""COMPUTED_VALUE"""),"Kingdom of Saudi Arabia")</f>
        <v>Kingdom of Saudi Arabia</v>
      </c>
      <c r="H633" s="4">
        <f>IFERROR(__xludf.DUMMYFUNCTION("""COMPUTED_VALUE"""),137.0)</f>
        <v>137</v>
      </c>
      <c r="I633" s="3">
        <f>IFERROR(__xludf.DUMMYFUNCTION("""COMPUTED_VALUE"""),1.0)</f>
        <v>1</v>
      </c>
      <c r="J633" s="4">
        <f>IFERROR(__xludf.DUMMYFUNCTION("""COMPUTED_VALUE"""),30.0)</f>
        <v>30</v>
      </c>
      <c r="K633" s="2"/>
      <c r="L633" s="2" t="str">
        <f>IFERROR(__xludf.DUMMYFUNCTION("""COMPUTED_VALUE"""),"Cancelled")</f>
        <v>Cancelled</v>
      </c>
      <c r="M633" s="2" t="str">
        <f>IFERROR(__xludf.DUMMYFUNCTION("""COMPUTED_VALUE"""),"")</f>
        <v></v>
      </c>
      <c r="N633" s="2" t="str">
        <f>IFERROR(__xludf.DUMMYFUNCTION("""COMPUTED_VALUE"""),"Credit, Debit, Apple Pay")</f>
        <v>Credit, Debit, Apple Pay</v>
      </c>
      <c r="O633" s="4">
        <f>IFERROR(__xludf.DUMMYFUNCTION("""COMPUTED_VALUE"""),107.0)</f>
        <v>107</v>
      </c>
      <c r="P633" s="2">
        <f>IFERROR(__xludf.DUMMYFUNCTION("""COMPUTED_VALUE"""),18.0)</f>
        <v>18</v>
      </c>
      <c r="Q633" s="2">
        <f>IFERROR(__xludf.DUMMYFUNCTION("""COMPUTED_VALUE"""),6.0)</f>
        <v>6</v>
      </c>
      <c r="R633" s="2">
        <f>IFERROR(__xludf.DUMMYFUNCTION("""COMPUTED_VALUE"""),2025.0)</f>
        <v>2025</v>
      </c>
      <c r="S633" s="2" t="str">
        <f>IFERROR(__xludf.DUMMYFUNCTION("""COMPUTED_VALUE"""),"Digizag")</f>
        <v>Digizag</v>
      </c>
      <c r="T633" s="2" t="str">
        <f>IFERROR(__xludf.DUMMYFUNCTION("""COMPUTED_VALUE"""),"Digizag")</f>
        <v>Digizag</v>
      </c>
      <c r="U633" s="5">
        <f>IFERROR(__xludf.DUMMYFUNCTION("""COMPUTED_VALUE"""),36.530508302)</f>
        <v>36.5305083</v>
      </c>
      <c r="V633" s="2"/>
      <c r="W633" s="2"/>
      <c r="X633" s="2"/>
      <c r="Y633" s="2"/>
      <c r="Z633" s="2"/>
    </row>
    <row r="634">
      <c r="A634" s="6">
        <f>IFERROR(__xludf.DUMMYFUNCTION("""COMPUTED_VALUE"""),45826.72696759259)</f>
        <v>45826.72697</v>
      </c>
      <c r="B634" s="2" t="str">
        <f>IFERROR(__xludf.DUMMYFUNCTION("""COMPUTED_VALUE"""),"June")</f>
        <v>June</v>
      </c>
      <c r="C634" s="3">
        <f>IFERROR(__xludf.DUMMYFUNCTION("""COMPUTED_VALUE"""),38532.0)</f>
        <v>38532</v>
      </c>
      <c r="D634" s="2" t="str">
        <f>IFERROR(__xludf.DUMMYFUNCTION("""COMPUTED_VALUE"""),"ZM22")</f>
        <v>ZM22</v>
      </c>
      <c r="E634" s="2" t="str">
        <f>IFERROR(__xludf.DUMMYFUNCTION("""COMPUTED_VALUE"""),"Imported from file Digizag.xlsx")</f>
        <v>Imported from file Digizag.xlsx</v>
      </c>
      <c r="F634" s="2" t="str">
        <f>IFERROR(__xludf.DUMMYFUNCTION("""COMPUTED_VALUE"""),"QMD992390")</f>
        <v>QMD992390</v>
      </c>
      <c r="G634" s="2" t="str">
        <f>IFERROR(__xludf.DUMMYFUNCTION("""COMPUTED_VALUE"""),"UAE")</f>
        <v>UAE</v>
      </c>
      <c r="H634" s="4">
        <f>IFERROR(__xludf.DUMMYFUNCTION("""COMPUTED_VALUE"""),194.9)</f>
        <v>194.9</v>
      </c>
      <c r="I634" s="3">
        <f>IFERROR(__xludf.DUMMYFUNCTION("""COMPUTED_VALUE"""),0.0)</f>
        <v>0</v>
      </c>
      <c r="J634" s="4">
        <f>IFERROR(__xludf.DUMMYFUNCTION("""COMPUTED_VALUE"""),19.49)</f>
        <v>19.49</v>
      </c>
      <c r="K634" s="2"/>
      <c r="L634" s="2" t="str">
        <f>IFERROR(__xludf.DUMMYFUNCTION("""COMPUTED_VALUE"""),"Processing")</f>
        <v>Processing</v>
      </c>
      <c r="M634" s="2" t="str">
        <f>IFERROR(__xludf.DUMMYFUNCTION("""COMPUTED_VALUE"""),"")</f>
        <v></v>
      </c>
      <c r="N634" s="2" t="str">
        <f>IFERROR(__xludf.DUMMYFUNCTION("""COMPUTED_VALUE"""),"Credit, Debit , Apple Pay")</f>
        <v>Credit, Debit , Apple Pay</v>
      </c>
      <c r="O634" s="4">
        <f>IFERROR(__xludf.DUMMYFUNCTION("""COMPUTED_VALUE"""),0.0)</f>
        <v>0</v>
      </c>
      <c r="P634" s="2">
        <f>IFERROR(__xludf.DUMMYFUNCTION("""COMPUTED_VALUE"""),18.0)</f>
        <v>18</v>
      </c>
      <c r="Q634" s="2">
        <f>IFERROR(__xludf.DUMMYFUNCTION("""COMPUTED_VALUE"""),6.0)</f>
        <v>6</v>
      </c>
      <c r="R634" s="2">
        <f>IFERROR(__xludf.DUMMYFUNCTION("""COMPUTED_VALUE"""),2025.0)</f>
        <v>2025</v>
      </c>
      <c r="S634" s="2" t="str">
        <f>IFERROR(__xludf.DUMMYFUNCTION("""COMPUTED_VALUE"""),"Digizag")</f>
        <v>Digizag</v>
      </c>
      <c r="T634" s="2" t="str">
        <f>IFERROR(__xludf.DUMMYFUNCTION("""COMPUTED_VALUE"""),"Digizag")</f>
        <v>Digizag</v>
      </c>
      <c r="U634" s="5">
        <f>IFERROR(__xludf.DUMMYFUNCTION("""COMPUTED_VALUE"""),53.0701158022)</f>
        <v>53.0701158</v>
      </c>
      <c r="V634" s="2"/>
      <c r="W634" s="2"/>
      <c r="X634" s="2"/>
      <c r="Y634" s="2"/>
      <c r="Z634" s="2"/>
    </row>
    <row r="635">
      <c r="A635" s="6">
        <f>IFERROR(__xludf.DUMMYFUNCTION("""COMPUTED_VALUE"""),45826.800891203704)</f>
        <v>45826.80089</v>
      </c>
      <c r="B635" s="2" t="str">
        <f>IFERROR(__xludf.DUMMYFUNCTION("""COMPUTED_VALUE"""),"June")</f>
        <v>June</v>
      </c>
      <c r="C635" s="3">
        <f>IFERROR(__xludf.DUMMYFUNCTION("""COMPUTED_VALUE"""),501514.0)</f>
        <v>501514</v>
      </c>
      <c r="D635" s="2" t="str">
        <f>IFERROR(__xludf.DUMMYFUNCTION("""COMPUTED_VALUE"""),"ZM22")</f>
        <v>ZM22</v>
      </c>
      <c r="E635" s="2" t="str">
        <f>IFERROR(__xludf.DUMMYFUNCTION("""COMPUTED_VALUE"""),"Imported from file Digizag.xlsx")</f>
        <v>Imported from file Digizag.xlsx</v>
      </c>
      <c r="F635" s="2" t="str">
        <f>IFERROR(__xludf.DUMMYFUNCTION("""COMPUTED_VALUE"""),"LAU150883")</f>
        <v>LAU150883</v>
      </c>
      <c r="G635" s="2" t="str">
        <f>IFERROR(__xludf.DUMMYFUNCTION("""COMPUTED_VALUE"""),"Kingdom of Saudi Arabia")</f>
        <v>Kingdom of Saudi Arabia</v>
      </c>
      <c r="H635" s="4">
        <f>IFERROR(__xludf.DUMMYFUNCTION("""COMPUTED_VALUE"""),137.0)</f>
        <v>137</v>
      </c>
      <c r="I635" s="3">
        <f>IFERROR(__xludf.DUMMYFUNCTION("""COMPUTED_VALUE"""),0.0)</f>
        <v>0</v>
      </c>
      <c r="J635" s="4">
        <f>IFERROR(__xludf.DUMMYFUNCTION("""COMPUTED_VALUE"""),30.0)</f>
        <v>30</v>
      </c>
      <c r="K635" s="2"/>
      <c r="L635" s="2" t="str">
        <f>IFERROR(__xludf.DUMMYFUNCTION("""COMPUTED_VALUE"""),"Processing")</f>
        <v>Processing</v>
      </c>
      <c r="M635" s="2" t="str">
        <f>IFERROR(__xludf.DUMMYFUNCTION("""COMPUTED_VALUE"""),"")</f>
        <v></v>
      </c>
      <c r="N635" s="2" t="str">
        <f>IFERROR(__xludf.DUMMYFUNCTION("""COMPUTED_VALUE"""),"Credit, Debit, Apple Pay")</f>
        <v>Credit, Debit, Apple Pay</v>
      </c>
      <c r="O635" s="4">
        <f>IFERROR(__xludf.DUMMYFUNCTION("""COMPUTED_VALUE"""),0.0)</f>
        <v>0</v>
      </c>
      <c r="P635" s="2">
        <f>IFERROR(__xludf.DUMMYFUNCTION("""COMPUTED_VALUE"""),18.0)</f>
        <v>18</v>
      </c>
      <c r="Q635" s="2">
        <f>IFERROR(__xludf.DUMMYFUNCTION("""COMPUTED_VALUE"""),6.0)</f>
        <v>6</v>
      </c>
      <c r="R635" s="2">
        <f>IFERROR(__xludf.DUMMYFUNCTION("""COMPUTED_VALUE"""),2025.0)</f>
        <v>2025</v>
      </c>
      <c r="S635" s="2" t="str">
        <f>IFERROR(__xludf.DUMMYFUNCTION("""COMPUTED_VALUE"""),"Digizag")</f>
        <v>Digizag</v>
      </c>
      <c r="T635" s="2" t="str">
        <f>IFERROR(__xludf.DUMMYFUNCTION("""COMPUTED_VALUE"""),"Digizag")</f>
        <v>Digizag</v>
      </c>
      <c r="U635" s="5">
        <f>IFERROR(__xludf.DUMMYFUNCTION("""COMPUTED_VALUE"""),36.530508302)</f>
        <v>36.5305083</v>
      </c>
      <c r="V635" s="2"/>
      <c r="W635" s="2"/>
      <c r="X635" s="2"/>
      <c r="Y635" s="2"/>
      <c r="Z635" s="2"/>
    </row>
    <row r="636">
      <c r="A636" s="6">
        <f>IFERROR(__xludf.DUMMYFUNCTION("""COMPUTED_VALUE"""),45826.83546296296)</f>
        <v>45826.83546</v>
      </c>
      <c r="B636" s="2" t="str">
        <f>IFERROR(__xludf.DUMMYFUNCTION("""COMPUTED_VALUE"""),"June")</f>
        <v>June</v>
      </c>
      <c r="C636" s="3">
        <f>IFERROR(__xludf.DUMMYFUNCTION("""COMPUTED_VALUE"""),461501.0)</f>
        <v>461501</v>
      </c>
      <c r="D636" s="2" t="str">
        <f>IFERROR(__xludf.DUMMYFUNCTION("""COMPUTED_VALUE"""),"ZM22")</f>
        <v>ZM22</v>
      </c>
      <c r="E636" s="2" t="str">
        <f>IFERROR(__xludf.DUMMYFUNCTION("""COMPUTED_VALUE"""),"Imported from file Digizag.xlsx")</f>
        <v>Imported from file Digizag.xlsx</v>
      </c>
      <c r="F636" s="2" t="str">
        <f>IFERROR(__xludf.DUMMYFUNCTION("""COMPUTED_VALUE"""),"LPM353123")</f>
        <v>LPM353123</v>
      </c>
      <c r="G636" s="2" t="str">
        <f>IFERROR(__xludf.DUMMYFUNCTION("""COMPUTED_VALUE"""),"Kingdom of Saudi Arabia")</f>
        <v>Kingdom of Saudi Arabia</v>
      </c>
      <c r="H636" s="4">
        <f>IFERROR(__xludf.DUMMYFUNCTION("""COMPUTED_VALUE"""),77.0)</f>
        <v>77</v>
      </c>
      <c r="I636" s="3">
        <f>IFERROR(__xludf.DUMMYFUNCTION("""COMPUTED_VALUE"""),0.0)</f>
        <v>0</v>
      </c>
      <c r="J636" s="4">
        <f>IFERROR(__xludf.DUMMYFUNCTION("""COMPUTED_VALUE"""),30.0)</f>
        <v>30</v>
      </c>
      <c r="K636" s="2"/>
      <c r="L636" s="2" t="str">
        <f>IFERROR(__xludf.DUMMYFUNCTION("""COMPUTED_VALUE"""),"Processing")</f>
        <v>Processing</v>
      </c>
      <c r="M636" s="2" t="str">
        <f>IFERROR(__xludf.DUMMYFUNCTION("""COMPUTED_VALUE"""),"")</f>
        <v></v>
      </c>
      <c r="N636" s="2" t="str">
        <f>IFERROR(__xludf.DUMMYFUNCTION("""COMPUTED_VALUE"""),"Credit, Debit, Apple Pay")</f>
        <v>Credit, Debit, Apple Pay</v>
      </c>
      <c r="O636" s="4">
        <f>IFERROR(__xludf.DUMMYFUNCTION("""COMPUTED_VALUE"""),0.0)</f>
        <v>0</v>
      </c>
      <c r="P636" s="2">
        <f>IFERROR(__xludf.DUMMYFUNCTION("""COMPUTED_VALUE"""),18.0)</f>
        <v>18</v>
      </c>
      <c r="Q636" s="2">
        <f>IFERROR(__xludf.DUMMYFUNCTION("""COMPUTED_VALUE"""),6.0)</f>
        <v>6</v>
      </c>
      <c r="R636" s="2">
        <f>IFERROR(__xludf.DUMMYFUNCTION("""COMPUTED_VALUE"""),2025.0)</f>
        <v>2025</v>
      </c>
      <c r="S636" s="2" t="str">
        <f>IFERROR(__xludf.DUMMYFUNCTION("""COMPUTED_VALUE"""),"Digizag")</f>
        <v>Digizag</v>
      </c>
      <c r="T636" s="2" t="str">
        <f>IFERROR(__xludf.DUMMYFUNCTION("""COMPUTED_VALUE"""),"Digizag")</f>
        <v>Digizag</v>
      </c>
      <c r="U636" s="5">
        <f>IFERROR(__xludf.DUMMYFUNCTION("""COMPUTED_VALUE"""),20.531745542000003)</f>
        <v>20.53174554</v>
      </c>
      <c r="V636" s="2"/>
      <c r="W636" s="2"/>
      <c r="X636" s="2"/>
      <c r="Y636" s="2"/>
      <c r="Z636" s="2"/>
    </row>
    <row r="637">
      <c r="A637" s="6">
        <f>IFERROR(__xludf.DUMMYFUNCTION("""COMPUTED_VALUE"""),45826.85050925926)</f>
        <v>45826.85051</v>
      </c>
      <c r="B637" s="2" t="str">
        <f>IFERROR(__xludf.DUMMYFUNCTION("""COMPUTED_VALUE"""),"June")</f>
        <v>June</v>
      </c>
      <c r="C637" s="3">
        <f>IFERROR(__xludf.DUMMYFUNCTION("""COMPUTED_VALUE"""),461501.0)</f>
        <v>461501</v>
      </c>
      <c r="D637" s="2" t="str">
        <f>IFERROR(__xludf.DUMMYFUNCTION("""COMPUTED_VALUE"""),"ZM22")</f>
        <v>ZM22</v>
      </c>
      <c r="E637" s="2" t="str">
        <f>IFERROR(__xludf.DUMMYFUNCTION("""COMPUTED_VALUE"""),"Imported from file Digizag.xlsx")</f>
        <v>Imported from file Digizag.xlsx</v>
      </c>
      <c r="F637" s="2" t="str">
        <f>IFERROR(__xludf.DUMMYFUNCTION("""COMPUTED_VALUE"""),"TAT292893")</f>
        <v>TAT292893</v>
      </c>
      <c r="G637" s="2" t="str">
        <f>IFERROR(__xludf.DUMMYFUNCTION("""COMPUTED_VALUE"""),"Kingdom of Saudi Arabia")</f>
        <v>Kingdom of Saudi Arabia</v>
      </c>
      <c r="H637" s="4">
        <f>IFERROR(__xludf.DUMMYFUNCTION("""COMPUTED_VALUE"""),60.0)</f>
        <v>60</v>
      </c>
      <c r="I637" s="3">
        <f>IFERROR(__xludf.DUMMYFUNCTION("""COMPUTED_VALUE"""),0.0)</f>
        <v>0</v>
      </c>
      <c r="J637" s="4">
        <f>IFERROR(__xludf.DUMMYFUNCTION("""COMPUTED_VALUE"""),30.0)</f>
        <v>30</v>
      </c>
      <c r="K637" s="2"/>
      <c r="L637" s="2" t="str">
        <f>IFERROR(__xludf.DUMMYFUNCTION("""COMPUTED_VALUE"""),"Processing")</f>
        <v>Processing</v>
      </c>
      <c r="M637" s="2" t="str">
        <f>IFERROR(__xludf.DUMMYFUNCTION("""COMPUTED_VALUE"""),"")</f>
        <v></v>
      </c>
      <c r="N637" s="2" t="str">
        <f>IFERROR(__xludf.DUMMYFUNCTION("""COMPUTED_VALUE"""),"Credit, Debit, Apple Pay")</f>
        <v>Credit, Debit, Apple Pay</v>
      </c>
      <c r="O637" s="4">
        <f>IFERROR(__xludf.DUMMYFUNCTION("""COMPUTED_VALUE"""),0.0)</f>
        <v>0</v>
      </c>
      <c r="P637" s="2">
        <f>IFERROR(__xludf.DUMMYFUNCTION("""COMPUTED_VALUE"""),18.0)</f>
        <v>18</v>
      </c>
      <c r="Q637" s="2">
        <f>IFERROR(__xludf.DUMMYFUNCTION("""COMPUTED_VALUE"""),6.0)</f>
        <v>6</v>
      </c>
      <c r="R637" s="2">
        <f>IFERROR(__xludf.DUMMYFUNCTION("""COMPUTED_VALUE"""),2025.0)</f>
        <v>2025</v>
      </c>
      <c r="S637" s="2" t="str">
        <f>IFERROR(__xludf.DUMMYFUNCTION("""COMPUTED_VALUE"""),"Digizag")</f>
        <v>Digizag</v>
      </c>
      <c r="T637" s="2" t="str">
        <f>IFERROR(__xludf.DUMMYFUNCTION("""COMPUTED_VALUE"""),"Digizag")</f>
        <v>Digizag</v>
      </c>
      <c r="U637" s="5">
        <f>IFERROR(__xludf.DUMMYFUNCTION("""COMPUTED_VALUE"""),15.998762760000002)</f>
        <v>15.99876276</v>
      </c>
      <c r="V637" s="2"/>
      <c r="W637" s="2"/>
      <c r="X637" s="2"/>
      <c r="Y637" s="2"/>
      <c r="Z637" s="2"/>
    </row>
    <row r="638">
      <c r="A638" s="6">
        <f>IFERROR(__xludf.DUMMYFUNCTION("""COMPUTED_VALUE"""),45826.89460648148)</f>
        <v>45826.89461</v>
      </c>
      <c r="B638" s="2" t="str">
        <f>IFERROR(__xludf.DUMMYFUNCTION("""COMPUTED_VALUE"""),"June")</f>
        <v>June</v>
      </c>
      <c r="C638" s="3">
        <f>IFERROR(__xludf.DUMMYFUNCTION("""COMPUTED_VALUE"""),9202.0)</f>
        <v>9202</v>
      </c>
      <c r="D638" s="2" t="str">
        <f>IFERROR(__xludf.DUMMYFUNCTION("""COMPUTED_VALUE"""),"MNN16")</f>
        <v>MNN16</v>
      </c>
      <c r="E638" s="2" t="str">
        <f>IFERROR(__xludf.DUMMYFUNCTION("""COMPUTED_VALUE"""),"Imported from file DigiZag Codes 25Feb25.xlsx")</f>
        <v>Imported from file DigiZag Codes 25Feb25.xlsx</v>
      </c>
      <c r="F638" s="2" t="str">
        <f>IFERROR(__xludf.DUMMYFUNCTION("""COMPUTED_VALUE"""),"XGA996498")</f>
        <v>XGA996498</v>
      </c>
      <c r="G638" s="2" t="str">
        <f>IFERROR(__xludf.DUMMYFUNCTION("""COMPUTED_VALUE"""),"Kuwait")</f>
        <v>Kuwait</v>
      </c>
      <c r="H638" s="4">
        <f>IFERROR(__xludf.DUMMYFUNCTION("""COMPUTED_VALUE"""),30.47)</f>
        <v>30.47</v>
      </c>
      <c r="I638" s="3">
        <f>IFERROR(__xludf.DUMMYFUNCTION("""COMPUTED_VALUE"""),0.0)</f>
        <v>0</v>
      </c>
      <c r="J638" s="4">
        <f>IFERROR(__xludf.DUMMYFUNCTION("""COMPUTED_VALUE"""),3.047)</f>
        <v>3.047</v>
      </c>
      <c r="K638" s="2"/>
      <c r="L638" s="2" t="str">
        <f>IFERROR(__xludf.DUMMYFUNCTION("""COMPUTED_VALUE"""),"Processing")</f>
        <v>Processing</v>
      </c>
      <c r="M638" s="2" t="str">
        <f>IFERROR(__xludf.DUMMYFUNCTION("""COMPUTED_VALUE"""),"KD")</f>
        <v>KD</v>
      </c>
      <c r="N638" s="2" t="str">
        <f>IFERROR(__xludf.DUMMYFUNCTION("""COMPUTED_VALUE"""),"Cash")</f>
        <v>Cash</v>
      </c>
      <c r="O638" s="4">
        <f>IFERROR(__xludf.DUMMYFUNCTION("""COMPUTED_VALUE"""),0.0)</f>
        <v>0</v>
      </c>
      <c r="P638" s="2">
        <f>IFERROR(__xludf.DUMMYFUNCTION("""COMPUTED_VALUE"""),18.0)</f>
        <v>18</v>
      </c>
      <c r="Q638" s="2">
        <f>IFERROR(__xludf.DUMMYFUNCTION("""COMPUTED_VALUE"""),6.0)</f>
        <v>6</v>
      </c>
      <c r="R638" s="2">
        <f>IFERROR(__xludf.DUMMYFUNCTION("""COMPUTED_VALUE"""),2025.0)</f>
        <v>2025</v>
      </c>
      <c r="S638" s="2" t="str">
        <f>IFERROR(__xludf.DUMMYFUNCTION("""COMPUTED_VALUE"""),"Digizag")</f>
        <v>Digizag</v>
      </c>
      <c r="T638" s="2" t="str">
        <f>IFERROR(__xludf.DUMMYFUNCTION("""COMPUTED_VALUE"""),"Digizag")</f>
        <v>Digizag</v>
      </c>
      <c r="U638" s="5">
        <f>IFERROR(__xludf.DUMMYFUNCTION("""COMPUTED_VALUE"""),99.35109139999999)</f>
        <v>99.3510914</v>
      </c>
      <c r="V638" s="2"/>
      <c r="W638" s="2"/>
      <c r="X638" s="2"/>
      <c r="Y638" s="2"/>
      <c r="Z638" s="2"/>
    </row>
    <row r="639">
      <c r="A639" s="6">
        <f>IFERROR(__xludf.DUMMYFUNCTION("""COMPUTED_VALUE"""),45827.23869212963)</f>
        <v>45827.23869</v>
      </c>
      <c r="B639" s="2" t="str">
        <f>IFERROR(__xludf.DUMMYFUNCTION("""COMPUTED_VALUE"""),"June")</f>
        <v>June</v>
      </c>
      <c r="C639" s="3">
        <f>IFERROR(__xludf.DUMMYFUNCTION("""COMPUTED_VALUE"""),758364.0)</f>
        <v>758364</v>
      </c>
      <c r="D639" s="2" t="str">
        <f>IFERROR(__xludf.DUMMYFUNCTION("""COMPUTED_VALUE"""),"ZM22")</f>
        <v>ZM22</v>
      </c>
      <c r="E639" s="2" t="str">
        <f>IFERROR(__xludf.DUMMYFUNCTION("""COMPUTED_VALUE"""),"Imported from file Digizag.xlsx")</f>
        <v>Imported from file Digizag.xlsx</v>
      </c>
      <c r="F639" s="2" t="str">
        <f>IFERROR(__xludf.DUMMYFUNCTION("""COMPUTED_VALUE"""),"YXZ924126")</f>
        <v>YXZ924126</v>
      </c>
      <c r="G639" s="2" t="str">
        <f>IFERROR(__xludf.DUMMYFUNCTION("""COMPUTED_VALUE"""),"UAE")</f>
        <v>UAE</v>
      </c>
      <c r="H639" s="4">
        <f>IFERROR(__xludf.DUMMYFUNCTION("""COMPUTED_VALUE"""),283.8)</f>
        <v>283.8</v>
      </c>
      <c r="I639" s="3">
        <f>IFERROR(__xludf.DUMMYFUNCTION("""COMPUTED_VALUE"""),0.0)</f>
        <v>0</v>
      </c>
      <c r="J639" s="4">
        <f>IFERROR(__xludf.DUMMYFUNCTION("""COMPUTED_VALUE"""),28.38)</f>
        <v>28.38</v>
      </c>
      <c r="K639" s="2"/>
      <c r="L639" s="2" t="str">
        <f>IFERROR(__xludf.DUMMYFUNCTION("""COMPUTED_VALUE"""),"Processing")</f>
        <v>Processing</v>
      </c>
      <c r="M639" s="2" t="str">
        <f>IFERROR(__xludf.DUMMYFUNCTION("""COMPUTED_VALUE"""),"")</f>
        <v></v>
      </c>
      <c r="N639" s="2" t="str">
        <f>IFERROR(__xludf.DUMMYFUNCTION("""COMPUTED_VALUE"""),"Credit, Debit , Apple Pay")</f>
        <v>Credit, Debit , Apple Pay</v>
      </c>
      <c r="O639" s="4">
        <f>IFERROR(__xludf.DUMMYFUNCTION("""COMPUTED_VALUE"""),0.0)</f>
        <v>0</v>
      </c>
      <c r="P639" s="2">
        <f>IFERROR(__xludf.DUMMYFUNCTION("""COMPUTED_VALUE"""),19.0)</f>
        <v>19</v>
      </c>
      <c r="Q639" s="2">
        <f>IFERROR(__xludf.DUMMYFUNCTION("""COMPUTED_VALUE"""),6.0)</f>
        <v>6</v>
      </c>
      <c r="R639" s="2">
        <f>IFERROR(__xludf.DUMMYFUNCTION("""COMPUTED_VALUE"""),2025.0)</f>
        <v>2025</v>
      </c>
      <c r="S639" s="2" t="str">
        <f>IFERROR(__xludf.DUMMYFUNCTION("""COMPUTED_VALUE"""),"Digizag")</f>
        <v>Digizag</v>
      </c>
      <c r="T639" s="2" t="str">
        <f>IFERROR(__xludf.DUMMYFUNCTION("""COMPUTED_VALUE"""),"Digizag")</f>
        <v>Digizag</v>
      </c>
      <c r="U639" s="5">
        <f>IFERROR(__xludf.DUMMYFUNCTION("""COMPUTED_VALUE"""),77.2770593364)</f>
        <v>77.27705934</v>
      </c>
      <c r="V639" s="2"/>
      <c r="W639" s="2"/>
      <c r="X639" s="2"/>
      <c r="Y639" s="2"/>
      <c r="Z639" s="2"/>
    </row>
    <row r="640">
      <c r="A640" s="6">
        <f>IFERROR(__xludf.DUMMYFUNCTION("""COMPUTED_VALUE"""),45827.29452546296)</f>
        <v>45827.29453</v>
      </c>
      <c r="B640" s="2" t="str">
        <f>IFERROR(__xludf.DUMMYFUNCTION("""COMPUTED_VALUE"""),"June")</f>
        <v>June</v>
      </c>
      <c r="C640" s="3">
        <f>IFERROR(__xludf.DUMMYFUNCTION("""COMPUTED_VALUE"""),423106.0)</f>
        <v>423106</v>
      </c>
      <c r="D640" s="2" t="str">
        <f>IFERROR(__xludf.DUMMYFUNCTION("""COMPUTED_VALUE"""),"ZM22")</f>
        <v>ZM22</v>
      </c>
      <c r="E640" s="2" t="str">
        <f>IFERROR(__xludf.DUMMYFUNCTION("""COMPUTED_VALUE"""),"Imported from file Digizag.xlsx")</f>
        <v>Imported from file Digizag.xlsx</v>
      </c>
      <c r="F640" s="2" t="str">
        <f>IFERROR(__xludf.DUMMYFUNCTION("""COMPUTED_VALUE"""),"PZV160710")</f>
        <v>PZV160710</v>
      </c>
      <c r="G640" s="2" t="str">
        <f>IFERROR(__xludf.DUMMYFUNCTION("""COMPUTED_VALUE"""),"UAE")</f>
        <v>UAE</v>
      </c>
      <c r="H640" s="4">
        <f>IFERROR(__xludf.DUMMYFUNCTION("""COMPUTED_VALUE"""),498.9)</f>
        <v>498.9</v>
      </c>
      <c r="I640" s="3">
        <f>IFERROR(__xludf.DUMMYFUNCTION("""COMPUTED_VALUE"""),0.0)</f>
        <v>0</v>
      </c>
      <c r="J640" s="4">
        <f>IFERROR(__xludf.DUMMYFUNCTION("""COMPUTED_VALUE"""),49.89)</f>
        <v>49.89</v>
      </c>
      <c r="K640" s="2"/>
      <c r="L640" s="2" t="str">
        <f>IFERROR(__xludf.DUMMYFUNCTION("""COMPUTED_VALUE"""),"Processing")</f>
        <v>Processing</v>
      </c>
      <c r="M640" s="2" t="str">
        <f>IFERROR(__xludf.DUMMYFUNCTION("""COMPUTED_VALUE"""),"")</f>
        <v></v>
      </c>
      <c r="N640" s="2" t="str">
        <f>IFERROR(__xludf.DUMMYFUNCTION("""COMPUTED_VALUE"""),"Cash")</f>
        <v>Cash</v>
      </c>
      <c r="O640" s="4">
        <f>IFERROR(__xludf.DUMMYFUNCTION("""COMPUTED_VALUE"""),0.0)</f>
        <v>0</v>
      </c>
      <c r="P640" s="2">
        <f>IFERROR(__xludf.DUMMYFUNCTION("""COMPUTED_VALUE"""),19.0)</f>
        <v>19</v>
      </c>
      <c r="Q640" s="2">
        <f>IFERROR(__xludf.DUMMYFUNCTION("""COMPUTED_VALUE"""),6.0)</f>
        <v>6</v>
      </c>
      <c r="R640" s="2">
        <f>IFERROR(__xludf.DUMMYFUNCTION("""COMPUTED_VALUE"""),2025.0)</f>
        <v>2025</v>
      </c>
      <c r="S640" s="2" t="str">
        <f>IFERROR(__xludf.DUMMYFUNCTION("""COMPUTED_VALUE"""),"Digizag")</f>
        <v>Digizag</v>
      </c>
      <c r="T640" s="2" t="str">
        <f>IFERROR(__xludf.DUMMYFUNCTION("""COMPUTED_VALUE"""),"Digizag")</f>
        <v>Digizag</v>
      </c>
      <c r="U640" s="5">
        <f>IFERROR(__xludf.DUMMYFUNCTION("""COMPUTED_VALUE"""),135.84751551419998)</f>
        <v>135.8475155</v>
      </c>
      <c r="V640" s="2"/>
      <c r="W640" s="2"/>
      <c r="X640" s="2"/>
      <c r="Y640" s="2"/>
      <c r="Z640" s="2"/>
    </row>
    <row r="641">
      <c r="A641" s="6">
        <f>IFERROR(__xludf.DUMMYFUNCTION("""COMPUTED_VALUE"""),45827.362870370365)</f>
        <v>45827.36287</v>
      </c>
      <c r="B641" s="2" t="str">
        <f>IFERROR(__xludf.DUMMYFUNCTION("""COMPUTED_VALUE"""),"June")</f>
        <v>June</v>
      </c>
      <c r="C641" s="3">
        <f>IFERROR(__xludf.DUMMYFUNCTION("""COMPUTED_VALUE"""),155199.0)</f>
        <v>155199</v>
      </c>
      <c r="D641" s="2" t="str">
        <f>IFERROR(__xludf.DUMMYFUNCTION("""COMPUTED_VALUE"""),"ZM22")</f>
        <v>ZM22</v>
      </c>
      <c r="E641" s="2" t="str">
        <f>IFERROR(__xludf.DUMMYFUNCTION("""COMPUTED_VALUE"""),"Imported from file Digizag.xlsx")</f>
        <v>Imported from file Digizag.xlsx</v>
      </c>
      <c r="F641" s="2" t="str">
        <f>IFERROR(__xludf.DUMMYFUNCTION("""COMPUTED_VALUE"""),"MCM107038")</f>
        <v>MCM107038</v>
      </c>
      <c r="G641" s="2" t="str">
        <f>IFERROR(__xludf.DUMMYFUNCTION("""COMPUTED_VALUE"""),"UAE")</f>
        <v>UAE</v>
      </c>
      <c r="H641" s="4">
        <f>IFERROR(__xludf.DUMMYFUNCTION("""COMPUTED_VALUE"""),178.0)</f>
        <v>178</v>
      </c>
      <c r="I641" s="3">
        <f>IFERROR(__xludf.DUMMYFUNCTION("""COMPUTED_VALUE"""),0.0)</f>
        <v>0</v>
      </c>
      <c r="J641" s="4">
        <f>IFERROR(__xludf.DUMMYFUNCTION("""COMPUTED_VALUE"""),17.8)</f>
        <v>17.8</v>
      </c>
      <c r="K641" s="2"/>
      <c r="L641" s="2" t="str">
        <f>IFERROR(__xludf.DUMMYFUNCTION("""COMPUTED_VALUE"""),"Processing")</f>
        <v>Processing</v>
      </c>
      <c r="M641" s="2" t="str">
        <f>IFERROR(__xludf.DUMMYFUNCTION("""COMPUTED_VALUE"""),"")</f>
        <v></v>
      </c>
      <c r="N641" s="2" t="str">
        <f>IFERROR(__xludf.DUMMYFUNCTION("""COMPUTED_VALUE"""),"Cash")</f>
        <v>Cash</v>
      </c>
      <c r="O641" s="4">
        <f>IFERROR(__xludf.DUMMYFUNCTION("""COMPUTED_VALUE"""),0.0)</f>
        <v>0</v>
      </c>
      <c r="P641" s="2">
        <f>IFERROR(__xludf.DUMMYFUNCTION("""COMPUTED_VALUE"""),19.0)</f>
        <v>19</v>
      </c>
      <c r="Q641" s="2">
        <f>IFERROR(__xludf.DUMMYFUNCTION("""COMPUTED_VALUE"""),6.0)</f>
        <v>6</v>
      </c>
      <c r="R641" s="2">
        <f>IFERROR(__xludf.DUMMYFUNCTION("""COMPUTED_VALUE"""),2025.0)</f>
        <v>2025</v>
      </c>
      <c r="S641" s="2" t="str">
        <f>IFERROR(__xludf.DUMMYFUNCTION("""COMPUTED_VALUE"""),"Digizag")</f>
        <v>Digizag</v>
      </c>
      <c r="T641" s="2" t="str">
        <f>IFERROR(__xludf.DUMMYFUNCTION("""COMPUTED_VALUE"""),"Digizag")</f>
        <v>Digizag</v>
      </c>
      <c r="U641" s="5">
        <f>IFERROR(__xludf.DUMMYFUNCTION("""COMPUTED_VALUE"""),48.468345884)</f>
        <v>48.46834588</v>
      </c>
      <c r="V641" s="2"/>
      <c r="W641" s="2"/>
      <c r="X641" s="2"/>
      <c r="Y641" s="2"/>
      <c r="Z641" s="2"/>
    </row>
    <row r="642">
      <c r="A642" s="6">
        <f>IFERROR(__xludf.DUMMYFUNCTION("""COMPUTED_VALUE"""),45827.4711574074)</f>
        <v>45827.47116</v>
      </c>
      <c r="B642" s="2" t="str">
        <f>IFERROR(__xludf.DUMMYFUNCTION("""COMPUTED_VALUE"""),"June")</f>
        <v>June</v>
      </c>
      <c r="C642" s="3">
        <f>IFERROR(__xludf.DUMMYFUNCTION("""COMPUTED_VALUE"""),331488.0)</f>
        <v>331488</v>
      </c>
      <c r="D642" s="2" t="str">
        <f>IFERROR(__xludf.DUMMYFUNCTION("""COMPUTED_VALUE"""),"ZM22")</f>
        <v>ZM22</v>
      </c>
      <c r="E642" s="2" t="str">
        <f>IFERROR(__xludf.DUMMYFUNCTION("""COMPUTED_VALUE"""),"Imported from file Digizag.xlsx")</f>
        <v>Imported from file Digizag.xlsx</v>
      </c>
      <c r="F642" s="2" t="str">
        <f>IFERROR(__xludf.DUMMYFUNCTION("""COMPUTED_VALUE"""),"YVQ768407")</f>
        <v>YVQ768407</v>
      </c>
      <c r="G642" s="2" t="str">
        <f>IFERROR(__xludf.DUMMYFUNCTION("""COMPUTED_VALUE"""),"Kingdom of Saudi Arabia")</f>
        <v>Kingdom of Saudi Arabia</v>
      </c>
      <c r="H642" s="4">
        <f>IFERROR(__xludf.DUMMYFUNCTION("""COMPUTED_VALUE"""),202.56)</f>
        <v>202.56</v>
      </c>
      <c r="I642" s="3">
        <f>IFERROR(__xludf.DUMMYFUNCTION("""COMPUTED_VALUE"""),0.0)</f>
        <v>0</v>
      </c>
      <c r="J642" s="4">
        <f>IFERROR(__xludf.DUMMYFUNCTION("""COMPUTED_VALUE"""),30.0)</f>
        <v>30</v>
      </c>
      <c r="K642" s="2"/>
      <c r="L642" s="2" t="str">
        <f>IFERROR(__xludf.DUMMYFUNCTION("""COMPUTED_VALUE"""),"Delivered")</f>
        <v>Delivered</v>
      </c>
      <c r="M642" s="2" t="str">
        <f>IFERROR(__xludf.DUMMYFUNCTION("""COMPUTED_VALUE"""),"")</f>
        <v></v>
      </c>
      <c r="N642" s="2" t="str">
        <f>IFERROR(__xludf.DUMMYFUNCTION("""COMPUTED_VALUE"""),"Credit, Debit, Apple Pay")</f>
        <v>Credit, Debit, Apple Pay</v>
      </c>
      <c r="O642" s="4">
        <f>IFERROR(__xludf.DUMMYFUNCTION("""COMPUTED_VALUE"""),0.0)</f>
        <v>0</v>
      </c>
      <c r="P642" s="2">
        <f>IFERROR(__xludf.DUMMYFUNCTION("""COMPUTED_VALUE"""),19.0)</f>
        <v>19</v>
      </c>
      <c r="Q642" s="2">
        <f>IFERROR(__xludf.DUMMYFUNCTION("""COMPUTED_VALUE"""),6.0)</f>
        <v>6</v>
      </c>
      <c r="R642" s="2">
        <f>IFERROR(__xludf.DUMMYFUNCTION("""COMPUTED_VALUE"""),2025.0)</f>
        <v>2025</v>
      </c>
      <c r="S642" s="2" t="str">
        <f>IFERROR(__xludf.DUMMYFUNCTION("""COMPUTED_VALUE"""),"Digizag")</f>
        <v>Digizag</v>
      </c>
      <c r="T642" s="2" t="str">
        <f>IFERROR(__xludf.DUMMYFUNCTION("""COMPUTED_VALUE"""),"Digizag")</f>
        <v>Digizag</v>
      </c>
      <c r="U642" s="5">
        <f>IFERROR(__xludf.DUMMYFUNCTION("""COMPUTED_VALUE"""),54.011823077760006)</f>
        <v>54.01182308</v>
      </c>
      <c r="V642" s="2"/>
      <c r="W642" s="2"/>
      <c r="X642" s="2"/>
      <c r="Y642" s="2"/>
      <c r="Z642" s="2"/>
    </row>
    <row r="643">
      <c r="A643" s="6">
        <f>IFERROR(__xludf.DUMMYFUNCTION("""COMPUTED_VALUE"""),45827.67940972222)</f>
        <v>45827.67941</v>
      </c>
      <c r="B643" s="2" t="str">
        <f>IFERROR(__xludf.DUMMYFUNCTION("""COMPUTED_VALUE"""),"June")</f>
        <v>June</v>
      </c>
      <c r="C643" s="3">
        <f>IFERROR(__xludf.DUMMYFUNCTION("""COMPUTED_VALUE"""),362927.0)</f>
        <v>362927</v>
      </c>
      <c r="D643" s="2" t="str">
        <f>IFERROR(__xludf.DUMMYFUNCTION("""COMPUTED_VALUE"""),"ZM22")</f>
        <v>ZM22</v>
      </c>
      <c r="E643" s="2" t="str">
        <f>IFERROR(__xludf.DUMMYFUNCTION("""COMPUTED_VALUE"""),"Imported from file Digizag.xlsx")</f>
        <v>Imported from file Digizag.xlsx</v>
      </c>
      <c r="F643" s="2" t="str">
        <f>IFERROR(__xludf.DUMMYFUNCTION("""COMPUTED_VALUE"""),"AWH215251")</f>
        <v>AWH215251</v>
      </c>
      <c r="G643" s="2" t="str">
        <f>IFERROR(__xludf.DUMMYFUNCTION("""COMPUTED_VALUE"""),"Kuwait")</f>
        <v>Kuwait</v>
      </c>
      <c r="H643" s="4">
        <f>IFERROR(__xludf.DUMMYFUNCTION("""COMPUTED_VALUE"""),9.9)</f>
        <v>9.9</v>
      </c>
      <c r="I643" s="3">
        <f>IFERROR(__xludf.DUMMYFUNCTION("""COMPUTED_VALUE"""),0.0)</f>
        <v>0</v>
      </c>
      <c r="J643" s="4">
        <f>IFERROR(__xludf.DUMMYFUNCTION("""COMPUTED_VALUE"""),0.99)</f>
        <v>0.99</v>
      </c>
      <c r="K643" s="2"/>
      <c r="L643" s="2" t="str">
        <f>IFERROR(__xludf.DUMMYFUNCTION("""COMPUTED_VALUE"""),"Processing")</f>
        <v>Processing</v>
      </c>
      <c r="M643" s="2" t="str">
        <f>IFERROR(__xludf.DUMMYFUNCTION("""COMPUTED_VALUE"""),"KD")</f>
        <v>KD</v>
      </c>
      <c r="N643" s="2" t="str">
        <f>IFERROR(__xludf.DUMMYFUNCTION("""COMPUTED_VALUE"""),"Credit, Debit, Knet")</f>
        <v>Credit, Debit, Knet</v>
      </c>
      <c r="O643" s="4">
        <f>IFERROR(__xludf.DUMMYFUNCTION("""COMPUTED_VALUE"""),0.0)</f>
        <v>0</v>
      </c>
      <c r="P643" s="2">
        <f>IFERROR(__xludf.DUMMYFUNCTION("""COMPUTED_VALUE"""),19.0)</f>
        <v>19</v>
      </c>
      <c r="Q643" s="2">
        <f>IFERROR(__xludf.DUMMYFUNCTION("""COMPUTED_VALUE"""),6.0)</f>
        <v>6</v>
      </c>
      <c r="R643" s="2">
        <f>IFERROR(__xludf.DUMMYFUNCTION("""COMPUTED_VALUE"""),2025.0)</f>
        <v>2025</v>
      </c>
      <c r="S643" s="2" t="str">
        <f>IFERROR(__xludf.DUMMYFUNCTION("""COMPUTED_VALUE"""),"Digizag")</f>
        <v>Digizag</v>
      </c>
      <c r="T643" s="2" t="str">
        <f>IFERROR(__xludf.DUMMYFUNCTION("""COMPUTED_VALUE"""),"Digizag")</f>
        <v>Digizag</v>
      </c>
      <c r="U643" s="5">
        <f>IFERROR(__xludf.DUMMYFUNCTION("""COMPUTED_VALUE"""),32.280138)</f>
        <v>32.280138</v>
      </c>
      <c r="V643" s="2"/>
      <c r="W643" s="2"/>
      <c r="X643" s="2"/>
      <c r="Y643" s="2"/>
      <c r="Z643" s="2"/>
    </row>
    <row r="644">
      <c r="A644" s="6">
        <f>IFERROR(__xludf.DUMMYFUNCTION("""COMPUTED_VALUE"""),45827.91827546296)</f>
        <v>45827.91828</v>
      </c>
      <c r="B644" s="2" t="str">
        <f>IFERROR(__xludf.DUMMYFUNCTION("""COMPUTED_VALUE"""),"June")</f>
        <v>June</v>
      </c>
      <c r="C644" s="3">
        <f>IFERROR(__xludf.DUMMYFUNCTION("""COMPUTED_VALUE"""),113776.0)</f>
        <v>113776</v>
      </c>
      <c r="D644" s="2" t="str">
        <f>IFERROR(__xludf.DUMMYFUNCTION("""COMPUTED_VALUE"""),"MNN16")</f>
        <v>MNN16</v>
      </c>
      <c r="E644" s="2" t="str">
        <f>IFERROR(__xludf.DUMMYFUNCTION("""COMPUTED_VALUE"""),"Imported from file DigiZag Codes 25Feb25.xlsx")</f>
        <v>Imported from file DigiZag Codes 25Feb25.xlsx</v>
      </c>
      <c r="F644" s="2" t="str">
        <f>IFERROR(__xludf.DUMMYFUNCTION("""COMPUTED_VALUE"""),"TYE950953")</f>
        <v>TYE950953</v>
      </c>
      <c r="G644" s="2" t="str">
        <f>IFERROR(__xludf.DUMMYFUNCTION("""COMPUTED_VALUE"""),"Kuwait")</f>
        <v>Kuwait</v>
      </c>
      <c r="H644" s="4">
        <f>IFERROR(__xludf.DUMMYFUNCTION("""COMPUTED_VALUE"""),25.05)</f>
        <v>25.05</v>
      </c>
      <c r="I644" s="3">
        <f>IFERROR(__xludf.DUMMYFUNCTION("""COMPUTED_VALUE"""),0.0)</f>
        <v>0</v>
      </c>
      <c r="J644" s="4">
        <f>IFERROR(__xludf.DUMMYFUNCTION("""COMPUTED_VALUE"""),2.505)</f>
        <v>2.505</v>
      </c>
      <c r="K644" s="2"/>
      <c r="L644" s="2" t="str">
        <f>IFERROR(__xludf.DUMMYFUNCTION("""COMPUTED_VALUE"""),"Processing")</f>
        <v>Processing</v>
      </c>
      <c r="M644" s="2" t="str">
        <f>IFERROR(__xludf.DUMMYFUNCTION("""COMPUTED_VALUE"""),"KD")</f>
        <v>KD</v>
      </c>
      <c r="N644" s="2" t="str">
        <f>IFERROR(__xludf.DUMMYFUNCTION("""COMPUTED_VALUE"""),"Credit, Debit, Knet")</f>
        <v>Credit, Debit, Knet</v>
      </c>
      <c r="O644" s="4">
        <f>IFERROR(__xludf.DUMMYFUNCTION("""COMPUTED_VALUE"""),0.0)</f>
        <v>0</v>
      </c>
      <c r="P644" s="2">
        <f>IFERROR(__xludf.DUMMYFUNCTION("""COMPUTED_VALUE"""),19.0)</f>
        <v>19</v>
      </c>
      <c r="Q644" s="2">
        <f>IFERROR(__xludf.DUMMYFUNCTION("""COMPUTED_VALUE"""),6.0)</f>
        <v>6</v>
      </c>
      <c r="R644" s="2">
        <f>IFERROR(__xludf.DUMMYFUNCTION("""COMPUTED_VALUE"""),2025.0)</f>
        <v>2025</v>
      </c>
      <c r="S644" s="2" t="str">
        <f>IFERROR(__xludf.DUMMYFUNCTION("""COMPUTED_VALUE"""),"Digizag")</f>
        <v>Digizag</v>
      </c>
      <c r="T644" s="2" t="str">
        <f>IFERROR(__xludf.DUMMYFUNCTION("""COMPUTED_VALUE"""),"Digizag")</f>
        <v>Digizag</v>
      </c>
      <c r="U644" s="5">
        <f>IFERROR(__xludf.DUMMYFUNCTION("""COMPUTED_VALUE"""),81.67853099999999)</f>
        <v>81.678531</v>
      </c>
      <c r="V644" s="2"/>
      <c r="W644" s="2"/>
      <c r="X644" s="2"/>
      <c r="Y644" s="2"/>
      <c r="Z644" s="2"/>
    </row>
    <row r="645">
      <c r="A645" s="6">
        <f>IFERROR(__xludf.DUMMYFUNCTION("""COMPUTED_VALUE"""),45828.39640046296)</f>
        <v>45828.3964</v>
      </c>
      <c r="B645" s="2" t="str">
        <f>IFERROR(__xludf.DUMMYFUNCTION("""COMPUTED_VALUE"""),"June")</f>
        <v>June</v>
      </c>
      <c r="C645" s="3">
        <f>IFERROR(__xludf.DUMMYFUNCTION("""COMPUTED_VALUE"""),760239.0)</f>
        <v>760239</v>
      </c>
      <c r="D645" s="2" t="str">
        <f>IFERROR(__xludf.DUMMYFUNCTION("""COMPUTED_VALUE"""),"JM")</f>
        <v>JM</v>
      </c>
      <c r="E645" s="2" t="str">
        <f>IFERROR(__xludf.DUMMYFUNCTION("""COMPUTED_VALUE"""),"Digizag")</f>
        <v>Digizag</v>
      </c>
      <c r="F645" s="2" t="str">
        <f>IFERROR(__xludf.DUMMYFUNCTION("""COMPUTED_VALUE"""),"GJA140835")</f>
        <v>GJA140835</v>
      </c>
      <c r="G645" s="2" t="str">
        <f>IFERROR(__xludf.DUMMYFUNCTION("""COMPUTED_VALUE"""),"Kuwait")</f>
        <v>Kuwait</v>
      </c>
      <c r="H645" s="4">
        <f>IFERROR(__xludf.DUMMYFUNCTION("""COMPUTED_VALUE"""),15.1)</f>
        <v>15.1</v>
      </c>
      <c r="I645" s="3">
        <f>IFERROR(__xludf.DUMMYFUNCTION("""COMPUTED_VALUE"""),0.0)</f>
        <v>0</v>
      </c>
      <c r="J645" s="4">
        <f>IFERROR(__xludf.DUMMYFUNCTION("""COMPUTED_VALUE"""),1.51)</f>
        <v>1.51</v>
      </c>
      <c r="K645" s="2"/>
      <c r="L645" s="2" t="str">
        <f>IFERROR(__xludf.DUMMYFUNCTION("""COMPUTED_VALUE"""),"Delivered")</f>
        <v>Delivered</v>
      </c>
      <c r="M645" s="2" t="str">
        <f>IFERROR(__xludf.DUMMYFUNCTION("""COMPUTED_VALUE"""),"KD")</f>
        <v>KD</v>
      </c>
      <c r="N645" s="2" t="str">
        <f>IFERROR(__xludf.DUMMYFUNCTION("""COMPUTED_VALUE"""),"Credit, Debit, Knet")</f>
        <v>Credit, Debit, Knet</v>
      </c>
      <c r="O645" s="4">
        <f>IFERROR(__xludf.DUMMYFUNCTION("""COMPUTED_VALUE"""),0.0)</f>
        <v>0</v>
      </c>
      <c r="P645" s="2">
        <f>IFERROR(__xludf.DUMMYFUNCTION("""COMPUTED_VALUE"""),20.0)</f>
        <v>20</v>
      </c>
      <c r="Q645" s="2">
        <f>IFERROR(__xludf.DUMMYFUNCTION("""COMPUTED_VALUE"""),6.0)</f>
        <v>6</v>
      </c>
      <c r="R645" s="2">
        <f>IFERROR(__xludf.DUMMYFUNCTION("""COMPUTED_VALUE"""),2025.0)</f>
        <v>2025</v>
      </c>
      <c r="S645" s="2" t="str">
        <f>IFERROR(__xludf.DUMMYFUNCTION("""COMPUTED_VALUE"""),"Digizag")</f>
        <v>Digizag</v>
      </c>
      <c r="T645" s="2" t="str">
        <f>IFERROR(__xludf.DUMMYFUNCTION("""COMPUTED_VALUE"""),"Digizag")</f>
        <v>Digizag</v>
      </c>
      <c r="U645" s="5">
        <f>IFERROR(__xludf.DUMMYFUNCTION("""COMPUTED_VALUE"""),49.235361999999995)</f>
        <v>49.235362</v>
      </c>
      <c r="V645" s="2"/>
      <c r="W645" s="2"/>
      <c r="X645" s="2"/>
      <c r="Y645" s="2"/>
      <c r="Z645" s="2"/>
    </row>
    <row r="646">
      <c r="A646" s="6">
        <f>IFERROR(__xludf.DUMMYFUNCTION("""COMPUTED_VALUE"""),45828.43121527778)</f>
        <v>45828.43122</v>
      </c>
      <c r="B646" s="2" t="str">
        <f>IFERROR(__xludf.DUMMYFUNCTION("""COMPUTED_VALUE"""),"June")</f>
        <v>June</v>
      </c>
      <c r="C646" s="3">
        <f>IFERROR(__xludf.DUMMYFUNCTION("""COMPUTED_VALUE"""),50610.0)</f>
        <v>50610</v>
      </c>
      <c r="D646" s="2" t="str">
        <f>IFERROR(__xludf.DUMMYFUNCTION("""COMPUTED_VALUE"""),"ZM22")</f>
        <v>ZM22</v>
      </c>
      <c r="E646" s="2" t="str">
        <f>IFERROR(__xludf.DUMMYFUNCTION("""COMPUTED_VALUE"""),"Imported from file Digizag.xlsx")</f>
        <v>Imported from file Digizag.xlsx</v>
      </c>
      <c r="F646" s="2" t="str">
        <f>IFERROR(__xludf.DUMMYFUNCTION("""COMPUTED_VALUE"""),"ZWM511146")</f>
        <v>ZWM511146</v>
      </c>
      <c r="G646" s="2" t="str">
        <f>IFERROR(__xludf.DUMMYFUNCTION("""COMPUTED_VALUE"""),"Bahrain")</f>
        <v>Bahrain</v>
      </c>
      <c r="H646" s="4">
        <f>IFERROR(__xludf.DUMMYFUNCTION("""COMPUTED_VALUE"""),31.62)</f>
        <v>31.62</v>
      </c>
      <c r="I646" s="3">
        <f>IFERROR(__xludf.DUMMYFUNCTION("""COMPUTED_VALUE"""),0.0)</f>
        <v>0</v>
      </c>
      <c r="J646" s="4">
        <f>IFERROR(__xludf.DUMMYFUNCTION("""COMPUTED_VALUE"""),3.16)</f>
        <v>3.16</v>
      </c>
      <c r="K646" s="2"/>
      <c r="L646" s="2" t="str">
        <f>IFERROR(__xludf.DUMMYFUNCTION("""COMPUTED_VALUE"""),"Delivered")</f>
        <v>Delivered</v>
      </c>
      <c r="M646" s="2" t="str">
        <f>IFERROR(__xludf.DUMMYFUNCTION("""COMPUTED_VALUE"""),"BHD")</f>
        <v>BHD</v>
      </c>
      <c r="N646" s="2" t="str">
        <f>IFERROR(__xludf.DUMMYFUNCTION("""COMPUTED_VALUE"""),"Credit, Debit")</f>
        <v>Credit, Debit</v>
      </c>
      <c r="O646" s="4">
        <f>IFERROR(__xludf.DUMMYFUNCTION("""COMPUTED_VALUE"""),0.0)</f>
        <v>0</v>
      </c>
      <c r="P646" s="2">
        <f>IFERROR(__xludf.DUMMYFUNCTION("""COMPUTED_VALUE"""),20.0)</f>
        <v>20</v>
      </c>
      <c r="Q646" s="2">
        <f>IFERROR(__xludf.DUMMYFUNCTION("""COMPUTED_VALUE"""),6.0)</f>
        <v>6</v>
      </c>
      <c r="R646" s="2">
        <f>IFERROR(__xludf.DUMMYFUNCTION("""COMPUTED_VALUE"""),2025.0)</f>
        <v>2025</v>
      </c>
      <c r="S646" s="2" t="str">
        <f>IFERROR(__xludf.DUMMYFUNCTION("""COMPUTED_VALUE"""),"Digizag")</f>
        <v>Digizag</v>
      </c>
      <c r="T646" s="2" t="str">
        <f>IFERROR(__xludf.DUMMYFUNCTION("""COMPUTED_VALUE"""),"Digizag")</f>
        <v>Digizag</v>
      </c>
      <c r="U646" s="5">
        <f>IFERROR(__xludf.DUMMYFUNCTION("""COMPUTED_VALUE"""),83.88523554)</f>
        <v>83.88523554</v>
      </c>
      <c r="V646" s="2"/>
      <c r="W646" s="2"/>
      <c r="X646" s="2"/>
      <c r="Y646" s="2"/>
      <c r="Z646" s="2"/>
    </row>
    <row r="647">
      <c r="A647" s="6">
        <f>IFERROR(__xludf.DUMMYFUNCTION("""COMPUTED_VALUE"""),45828.67157407407)</f>
        <v>45828.67157</v>
      </c>
      <c r="B647" s="2" t="str">
        <f>IFERROR(__xludf.DUMMYFUNCTION("""COMPUTED_VALUE"""),"June")</f>
        <v>June</v>
      </c>
      <c r="C647" s="3">
        <f>IFERROR(__xludf.DUMMYFUNCTION("""COMPUTED_VALUE"""),123699.0)</f>
        <v>123699</v>
      </c>
      <c r="D647" s="2" t="str">
        <f>IFERROR(__xludf.DUMMYFUNCTION("""COMPUTED_VALUE"""),"MNN16")</f>
        <v>MNN16</v>
      </c>
      <c r="E647" s="2" t="str">
        <f>IFERROR(__xludf.DUMMYFUNCTION("""COMPUTED_VALUE"""),"Imported from file DigiZag Codes 25Feb25.xlsx")</f>
        <v>Imported from file DigiZag Codes 25Feb25.xlsx</v>
      </c>
      <c r="F647" s="2" t="str">
        <f>IFERROR(__xludf.DUMMYFUNCTION("""COMPUTED_VALUE"""),"TNB342853")</f>
        <v>TNB342853</v>
      </c>
      <c r="G647" s="2" t="str">
        <f>IFERROR(__xludf.DUMMYFUNCTION("""COMPUTED_VALUE"""),"Bahrain")</f>
        <v>Bahrain</v>
      </c>
      <c r="H647" s="4">
        <f>IFERROR(__xludf.DUMMYFUNCTION("""COMPUTED_VALUE"""),6.74)</f>
        <v>6.74</v>
      </c>
      <c r="I647" s="3">
        <f>IFERROR(__xludf.DUMMYFUNCTION("""COMPUTED_VALUE"""),0.0)</f>
        <v>0</v>
      </c>
      <c r="J647" s="4">
        <f>IFERROR(__xludf.DUMMYFUNCTION("""COMPUTED_VALUE"""),0.67)</f>
        <v>0.67</v>
      </c>
      <c r="K647" s="2"/>
      <c r="L647" s="2" t="str">
        <f>IFERROR(__xludf.DUMMYFUNCTION("""COMPUTED_VALUE"""),"Processing")</f>
        <v>Processing</v>
      </c>
      <c r="M647" s="2" t="str">
        <f>IFERROR(__xludf.DUMMYFUNCTION("""COMPUTED_VALUE"""),"BHD")</f>
        <v>BHD</v>
      </c>
      <c r="N647" s="2" t="str">
        <f>IFERROR(__xludf.DUMMYFUNCTION("""COMPUTED_VALUE"""),"Cash")</f>
        <v>Cash</v>
      </c>
      <c r="O647" s="4">
        <f>IFERROR(__xludf.DUMMYFUNCTION("""COMPUTED_VALUE"""),0.0)</f>
        <v>0</v>
      </c>
      <c r="P647" s="2">
        <f>IFERROR(__xludf.DUMMYFUNCTION("""COMPUTED_VALUE"""),20.0)</f>
        <v>20</v>
      </c>
      <c r="Q647" s="2">
        <f>IFERROR(__xludf.DUMMYFUNCTION("""COMPUTED_VALUE"""),6.0)</f>
        <v>6</v>
      </c>
      <c r="R647" s="2">
        <f>IFERROR(__xludf.DUMMYFUNCTION("""COMPUTED_VALUE"""),2025.0)</f>
        <v>2025</v>
      </c>
      <c r="S647" s="2" t="str">
        <f>IFERROR(__xludf.DUMMYFUNCTION("""COMPUTED_VALUE"""),"Digizag")</f>
        <v>Digizag</v>
      </c>
      <c r="T647" s="2" t="str">
        <f>IFERROR(__xludf.DUMMYFUNCTION("""COMPUTED_VALUE"""),"Digizag")</f>
        <v>Digizag</v>
      </c>
      <c r="U647" s="5">
        <f>IFERROR(__xludf.DUMMYFUNCTION("""COMPUTED_VALUE"""),17.88066058)</f>
        <v>17.88066058</v>
      </c>
      <c r="V647" s="2"/>
      <c r="W647" s="2"/>
      <c r="X647" s="2"/>
      <c r="Y647" s="2"/>
      <c r="Z647" s="2"/>
    </row>
    <row r="648">
      <c r="A648" s="6">
        <f>IFERROR(__xludf.DUMMYFUNCTION("""COMPUTED_VALUE"""),45828.72483796296)</f>
        <v>45828.72484</v>
      </c>
      <c r="B648" s="2" t="str">
        <f>IFERROR(__xludf.DUMMYFUNCTION("""COMPUTED_VALUE"""),"June")</f>
        <v>June</v>
      </c>
      <c r="C648" s="3">
        <f>IFERROR(__xludf.DUMMYFUNCTION("""COMPUTED_VALUE"""),760504.0)</f>
        <v>760504</v>
      </c>
      <c r="D648" s="2" t="str">
        <f>IFERROR(__xludf.DUMMYFUNCTION("""COMPUTED_VALUE"""),"ZM22")</f>
        <v>ZM22</v>
      </c>
      <c r="E648" s="2" t="str">
        <f>IFERROR(__xludf.DUMMYFUNCTION("""COMPUTED_VALUE"""),"Imported from file Digizag.xlsx")</f>
        <v>Imported from file Digizag.xlsx</v>
      </c>
      <c r="F648" s="2" t="str">
        <f>IFERROR(__xludf.DUMMYFUNCTION("""COMPUTED_VALUE"""),"HSC391787")</f>
        <v>HSC391787</v>
      </c>
      <c r="G648" s="2" t="str">
        <f>IFERROR(__xludf.DUMMYFUNCTION("""COMPUTED_VALUE"""),"UAE")</f>
        <v>UAE</v>
      </c>
      <c r="H648" s="4">
        <f>IFERROR(__xludf.DUMMYFUNCTION("""COMPUTED_VALUE"""),300.0)</f>
        <v>300</v>
      </c>
      <c r="I648" s="3">
        <f>IFERROR(__xludf.DUMMYFUNCTION("""COMPUTED_VALUE"""),0.0)</f>
        <v>0</v>
      </c>
      <c r="J648" s="4">
        <f>IFERROR(__xludf.DUMMYFUNCTION("""COMPUTED_VALUE"""),30.0)</f>
        <v>30</v>
      </c>
      <c r="K648" s="2"/>
      <c r="L648" s="2" t="str">
        <f>IFERROR(__xludf.DUMMYFUNCTION("""COMPUTED_VALUE"""),"Processing")</f>
        <v>Processing</v>
      </c>
      <c r="M648" s="2" t="str">
        <f>IFERROR(__xludf.DUMMYFUNCTION("""COMPUTED_VALUE"""),"")</f>
        <v></v>
      </c>
      <c r="N648" s="2" t="str">
        <f>IFERROR(__xludf.DUMMYFUNCTION("""COMPUTED_VALUE"""),"Credit, Debit , Apple Pay")</f>
        <v>Credit, Debit , Apple Pay</v>
      </c>
      <c r="O648" s="4">
        <f>IFERROR(__xludf.DUMMYFUNCTION("""COMPUTED_VALUE"""),0.0)</f>
        <v>0</v>
      </c>
      <c r="P648" s="2">
        <f>IFERROR(__xludf.DUMMYFUNCTION("""COMPUTED_VALUE"""),20.0)</f>
        <v>20</v>
      </c>
      <c r="Q648" s="2">
        <f>IFERROR(__xludf.DUMMYFUNCTION("""COMPUTED_VALUE"""),6.0)</f>
        <v>6</v>
      </c>
      <c r="R648" s="2">
        <f>IFERROR(__xludf.DUMMYFUNCTION("""COMPUTED_VALUE"""),2025.0)</f>
        <v>2025</v>
      </c>
      <c r="S648" s="2" t="str">
        <f>IFERROR(__xludf.DUMMYFUNCTION("""COMPUTED_VALUE"""),"Digizag")</f>
        <v>Digizag</v>
      </c>
      <c r="T648" s="2" t="str">
        <f>IFERROR(__xludf.DUMMYFUNCTION("""COMPUTED_VALUE"""),"Digizag")</f>
        <v>Digizag</v>
      </c>
      <c r="U648" s="5">
        <f>IFERROR(__xludf.DUMMYFUNCTION("""COMPUTED_VALUE"""),81.6882234)</f>
        <v>81.6882234</v>
      </c>
      <c r="V648" s="2"/>
      <c r="W648" s="2"/>
      <c r="X648" s="2"/>
      <c r="Y648" s="2"/>
      <c r="Z648" s="2"/>
    </row>
    <row r="649">
      <c r="A649" s="6">
        <f>IFERROR(__xludf.DUMMYFUNCTION("""COMPUTED_VALUE"""),45829.49097222222)</f>
        <v>45829.49097</v>
      </c>
      <c r="B649" s="2" t="str">
        <f>IFERROR(__xludf.DUMMYFUNCTION("""COMPUTED_VALUE"""),"June")</f>
        <v>June</v>
      </c>
      <c r="C649" s="3">
        <f>IFERROR(__xludf.DUMMYFUNCTION("""COMPUTED_VALUE"""),573829.0)</f>
        <v>573829</v>
      </c>
      <c r="D649" s="2" t="str">
        <f>IFERROR(__xludf.DUMMYFUNCTION("""COMPUTED_VALUE"""),"ZM22")</f>
        <v>ZM22</v>
      </c>
      <c r="E649" s="2" t="str">
        <f>IFERROR(__xludf.DUMMYFUNCTION("""COMPUTED_VALUE"""),"Imported from file Digizag.xlsx")</f>
        <v>Imported from file Digizag.xlsx</v>
      </c>
      <c r="F649" s="2" t="str">
        <f>IFERROR(__xludf.DUMMYFUNCTION("""COMPUTED_VALUE"""),"ENZ648000")</f>
        <v>ENZ648000</v>
      </c>
      <c r="G649" s="2" t="str">
        <f>IFERROR(__xludf.DUMMYFUNCTION("""COMPUTED_VALUE"""),"UAE")</f>
        <v>UAE</v>
      </c>
      <c r="H649" s="4">
        <f>IFERROR(__xludf.DUMMYFUNCTION("""COMPUTED_VALUE"""),189.0)</f>
        <v>189</v>
      </c>
      <c r="I649" s="3">
        <f>IFERROR(__xludf.DUMMYFUNCTION("""COMPUTED_VALUE"""),0.0)</f>
        <v>0</v>
      </c>
      <c r="J649" s="4">
        <f>IFERROR(__xludf.DUMMYFUNCTION("""COMPUTED_VALUE"""),18.9)</f>
        <v>18.9</v>
      </c>
      <c r="K649" s="2"/>
      <c r="L649" s="2" t="str">
        <f>IFERROR(__xludf.DUMMYFUNCTION("""COMPUTED_VALUE"""),"Processing")</f>
        <v>Processing</v>
      </c>
      <c r="M649" s="2" t="str">
        <f>IFERROR(__xludf.DUMMYFUNCTION("""COMPUTED_VALUE"""),"")</f>
        <v></v>
      </c>
      <c r="N649" s="2" t="str">
        <f>IFERROR(__xludf.DUMMYFUNCTION("""COMPUTED_VALUE"""),"Credit, Debit , Apple Pay")</f>
        <v>Credit, Debit , Apple Pay</v>
      </c>
      <c r="O649" s="4">
        <f>IFERROR(__xludf.DUMMYFUNCTION("""COMPUTED_VALUE"""),0.0)</f>
        <v>0</v>
      </c>
      <c r="P649" s="2">
        <f>IFERROR(__xludf.DUMMYFUNCTION("""COMPUTED_VALUE"""),21.0)</f>
        <v>21</v>
      </c>
      <c r="Q649" s="2">
        <f>IFERROR(__xludf.DUMMYFUNCTION("""COMPUTED_VALUE"""),6.0)</f>
        <v>6</v>
      </c>
      <c r="R649" s="2">
        <f>IFERROR(__xludf.DUMMYFUNCTION("""COMPUTED_VALUE"""),2025.0)</f>
        <v>2025</v>
      </c>
      <c r="S649" s="2" t="str">
        <f>IFERROR(__xludf.DUMMYFUNCTION("""COMPUTED_VALUE"""),"Digizag")</f>
        <v>Digizag</v>
      </c>
      <c r="T649" s="2" t="str">
        <f>IFERROR(__xludf.DUMMYFUNCTION("""COMPUTED_VALUE"""),"Digizag")</f>
        <v>Digizag</v>
      </c>
      <c r="U649" s="5">
        <f>IFERROR(__xludf.DUMMYFUNCTION("""COMPUTED_VALUE"""),51.463580742)</f>
        <v>51.46358074</v>
      </c>
      <c r="V649" s="2"/>
      <c r="W649" s="2"/>
      <c r="X649" s="2"/>
      <c r="Y649" s="2"/>
      <c r="Z649" s="2"/>
    </row>
    <row r="650">
      <c r="A650" s="6">
        <f>IFERROR(__xludf.DUMMYFUNCTION("""COMPUTED_VALUE"""),45829.64655092592)</f>
        <v>45829.64655</v>
      </c>
      <c r="B650" s="2" t="str">
        <f>IFERROR(__xludf.DUMMYFUNCTION("""COMPUTED_VALUE"""),"June")</f>
        <v>June</v>
      </c>
      <c r="C650" s="3">
        <f>IFERROR(__xludf.DUMMYFUNCTION("""COMPUTED_VALUE"""),388910.0)</f>
        <v>388910</v>
      </c>
      <c r="D650" s="2" t="str">
        <f>IFERROR(__xludf.DUMMYFUNCTION("""COMPUTED_VALUE"""),"MNN16")</f>
        <v>MNN16</v>
      </c>
      <c r="E650" s="2" t="str">
        <f>IFERROR(__xludf.DUMMYFUNCTION("""COMPUTED_VALUE"""),"Imported from file DigiZag Codes 25Feb25.xlsx")</f>
        <v>Imported from file DigiZag Codes 25Feb25.xlsx</v>
      </c>
      <c r="F650" s="2" t="str">
        <f>IFERROR(__xludf.DUMMYFUNCTION("""COMPUTED_VALUE"""),"HEE271640")</f>
        <v>HEE271640</v>
      </c>
      <c r="G650" s="2" t="str">
        <f>IFERROR(__xludf.DUMMYFUNCTION("""COMPUTED_VALUE"""),"Kuwait")</f>
        <v>Kuwait</v>
      </c>
      <c r="H650" s="4">
        <f>IFERROR(__xludf.DUMMYFUNCTION("""COMPUTED_VALUE"""),18.105)</f>
        <v>18.105</v>
      </c>
      <c r="I650" s="3">
        <f>IFERROR(__xludf.DUMMYFUNCTION("""COMPUTED_VALUE"""),0.0)</f>
        <v>0</v>
      </c>
      <c r="J650" s="4">
        <f>IFERROR(__xludf.DUMMYFUNCTION("""COMPUTED_VALUE"""),1.81)</f>
        <v>1.81</v>
      </c>
      <c r="K650" s="2"/>
      <c r="L650" s="2" t="str">
        <f>IFERROR(__xludf.DUMMYFUNCTION("""COMPUTED_VALUE"""),"Delivered")</f>
        <v>Delivered</v>
      </c>
      <c r="M650" s="2" t="str">
        <f>IFERROR(__xludf.DUMMYFUNCTION("""COMPUTED_VALUE"""),"KD")</f>
        <v>KD</v>
      </c>
      <c r="N650" s="2" t="str">
        <f>IFERROR(__xludf.DUMMYFUNCTION("""COMPUTED_VALUE"""),"Cash")</f>
        <v>Cash</v>
      </c>
      <c r="O650" s="4">
        <f>IFERROR(__xludf.DUMMYFUNCTION("""COMPUTED_VALUE"""),0.0)</f>
        <v>0</v>
      </c>
      <c r="P650" s="2">
        <f>IFERROR(__xludf.DUMMYFUNCTION("""COMPUTED_VALUE"""),21.0)</f>
        <v>21</v>
      </c>
      <c r="Q650" s="2">
        <f>IFERROR(__xludf.DUMMYFUNCTION("""COMPUTED_VALUE"""),6.0)</f>
        <v>6</v>
      </c>
      <c r="R650" s="2">
        <f>IFERROR(__xludf.DUMMYFUNCTION("""COMPUTED_VALUE"""),2025.0)</f>
        <v>2025</v>
      </c>
      <c r="S650" s="2" t="str">
        <f>IFERROR(__xludf.DUMMYFUNCTION("""COMPUTED_VALUE"""),"Digizag")</f>
        <v>Digizag</v>
      </c>
      <c r="T650" s="2" t="str">
        <f>IFERROR(__xludf.DUMMYFUNCTION("""COMPUTED_VALUE"""),"Digizag")</f>
        <v>Digizag</v>
      </c>
      <c r="U650" s="5">
        <f>IFERROR(__xludf.DUMMYFUNCTION("""COMPUTED_VALUE"""),59.0335251)</f>
        <v>59.0335251</v>
      </c>
      <c r="V650" s="2"/>
      <c r="W650" s="2"/>
      <c r="X650" s="2"/>
      <c r="Y650" s="2"/>
      <c r="Z650" s="2"/>
    </row>
    <row r="651">
      <c r="A651" s="6">
        <f>IFERROR(__xludf.DUMMYFUNCTION("""COMPUTED_VALUE"""),45829.65925925926)</f>
        <v>45829.65926</v>
      </c>
      <c r="B651" s="2" t="str">
        <f>IFERROR(__xludf.DUMMYFUNCTION("""COMPUTED_VALUE"""),"June")</f>
        <v>June</v>
      </c>
      <c r="C651" s="3">
        <f>IFERROR(__xludf.DUMMYFUNCTION("""COMPUTED_VALUE"""),760929.0)</f>
        <v>760929</v>
      </c>
      <c r="D651" s="2" t="str">
        <f>IFERROR(__xludf.DUMMYFUNCTION("""COMPUTED_VALUE"""),"ZM22")</f>
        <v>ZM22</v>
      </c>
      <c r="E651" s="2" t="str">
        <f>IFERROR(__xludf.DUMMYFUNCTION("""COMPUTED_VALUE"""),"Imported from file Digizag.xlsx")</f>
        <v>Imported from file Digizag.xlsx</v>
      </c>
      <c r="F651" s="2" t="str">
        <f>IFERROR(__xludf.DUMMYFUNCTION("""COMPUTED_VALUE"""),"NHX509821")</f>
        <v>NHX509821</v>
      </c>
      <c r="G651" s="2" t="str">
        <f>IFERROR(__xludf.DUMMYFUNCTION("""COMPUTED_VALUE"""),"UAE")</f>
        <v>UAE</v>
      </c>
      <c r="H651" s="4">
        <f>IFERROR(__xludf.DUMMYFUNCTION("""COMPUTED_VALUE"""),885.3)</f>
        <v>885.3</v>
      </c>
      <c r="I651" s="3">
        <f>IFERROR(__xludf.DUMMYFUNCTION("""COMPUTED_VALUE"""),0.0)</f>
        <v>0</v>
      </c>
      <c r="J651" s="4">
        <f>IFERROR(__xludf.DUMMYFUNCTION("""COMPUTED_VALUE"""),88.53)</f>
        <v>88.53</v>
      </c>
      <c r="K651" s="2"/>
      <c r="L651" s="2" t="str">
        <f>IFERROR(__xludf.DUMMYFUNCTION("""COMPUTED_VALUE"""),"Processing")</f>
        <v>Processing</v>
      </c>
      <c r="M651" s="2" t="str">
        <f>IFERROR(__xludf.DUMMYFUNCTION("""COMPUTED_VALUE"""),"")</f>
        <v></v>
      </c>
      <c r="N651" s="2" t="str">
        <f>IFERROR(__xludf.DUMMYFUNCTION("""COMPUTED_VALUE"""),"Credit, Debit , Apple Pay")</f>
        <v>Credit, Debit , Apple Pay</v>
      </c>
      <c r="O651" s="4">
        <f>IFERROR(__xludf.DUMMYFUNCTION("""COMPUTED_VALUE"""),0.0)</f>
        <v>0</v>
      </c>
      <c r="P651" s="2">
        <f>IFERROR(__xludf.DUMMYFUNCTION("""COMPUTED_VALUE"""),21.0)</f>
        <v>21</v>
      </c>
      <c r="Q651" s="2">
        <f>IFERROR(__xludf.DUMMYFUNCTION("""COMPUTED_VALUE"""),6.0)</f>
        <v>6</v>
      </c>
      <c r="R651" s="2">
        <f>IFERROR(__xludf.DUMMYFUNCTION("""COMPUTED_VALUE"""),2025.0)</f>
        <v>2025</v>
      </c>
      <c r="S651" s="2" t="str">
        <f>IFERROR(__xludf.DUMMYFUNCTION("""COMPUTED_VALUE"""),"Digizag")</f>
        <v>Digizag</v>
      </c>
      <c r="T651" s="2" t="str">
        <f>IFERROR(__xludf.DUMMYFUNCTION("""COMPUTED_VALUE"""),"Digizag")</f>
        <v>Digizag</v>
      </c>
      <c r="U651" s="5">
        <f>IFERROR(__xludf.DUMMYFUNCTION("""COMPUTED_VALUE"""),241.06194725339998)</f>
        <v>241.0619473</v>
      </c>
      <c r="V651" s="2"/>
      <c r="W651" s="2"/>
      <c r="X651" s="2"/>
      <c r="Y651" s="2"/>
      <c r="Z651" s="2"/>
    </row>
    <row r="652">
      <c r="A652" s="6">
        <f>IFERROR(__xludf.DUMMYFUNCTION("""COMPUTED_VALUE"""),45830.083391203705)</f>
        <v>45830.08339</v>
      </c>
      <c r="B652" s="2" t="str">
        <f>IFERROR(__xludf.DUMMYFUNCTION("""COMPUTED_VALUE"""),"June")</f>
        <v>June</v>
      </c>
      <c r="C652" s="3">
        <f>IFERROR(__xludf.DUMMYFUNCTION("""COMPUTED_VALUE"""),97741.0)</f>
        <v>97741</v>
      </c>
      <c r="D652" s="2" t="str">
        <f>IFERROR(__xludf.DUMMYFUNCTION("""COMPUTED_VALUE"""),"JM")</f>
        <v>JM</v>
      </c>
      <c r="E652" s="2" t="str">
        <f>IFERROR(__xludf.DUMMYFUNCTION("""COMPUTED_VALUE"""),"DigiZag")</f>
        <v>DigiZag</v>
      </c>
      <c r="F652" s="2" t="str">
        <f>IFERROR(__xludf.DUMMYFUNCTION("""COMPUTED_VALUE"""),"CXC149518")</f>
        <v>CXC149518</v>
      </c>
      <c r="G652" s="2" t="str">
        <f>IFERROR(__xludf.DUMMYFUNCTION("""COMPUTED_VALUE"""),"Bahrain")</f>
        <v>Bahrain</v>
      </c>
      <c r="H652" s="4">
        <f>IFERROR(__xludf.DUMMYFUNCTION("""COMPUTED_VALUE"""),8.56)</f>
        <v>8.56</v>
      </c>
      <c r="I652" s="3">
        <f>IFERROR(__xludf.DUMMYFUNCTION("""COMPUTED_VALUE"""),1.0)</f>
        <v>1</v>
      </c>
      <c r="J652" s="4">
        <f>IFERROR(__xludf.DUMMYFUNCTION("""COMPUTED_VALUE"""),0.85)</f>
        <v>0.85</v>
      </c>
      <c r="K652" s="2"/>
      <c r="L652" s="2" t="str">
        <f>IFERROR(__xludf.DUMMYFUNCTION("""COMPUTED_VALUE"""),"Cancelled")</f>
        <v>Cancelled</v>
      </c>
      <c r="M652" s="2" t="str">
        <f>IFERROR(__xludf.DUMMYFUNCTION("""COMPUTED_VALUE"""),"BHD")</f>
        <v>BHD</v>
      </c>
      <c r="N652" s="2" t="str">
        <f>IFERROR(__xludf.DUMMYFUNCTION("""COMPUTED_VALUE"""),"Credit, Debit")</f>
        <v>Credit, Debit</v>
      </c>
      <c r="O652" s="4">
        <f>IFERROR(__xludf.DUMMYFUNCTION("""COMPUTED_VALUE"""),7.710000000000001)</f>
        <v>7.71</v>
      </c>
      <c r="P652" s="2">
        <f>IFERROR(__xludf.DUMMYFUNCTION("""COMPUTED_VALUE"""),22.0)</f>
        <v>22</v>
      </c>
      <c r="Q652" s="2">
        <f>IFERROR(__xludf.DUMMYFUNCTION("""COMPUTED_VALUE"""),6.0)</f>
        <v>6</v>
      </c>
      <c r="R652" s="2">
        <f>IFERROR(__xludf.DUMMYFUNCTION("""COMPUTED_VALUE"""),2025.0)</f>
        <v>2025</v>
      </c>
      <c r="S652" s="2" t="str">
        <f>IFERROR(__xludf.DUMMYFUNCTION("""COMPUTED_VALUE"""),"Digizag")</f>
        <v>Digizag</v>
      </c>
      <c r="T652" s="2" t="str">
        <f>IFERROR(__xludf.DUMMYFUNCTION("""COMPUTED_VALUE"""),"Digizag")</f>
        <v>Digizag</v>
      </c>
      <c r="U652" s="5">
        <f>IFERROR(__xludf.DUMMYFUNCTION("""COMPUTED_VALUE"""),22.70896952)</f>
        <v>22.70896952</v>
      </c>
      <c r="V652" s="2"/>
      <c r="W652" s="2"/>
      <c r="X652" s="2"/>
      <c r="Y652" s="2"/>
      <c r="Z652" s="2"/>
    </row>
    <row r="653">
      <c r="A653" s="6">
        <f>IFERROR(__xludf.DUMMYFUNCTION("""COMPUTED_VALUE"""),45830.343877314815)</f>
        <v>45830.34388</v>
      </c>
      <c r="B653" s="2" t="str">
        <f>IFERROR(__xludf.DUMMYFUNCTION("""COMPUTED_VALUE"""),"June")</f>
        <v>June</v>
      </c>
      <c r="C653" s="3">
        <f>IFERROR(__xludf.DUMMYFUNCTION("""COMPUTED_VALUE"""),686410.0)</f>
        <v>686410</v>
      </c>
      <c r="D653" s="2" t="str">
        <f>IFERROR(__xludf.DUMMYFUNCTION("""COMPUTED_VALUE"""),"MNN16")</f>
        <v>MNN16</v>
      </c>
      <c r="E653" s="2" t="str">
        <f>IFERROR(__xludf.DUMMYFUNCTION("""COMPUTED_VALUE"""),"Imported from file DigiZag Bidding Codes.xlsx")</f>
        <v>Imported from file DigiZag Bidding Codes.xlsx</v>
      </c>
      <c r="F653" s="2" t="str">
        <f>IFERROR(__xludf.DUMMYFUNCTION("""COMPUTED_VALUE"""),"NJM586423")</f>
        <v>NJM586423</v>
      </c>
      <c r="G653" s="2" t="str">
        <f>IFERROR(__xludf.DUMMYFUNCTION("""COMPUTED_VALUE"""),"Kingdom of Saudi Arabia")</f>
        <v>Kingdom of Saudi Arabia</v>
      </c>
      <c r="H653" s="4">
        <f>IFERROR(__xludf.DUMMYFUNCTION("""COMPUTED_VALUE"""),216.0)</f>
        <v>216</v>
      </c>
      <c r="I653" s="3">
        <f>IFERROR(__xludf.DUMMYFUNCTION("""COMPUTED_VALUE"""),0.0)</f>
        <v>0</v>
      </c>
      <c r="J653" s="4">
        <f>IFERROR(__xludf.DUMMYFUNCTION("""COMPUTED_VALUE"""),30.0)</f>
        <v>30</v>
      </c>
      <c r="K653" s="2"/>
      <c r="L653" s="2" t="str">
        <f>IFERROR(__xludf.DUMMYFUNCTION("""COMPUTED_VALUE"""),"Delivered")</f>
        <v>Delivered</v>
      </c>
      <c r="M653" s="2" t="str">
        <f>IFERROR(__xludf.DUMMYFUNCTION("""COMPUTED_VALUE"""),"")</f>
        <v></v>
      </c>
      <c r="N653" s="2" t="str">
        <f>IFERROR(__xludf.DUMMYFUNCTION("""COMPUTED_VALUE"""),"Pay in 4. No interest, no fees")</f>
        <v>Pay in 4. No interest, no fees</v>
      </c>
      <c r="O653" s="4">
        <f>IFERROR(__xludf.DUMMYFUNCTION("""COMPUTED_VALUE"""),0.0)</f>
        <v>0</v>
      </c>
      <c r="P653" s="2">
        <f>IFERROR(__xludf.DUMMYFUNCTION("""COMPUTED_VALUE"""),22.0)</f>
        <v>22</v>
      </c>
      <c r="Q653" s="2">
        <f>IFERROR(__xludf.DUMMYFUNCTION("""COMPUTED_VALUE"""),6.0)</f>
        <v>6</v>
      </c>
      <c r="R653" s="2">
        <f>IFERROR(__xludf.DUMMYFUNCTION("""COMPUTED_VALUE"""),2025.0)</f>
        <v>2025</v>
      </c>
      <c r="S653" s="2" t="str">
        <f>IFERROR(__xludf.DUMMYFUNCTION("""COMPUTED_VALUE"""),"Digizag")</f>
        <v>Digizag</v>
      </c>
      <c r="T653" s="2" t="str">
        <f>IFERROR(__xludf.DUMMYFUNCTION("""COMPUTED_VALUE"""),"Digizag")</f>
        <v>Digizag</v>
      </c>
      <c r="U653" s="5">
        <f>IFERROR(__xludf.DUMMYFUNCTION("""COMPUTED_VALUE"""),57.59554593600001)</f>
        <v>57.59554594</v>
      </c>
      <c r="V653" s="2"/>
      <c r="W653" s="2"/>
      <c r="X653" s="2"/>
      <c r="Y653" s="2"/>
      <c r="Z653" s="2"/>
    </row>
    <row r="654">
      <c r="A654" s="6">
        <f>IFERROR(__xludf.DUMMYFUNCTION("""COMPUTED_VALUE"""),45830.459444444445)</f>
        <v>45830.45944</v>
      </c>
      <c r="B654" s="2" t="str">
        <f>IFERROR(__xludf.DUMMYFUNCTION("""COMPUTED_VALUE"""),"June")</f>
        <v>June</v>
      </c>
      <c r="C654" s="3">
        <f>IFERROR(__xludf.DUMMYFUNCTION("""COMPUTED_VALUE"""),412873.0)</f>
        <v>412873</v>
      </c>
      <c r="D654" s="2" t="str">
        <f>IFERROR(__xludf.DUMMYFUNCTION("""COMPUTED_VALUE"""),"MNN27")</f>
        <v>MNN27</v>
      </c>
      <c r="E654" s="2" t="str">
        <f>IFERROR(__xludf.DUMMYFUNCTION("""COMPUTED_VALUE"""),"Imported from file DigiZag Codes 25Feb25.xlsx")</f>
        <v>Imported from file DigiZag Codes 25Feb25.xlsx</v>
      </c>
      <c r="F654" s="2" t="str">
        <f>IFERROR(__xludf.DUMMYFUNCTION("""COMPUTED_VALUE"""),"SKT963111")</f>
        <v>SKT963111</v>
      </c>
      <c r="G654" s="2" t="str">
        <f>IFERROR(__xludf.DUMMYFUNCTION("""COMPUTED_VALUE"""),"Kuwait")</f>
        <v>Kuwait</v>
      </c>
      <c r="H654" s="4">
        <f>IFERROR(__xludf.DUMMYFUNCTION("""COMPUTED_VALUE"""),14.15)</f>
        <v>14.15</v>
      </c>
      <c r="I654" s="3">
        <f>IFERROR(__xludf.DUMMYFUNCTION("""COMPUTED_VALUE"""),0.0)</f>
        <v>0</v>
      </c>
      <c r="J654" s="4">
        <f>IFERROR(__xludf.DUMMYFUNCTION("""COMPUTED_VALUE"""),1.415)</f>
        <v>1.415</v>
      </c>
      <c r="K654" s="2"/>
      <c r="L654" s="2" t="str">
        <f>IFERROR(__xludf.DUMMYFUNCTION("""COMPUTED_VALUE"""),"Delivered")</f>
        <v>Delivered</v>
      </c>
      <c r="M654" s="2" t="str">
        <f>IFERROR(__xludf.DUMMYFUNCTION("""COMPUTED_VALUE"""),"KD")</f>
        <v>KD</v>
      </c>
      <c r="N654" s="2" t="str">
        <f>IFERROR(__xludf.DUMMYFUNCTION("""COMPUTED_VALUE"""),"Credit, Debit, Knet")</f>
        <v>Credit, Debit, Knet</v>
      </c>
      <c r="O654" s="4">
        <f>IFERROR(__xludf.DUMMYFUNCTION("""COMPUTED_VALUE"""),0.0)</f>
        <v>0</v>
      </c>
      <c r="P654" s="2">
        <f>IFERROR(__xludf.DUMMYFUNCTION("""COMPUTED_VALUE"""),22.0)</f>
        <v>22</v>
      </c>
      <c r="Q654" s="2">
        <f>IFERROR(__xludf.DUMMYFUNCTION("""COMPUTED_VALUE"""),6.0)</f>
        <v>6</v>
      </c>
      <c r="R654" s="2">
        <f>IFERROR(__xludf.DUMMYFUNCTION("""COMPUTED_VALUE"""),2025.0)</f>
        <v>2025</v>
      </c>
      <c r="S654" s="2" t="str">
        <f>IFERROR(__xludf.DUMMYFUNCTION("""COMPUTED_VALUE"""),"Digizag")</f>
        <v>Digizag</v>
      </c>
      <c r="T654" s="2" t="str">
        <f>IFERROR(__xludf.DUMMYFUNCTION("""COMPUTED_VALUE"""),"Digizag")</f>
        <v>Digizag</v>
      </c>
      <c r="U654" s="5">
        <f>IFERROR(__xludf.DUMMYFUNCTION("""COMPUTED_VALUE"""),46.137772999999996)</f>
        <v>46.137773</v>
      </c>
      <c r="V654" s="2"/>
      <c r="W654" s="2"/>
      <c r="X654" s="2"/>
      <c r="Y654" s="2"/>
      <c r="Z654" s="2"/>
    </row>
    <row r="655">
      <c r="A655" s="6">
        <f>IFERROR(__xludf.DUMMYFUNCTION("""COMPUTED_VALUE"""),45830.54907407407)</f>
        <v>45830.54907</v>
      </c>
      <c r="B655" s="2" t="str">
        <f>IFERROR(__xludf.DUMMYFUNCTION("""COMPUTED_VALUE"""),"June")</f>
        <v>June</v>
      </c>
      <c r="C655" s="3">
        <f>IFERROR(__xludf.DUMMYFUNCTION("""COMPUTED_VALUE"""),739789.0)</f>
        <v>739789</v>
      </c>
      <c r="D655" s="2" t="str">
        <f>IFERROR(__xludf.DUMMYFUNCTION("""COMPUTED_VALUE"""),"MNN27")</f>
        <v>MNN27</v>
      </c>
      <c r="E655" s="2" t="str">
        <f>IFERROR(__xludf.DUMMYFUNCTION("""COMPUTED_VALUE"""),"Imported from file DigiZag Codes 25Feb25.xlsx")</f>
        <v>Imported from file DigiZag Codes 25Feb25.xlsx</v>
      </c>
      <c r="F655" s="2" t="str">
        <f>IFERROR(__xludf.DUMMYFUNCTION("""COMPUTED_VALUE"""),"LTH451709")</f>
        <v>LTH451709</v>
      </c>
      <c r="G655" s="2" t="str">
        <f>IFERROR(__xludf.DUMMYFUNCTION("""COMPUTED_VALUE"""),"Kuwait")</f>
        <v>Kuwait</v>
      </c>
      <c r="H655" s="4">
        <f>IFERROR(__xludf.DUMMYFUNCTION("""COMPUTED_VALUE"""),6.95)</f>
        <v>6.95</v>
      </c>
      <c r="I655" s="3">
        <f>IFERROR(__xludf.DUMMYFUNCTION("""COMPUTED_VALUE"""),0.0)</f>
        <v>0</v>
      </c>
      <c r="J655" s="4">
        <f>IFERROR(__xludf.DUMMYFUNCTION("""COMPUTED_VALUE"""),0.695)</f>
        <v>0.695</v>
      </c>
      <c r="K655" s="2"/>
      <c r="L655" s="2" t="str">
        <f>IFERROR(__xludf.DUMMYFUNCTION("""COMPUTED_VALUE"""),"Delivered")</f>
        <v>Delivered</v>
      </c>
      <c r="M655" s="2" t="str">
        <f>IFERROR(__xludf.DUMMYFUNCTION("""COMPUTED_VALUE"""),"KD")</f>
        <v>KD</v>
      </c>
      <c r="N655" s="2" t="str">
        <f>IFERROR(__xludf.DUMMYFUNCTION("""COMPUTED_VALUE"""),"Credit, Debit, Knet")</f>
        <v>Credit, Debit, Knet</v>
      </c>
      <c r="O655" s="4">
        <f>IFERROR(__xludf.DUMMYFUNCTION("""COMPUTED_VALUE"""),0.0)</f>
        <v>0</v>
      </c>
      <c r="P655" s="2">
        <f>IFERROR(__xludf.DUMMYFUNCTION("""COMPUTED_VALUE"""),22.0)</f>
        <v>22</v>
      </c>
      <c r="Q655" s="2">
        <f>IFERROR(__xludf.DUMMYFUNCTION("""COMPUTED_VALUE"""),6.0)</f>
        <v>6</v>
      </c>
      <c r="R655" s="2">
        <f>IFERROR(__xludf.DUMMYFUNCTION("""COMPUTED_VALUE"""),2025.0)</f>
        <v>2025</v>
      </c>
      <c r="S655" s="2" t="str">
        <f>IFERROR(__xludf.DUMMYFUNCTION("""COMPUTED_VALUE"""),"Digizag")</f>
        <v>Digizag</v>
      </c>
      <c r="T655" s="2" t="str">
        <f>IFERROR(__xludf.DUMMYFUNCTION("""COMPUTED_VALUE"""),"Digizag")</f>
        <v>Digizag</v>
      </c>
      <c r="U655" s="5">
        <f>IFERROR(__xludf.DUMMYFUNCTION("""COMPUTED_VALUE"""),22.661309)</f>
        <v>22.661309</v>
      </c>
      <c r="V655" s="2"/>
      <c r="W655" s="2"/>
      <c r="X655" s="2"/>
      <c r="Y655" s="2"/>
      <c r="Z655" s="2"/>
    </row>
    <row r="656">
      <c r="A656" s="6">
        <f>IFERROR(__xludf.DUMMYFUNCTION("""COMPUTED_VALUE"""),45830.84459490741)</f>
        <v>45830.84459</v>
      </c>
      <c r="B656" s="2" t="str">
        <f>IFERROR(__xludf.DUMMYFUNCTION("""COMPUTED_VALUE"""),"June")</f>
        <v>June</v>
      </c>
      <c r="C656" s="3">
        <f>IFERROR(__xludf.DUMMYFUNCTION("""COMPUTED_VALUE"""),232926.0)</f>
        <v>232926</v>
      </c>
      <c r="D656" s="2" t="str">
        <f>IFERROR(__xludf.DUMMYFUNCTION("""COMPUTED_VALUE"""),"MNN16")</f>
        <v>MNN16</v>
      </c>
      <c r="E656" s="2" t="str">
        <f>IFERROR(__xludf.DUMMYFUNCTION("""COMPUTED_VALUE"""),"Imported from file DigiZag Codes 25Feb25.xlsx")</f>
        <v>Imported from file DigiZag Codes 25Feb25.xlsx</v>
      </c>
      <c r="F656" s="2" t="str">
        <f>IFERROR(__xludf.DUMMYFUNCTION("""COMPUTED_VALUE"""),"GJH238184")</f>
        <v>GJH238184</v>
      </c>
      <c r="G656" s="2" t="str">
        <f>IFERROR(__xludf.DUMMYFUNCTION("""COMPUTED_VALUE"""),"UAE")</f>
        <v>UAE</v>
      </c>
      <c r="H656" s="4">
        <f>IFERROR(__xludf.DUMMYFUNCTION("""COMPUTED_VALUE"""),145.0)</f>
        <v>145</v>
      </c>
      <c r="I656" s="3">
        <f>IFERROR(__xludf.DUMMYFUNCTION("""COMPUTED_VALUE"""),0.0)</f>
        <v>0</v>
      </c>
      <c r="J656" s="4">
        <f>IFERROR(__xludf.DUMMYFUNCTION("""COMPUTED_VALUE"""),14.5)</f>
        <v>14.5</v>
      </c>
      <c r="K656" s="2"/>
      <c r="L656" s="2" t="str">
        <f>IFERROR(__xludf.DUMMYFUNCTION("""COMPUTED_VALUE"""),"Processing")</f>
        <v>Processing</v>
      </c>
      <c r="M656" s="2" t="str">
        <f>IFERROR(__xludf.DUMMYFUNCTION("""COMPUTED_VALUE"""),"")</f>
        <v></v>
      </c>
      <c r="N656" s="2" t="str">
        <f>IFERROR(__xludf.DUMMYFUNCTION("""COMPUTED_VALUE"""),"Credit, Debit , Apple Pay")</f>
        <v>Credit, Debit , Apple Pay</v>
      </c>
      <c r="O656" s="4">
        <f>IFERROR(__xludf.DUMMYFUNCTION("""COMPUTED_VALUE"""),0.0)</f>
        <v>0</v>
      </c>
      <c r="P656" s="2">
        <f>IFERROR(__xludf.DUMMYFUNCTION("""COMPUTED_VALUE"""),22.0)</f>
        <v>22</v>
      </c>
      <c r="Q656" s="2">
        <f>IFERROR(__xludf.DUMMYFUNCTION("""COMPUTED_VALUE"""),6.0)</f>
        <v>6</v>
      </c>
      <c r="R656" s="2">
        <f>IFERROR(__xludf.DUMMYFUNCTION("""COMPUTED_VALUE"""),2025.0)</f>
        <v>2025</v>
      </c>
      <c r="S656" s="2" t="str">
        <f>IFERROR(__xludf.DUMMYFUNCTION("""COMPUTED_VALUE"""),"Digizag")</f>
        <v>Digizag</v>
      </c>
      <c r="T656" s="2" t="str">
        <f>IFERROR(__xludf.DUMMYFUNCTION("""COMPUTED_VALUE"""),"Digizag")</f>
        <v>Digizag</v>
      </c>
      <c r="U656" s="5">
        <f>IFERROR(__xludf.DUMMYFUNCTION("""COMPUTED_VALUE"""),39.48264131)</f>
        <v>39.48264131</v>
      </c>
      <c r="V656" s="2"/>
      <c r="W656" s="2"/>
      <c r="X656" s="2"/>
      <c r="Y656" s="2"/>
      <c r="Z656" s="2"/>
    </row>
    <row r="657">
      <c r="A657" s="6">
        <f>IFERROR(__xludf.DUMMYFUNCTION("""COMPUTED_VALUE"""),45830.8652662037)</f>
        <v>45830.86527</v>
      </c>
      <c r="B657" s="2" t="str">
        <f>IFERROR(__xludf.DUMMYFUNCTION("""COMPUTED_VALUE"""),"June")</f>
        <v>June</v>
      </c>
      <c r="C657" s="3">
        <f>IFERROR(__xludf.DUMMYFUNCTION("""COMPUTED_VALUE"""),756185.0)</f>
        <v>756185</v>
      </c>
      <c r="D657" s="2" t="str">
        <f>IFERROR(__xludf.DUMMYFUNCTION("""COMPUTED_VALUE"""),"ZM22")</f>
        <v>ZM22</v>
      </c>
      <c r="E657" s="2" t="str">
        <f>IFERROR(__xludf.DUMMYFUNCTION("""COMPUTED_VALUE"""),"Imported from file Digizag.xlsx")</f>
        <v>Imported from file Digizag.xlsx</v>
      </c>
      <c r="F657" s="2" t="str">
        <f>IFERROR(__xludf.DUMMYFUNCTION("""COMPUTED_VALUE"""),"SQT148249")</f>
        <v>SQT148249</v>
      </c>
      <c r="G657" s="2" t="str">
        <f>IFERROR(__xludf.DUMMYFUNCTION("""COMPUTED_VALUE"""),"UAE")</f>
        <v>UAE</v>
      </c>
      <c r="H657" s="4">
        <f>IFERROR(__xludf.DUMMYFUNCTION("""COMPUTED_VALUE"""),161.0)</f>
        <v>161</v>
      </c>
      <c r="I657" s="3">
        <f>IFERROR(__xludf.DUMMYFUNCTION("""COMPUTED_VALUE"""),0.0)</f>
        <v>0</v>
      </c>
      <c r="J657" s="4">
        <f>IFERROR(__xludf.DUMMYFUNCTION("""COMPUTED_VALUE"""),16.1)</f>
        <v>16.1</v>
      </c>
      <c r="K657" s="2"/>
      <c r="L657" s="2" t="str">
        <f>IFERROR(__xludf.DUMMYFUNCTION("""COMPUTED_VALUE"""),"Processing")</f>
        <v>Processing</v>
      </c>
      <c r="M657" s="2" t="str">
        <f>IFERROR(__xludf.DUMMYFUNCTION("""COMPUTED_VALUE"""),"")</f>
        <v></v>
      </c>
      <c r="N657" s="2" t="str">
        <f>IFERROR(__xludf.DUMMYFUNCTION("""COMPUTED_VALUE"""),"Cash")</f>
        <v>Cash</v>
      </c>
      <c r="O657" s="4">
        <f>IFERROR(__xludf.DUMMYFUNCTION("""COMPUTED_VALUE"""),0.0)</f>
        <v>0</v>
      </c>
      <c r="P657" s="2">
        <f>IFERROR(__xludf.DUMMYFUNCTION("""COMPUTED_VALUE"""),22.0)</f>
        <v>22</v>
      </c>
      <c r="Q657" s="2">
        <f>IFERROR(__xludf.DUMMYFUNCTION("""COMPUTED_VALUE"""),6.0)</f>
        <v>6</v>
      </c>
      <c r="R657" s="2">
        <f>IFERROR(__xludf.DUMMYFUNCTION("""COMPUTED_VALUE"""),2025.0)</f>
        <v>2025</v>
      </c>
      <c r="S657" s="2" t="str">
        <f>IFERROR(__xludf.DUMMYFUNCTION("""COMPUTED_VALUE"""),"Digizag")</f>
        <v>Digizag</v>
      </c>
      <c r="T657" s="2" t="str">
        <f>IFERROR(__xludf.DUMMYFUNCTION("""COMPUTED_VALUE"""),"Digizag")</f>
        <v>Digizag</v>
      </c>
      <c r="U657" s="5">
        <f>IFERROR(__xludf.DUMMYFUNCTION("""COMPUTED_VALUE"""),43.839346558)</f>
        <v>43.83934656</v>
      </c>
      <c r="V657" s="2"/>
      <c r="W657" s="2"/>
      <c r="X657" s="2"/>
      <c r="Y657" s="2"/>
      <c r="Z657" s="2"/>
    </row>
    <row r="658">
      <c r="A658" s="6">
        <f>IFERROR(__xludf.DUMMYFUNCTION("""COMPUTED_VALUE"""),45831.3227662037)</f>
        <v>45831.32277</v>
      </c>
      <c r="B658" s="2" t="str">
        <f>IFERROR(__xludf.DUMMYFUNCTION("""COMPUTED_VALUE"""),"June")</f>
        <v>June</v>
      </c>
      <c r="C658" s="3">
        <f>IFERROR(__xludf.DUMMYFUNCTION("""COMPUTED_VALUE"""),163907.0)</f>
        <v>163907</v>
      </c>
      <c r="D658" s="2" t="str">
        <f>IFERROR(__xludf.DUMMYFUNCTION("""COMPUTED_VALUE"""),"RR22")</f>
        <v>RR22</v>
      </c>
      <c r="E658" s="2" t="str">
        <f>IFERROR(__xludf.DUMMYFUNCTION("""COMPUTED_VALUE"""),"Imported from file Digizag.xlsx")</f>
        <v>Imported from file Digizag.xlsx</v>
      </c>
      <c r="F658" s="2" t="str">
        <f>IFERROR(__xludf.DUMMYFUNCTION("""COMPUTED_VALUE"""),"HLM472175")</f>
        <v>HLM472175</v>
      </c>
      <c r="G658" s="2" t="str">
        <f>IFERROR(__xludf.DUMMYFUNCTION("""COMPUTED_VALUE"""),"UAE")</f>
        <v>UAE</v>
      </c>
      <c r="H658" s="4">
        <f>IFERROR(__xludf.DUMMYFUNCTION("""COMPUTED_VALUE"""),217.8)</f>
        <v>217.8</v>
      </c>
      <c r="I658" s="3">
        <f>IFERROR(__xludf.DUMMYFUNCTION("""COMPUTED_VALUE"""),0.0)</f>
        <v>0</v>
      </c>
      <c r="J658" s="4">
        <f>IFERROR(__xludf.DUMMYFUNCTION("""COMPUTED_VALUE"""),21.78)</f>
        <v>21.78</v>
      </c>
      <c r="K658" s="2"/>
      <c r="L658" s="2" t="str">
        <f>IFERROR(__xludf.DUMMYFUNCTION("""COMPUTED_VALUE"""),"Processing")</f>
        <v>Processing</v>
      </c>
      <c r="M658" s="2" t="str">
        <f>IFERROR(__xludf.DUMMYFUNCTION("""COMPUTED_VALUE"""),"")</f>
        <v></v>
      </c>
      <c r="N658" s="2" t="str">
        <f>IFERROR(__xludf.DUMMYFUNCTION("""COMPUTED_VALUE"""),"Credit, Debit , Apple Pay")</f>
        <v>Credit, Debit , Apple Pay</v>
      </c>
      <c r="O658" s="4">
        <f>IFERROR(__xludf.DUMMYFUNCTION("""COMPUTED_VALUE"""),0.0)</f>
        <v>0</v>
      </c>
      <c r="P658" s="2">
        <f>IFERROR(__xludf.DUMMYFUNCTION("""COMPUTED_VALUE"""),23.0)</f>
        <v>23</v>
      </c>
      <c r="Q658" s="2">
        <f>IFERROR(__xludf.DUMMYFUNCTION("""COMPUTED_VALUE"""),6.0)</f>
        <v>6</v>
      </c>
      <c r="R658" s="2">
        <f>IFERROR(__xludf.DUMMYFUNCTION("""COMPUTED_VALUE"""),2025.0)</f>
        <v>2025</v>
      </c>
      <c r="S658" s="2" t="str">
        <f>IFERROR(__xludf.DUMMYFUNCTION("""COMPUTED_VALUE"""),"Digizag")</f>
        <v>Digizag</v>
      </c>
      <c r="T658" s="2" t="str">
        <f>IFERROR(__xludf.DUMMYFUNCTION("""COMPUTED_VALUE"""),"Digizag")</f>
        <v>Digizag</v>
      </c>
      <c r="U658" s="5">
        <f>IFERROR(__xludf.DUMMYFUNCTION("""COMPUTED_VALUE"""),59.3056501884)</f>
        <v>59.30565019</v>
      </c>
      <c r="V658" s="2"/>
      <c r="W658" s="2"/>
      <c r="X658" s="2"/>
      <c r="Y658" s="2"/>
      <c r="Z658" s="2"/>
    </row>
    <row r="659">
      <c r="A659" s="6">
        <f>IFERROR(__xludf.DUMMYFUNCTION("""COMPUTED_VALUE"""),45831.41287037037)</f>
        <v>45831.41287</v>
      </c>
      <c r="B659" s="2" t="str">
        <f>IFERROR(__xludf.DUMMYFUNCTION("""COMPUTED_VALUE"""),"June")</f>
        <v>June</v>
      </c>
      <c r="C659" s="3">
        <f>IFERROR(__xludf.DUMMYFUNCTION("""COMPUTED_VALUE"""),18432.0)</f>
        <v>18432</v>
      </c>
      <c r="D659" s="2" t="str">
        <f>IFERROR(__xludf.DUMMYFUNCTION("""COMPUTED_VALUE"""),"ZM22")</f>
        <v>ZM22</v>
      </c>
      <c r="E659" s="2" t="str">
        <f>IFERROR(__xludf.DUMMYFUNCTION("""COMPUTED_VALUE"""),"Imported from file Digizag.xlsx")</f>
        <v>Imported from file Digizag.xlsx</v>
      </c>
      <c r="F659" s="2" t="str">
        <f>IFERROR(__xludf.DUMMYFUNCTION("""COMPUTED_VALUE"""),"MNA174267")</f>
        <v>MNA174267</v>
      </c>
      <c r="G659" s="2" t="str">
        <f>IFERROR(__xludf.DUMMYFUNCTION("""COMPUTED_VALUE"""),"UAE")</f>
        <v>UAE</v>
      </c>
      <c r="H659" s="4">
        <f>IFERROR(__xludf.DUMMYFUNCTION("""COMPUTED_VALUE"""),731.0)</f>
        <v>731</v>
      </c>
      <c r="I659" s="3">
        <f>IFERROR(__xludf.DUMMYFUNCTION("""COMPUTED_VALUE"""),0.0)</f>
        <v>0</v>
      </c>
      <c r="J659" s="4">
        <f>IFERROR(__xludf.DUMMYFUNCTION("""COMPUTED_VALUE"""),73.1)</f>
        <v>73.1</v>
      </c>
      <c r="K659" s="2"/>
      <c r="L659" s="2" t="str">
        <f>IFERROR(__xludf.DUMMYFUNCTION("""COMPUTED_VALUE"""),"Processing")</f>
        <v>Processing</v>
      </c>
      <c r="M659" s="2" t="str">
        <f>IFERROR(__xludf.DUMMYFUNCTION("""COMPUTED_VALUE"""),"")</f>
        <v></v>
      </c>
      <c r="N659" s="2" t="str">
        <f>IFERROR(__xludf.DUMMYFUNCTION("""COMPUTED_VALUE"""),"Cash")</f>
        <v>Cash</v>
      </c>
      <c r="O659" s="4">
        <f>IFERROR(__xludf.DUMMYFUNCTION("""COMPUTED_VALUE"""),0.0)</f>
        <v>0</v>
      </c>
      <c r="P659" s="2">
        <f>IFERROR(__xludf.DUMMYFUNCTION("""COMPUTED_VALUE"""),23.0)</f>
        <v>23</v>
      </c>
      <c r="Q659" s="2">
        <f>IFERROR(__xludf.DUMMYFUNCTION("""COMPUTED_VALUE"""),6.0)</f>
        <v>6</v>
      </c>
      <c r="R659" s="2">
        <f>IFERROR(__xludf.DUMMYFUNCTION("""COMPUTED_VALUE"""),2025.0)</f>
        <v>2025</v>
      </c>
      <c r="S659" s="2" t="str">
        <f>IFERROR(__xludf.DUMMYFUNCTION("""COMPUTED_VALUE"""),"Digizag")</f>
        <v>Digizag</v>
      </c>
      <c r="T659" s="2" t="str">
        <f>IFERROR(__xludf.DUMMYFUNCTION("""COMPUTED_VALUE"""),"Digizag")</f>
        <v>Digizag</v>
      </c>
      <c r="U659" s="5">
        <f>IFERROR(__xludf.DUMMYFUNCTION("""COMPUTED_VALUE"""),199.046971018)</f>
        <v>199.046971</v>
      </c>
      <c r="V659" s="2"/>
      <c r="W659" s="2"/>
      <c r="X659" s="2"/>
      <c r="Y659" s="2"/>
      <c r="Z659" s="2"/>
    </row>
    <row r="660">
      <c r="A660" s="6">
        <f>IFERROR(__xludf.DUMMYFUNCTION("""COMPUTED_VALUE"""),45831.67291666666)</f>
        <v>45831.67292</v>
      </c>
      <c r="B660" s="2" t="str">
        <f>IFERROR(__xludf.DUMMYFUNCTION("""COMPUTED_VALUE"""),"June")</f>
        <v>June</v>
      </c>
      <c r="C660" s="3">
        <f>IFERROR(__xludf.DUMMYFUNCTION("""COMPUTED_VALUE"""),761823.0)</f>
        <v>761823</v>
      </c>
      <c r="D660" s="2" t="str">
        <f>IFERROR(__xludf.DUMMYFUNCTION("""COMPUTED_VALUE"""),"MNN16")</f>
        <v>MNN16</v>
      </c>
      <c r="E660" s="2" t="str">
        <f>IFERROR(__xludf.DUMMYFUNCTION("""COMPUTED_VALUE"""),"Imported from file DigiZag Bidding Codes.xlsx")</f>
        <v>Imported from file DigiZag Bidding Codes.xlsx</v>
      </c>
      <c r="F660" s="2" t="str">
        <f>IFERROR(__xludf.DUMMYFUNCTION("""COMPUTED_VALUE"""),"BAT279647")</f>
        <v>BAT279647</v>
      </c>
      <c r="G660" s="2" t="str">
        <f>IFERROR(__xludf.DUMMYFUNCTION("""COMPUTED_VALUE"""),"Kingdom of Saudi Arabia")</f>
        <v>Kingdom of Saudi Arabia</v>
      </c>
      <c r="H660" s="4">
        <f>IFERROR(__xludf.DUMMYFUNCTION("""COMPUTED_VALUE"""),119.0)</f>
        <v>119</v>
      </c>
      <c r="I660" s="3">
        <f>IFERROR(__xludf.DUMMYFUNCTION("""COMPUTED_VALUE"""),0.0)</f>
        <v>0</v>
      </c>
      <c r="J660" s="4">
        <f>IFERROR(__xludf.DUMMYFUNCTION("""COMPUTED_VALUE"""),30.0)</f>
        <v>30</v>
      </c>
      <c r="K660" s="2"/>
      <c r="L660" s="2" t="str">
        <f>IFERROR(__xludf.DUMMYFUNCTION("""COMPUTED_VALUE"""),"Processing")</f>
        <v>Processing</v>
      </c>
      <c r="M660" s="2" t="str">
        <f>IFERROR(__xludf.DUMMYFUNCTION("""COMPUTED_VALUE"""),"")</f>
        <v></v>
      </c>
      <c r="N660" s="2" t="str">
        <f>IFERROR(__xludf.DUMMYFUNCTION("""COMPUTED_VALUE"""),"Credit, Debit, Apple Pay")</f>
        <v>Credit, Debit, Apple Pay</v>
      </c>
      <c r="O660" s="4">
        <f>IFERROR(__xludf.DUMMYFUNCTION("""COMPUTED_VALUE"""),0.0)</f>
        <v>0</v>
      </c>
      <c r="P660" s="2">
        <f>IFERROR(__xludf.DUMMYFUNCTION("""COMPUTED_VALUE"""),23.0)</f>
        <v>23</v>
      </c>
      <c r="Q660" s="2">
        <f>IFERROR(__xludf.DUMMYFUNCTION("""COMPUTED_VALUE"""),6.0)</f>
        <v>6</v>
      </c>
      <c r="R660" s="2">
        <f>IFERROR(__xludf.DUMMYFUNCTION("""COMPUTED_VALUE"""),2025.0)</f>
        <v>2025</v>
      </c>
      <c r="S660" s="2" t="str">
        <f>IFERROR(__xludf.DUMMYFUNCTION("""COMPUTED_VALUE"""),"Digizag")</f>
        <v>Digizag</v>
      </c>
      <c r="T660" s="2" t="str">
        <f>IFERROR(__xludf.DUMMYFUNCTION("""COMPUTED_VALUE"""),"Digizag")</f>
        <v>Digizag</v>
      </c>
      <c r="U660" s="5">
        <f>IFERROR(__xludf.DUMMYFUNCTION("""COMPUTED_VALUE"""),31.730879474)</f>
        <v>31.73087947</v>
      </c>
      <c r="V660" s="2"/>
      <c r="W660" s="2"/>
      <c r="X660" s="2"/>
      <c r="Y660" s="2"/>
      <c r="Z660" s="2"/>
    </row>
    <row r="661">
      <c r="A661" s="6">
        <f>IFERROR(__xludf.DUMMYFUNCTION("""COMPUTED_VALUE"""),45831.67967592592)</f>
        <v>45831.67968</v>
      </c>
      <c r="B661" s="2" t="str">
        <f>IFERROR(__xludf.DUMMYFUNCTION("""COMPUTED_VALUE"""),"June")</f>
        <v>June</v>
      </c>
      <c r="C661" s="3">
        <f>IFERROR(__xludf.DUMMYFUNCTION("""COMPUTED_VALUE"""),352808.0)</f>
        <v>352808</v>
      </c>
      <c r="D661" s="2" t="str">
        <f>IFERROR(__xludf.DUMMYFUNCTION("""COMPUTED_VALUE"""),"DB1")</f>
        <v>DB1</v>
      </c>
      <c r="E661" s="2" t="str">
        <f>IFERROR(__xludf.DUMMYFUNCTION("""COMPUTED_VALUE"""),"Imported from file Digizag.xlsx")</f>
        <v>Imported from file Digizag.xlsx</v>
      </c>
      <c r="F661" s="2" t="str">
        <f>IFERROR(__xludf.DUMMYFUNCTION("""COMPUTED_VALUE"""),"LVC348661")</f>
        <v>LVC348661</v>
      </c>
      <c r="G661" s="2" t="str">
        <f>IFERROR(__xludf.DUMMYFUNCTION("""COMPUTED_VALUE"""),"UAE")</f>
        <v>UAE</v>
      </c>
      <c r="H661" s="4">
        <f>IFERROR(__xludf.DUMMYFUNCTION("""COMPUTED_VALUE"""),137.0)</f>
        <v>137</v>
      </c>
      <c r="I661" s="3">
        <f>IFERROR(__xludf.DUMMYFUNCTION("""COMPUTED_VALUE"""),0.0)</f>
        <v>0</v>
      </c>
      <c r="J661" s="4">
        <f>IFERROR(__xludf.DUMMYFUNCTION("""COMPUTED_VALUE"""),13.7)</f>
        <v>13.7</v>
      </c>
      <c r="K661" s="2"/>
      <c r="L661" s="2" t="str">
        <f>IFERROR(__xludf.DUMMYFUNCTION("""COMPUTED_VALUE"""),"Processing")</f>
        <v>Processing</v>
      </c>
      <c r="M661" s="2" t="str">
        <f>IFERROR(__xludf.DUMMYFUNCTION("""COMPUTED_VALUE"""),"")</f>
        <v></v>
      </c>
      <c r="N661" s="2" t="str">
        <f>IFERROR(__xludf.DUMMYFUNCTION("""COMPUTED_VALUE"""),"Credit, Debit , Apple Pay")</f>
        <v>Credit, Debit , Apple Pay</v>
      </c>
      <c r="O661" s="4">
        <f>IFERROR(__xludf.DUMMYFUNCTION("""COMPUTED_VALUE"""),0.0)</f>
        <v>0</v>
      </c>
      <c r="P661" s="2">
        <f>IFERROR(__xludf.DUMMYFUNCTION("""COMPUTED_VALUE"""),23.0)</f>
        <v>23</v>
      </c>
      <c r="Q661" s="2">
        <f>IFERROR(__xludf.DUMMYFUNCTION("""COMPUTED_VALUE"""),6.0)</f>
        <v>6</v>
      </c>
      <c r="R661" s="2">
        <f>IFERROR(__xludf.DUMMYFUNCTION("""COMPUTED_VALUE"""),2025.0)</f>
        <v>2025</v>
      </c>
      <c r="S661" s="2" t="str">
        <f>IFERROR(__xludf.DUMMYFUNCTION("""COMPUTED_VALUE"""),"Digizag")</f>
        <v>Digizag</v>
      </c>
      <c r="T661" s="2" t="str">
        <f>IFERROR(__xludf.DUMMYFUNCTION("""COMPUTED_VALUE"""),"Digizag")</f>
        <v>Digizag</v>
      </c>
      <c r="U661" s="5">
        <f>IFERROR(__xludf.DUMMYFUNCTION("""COMPUTED_VALUE"""),37.304288686)</f>
        <v>37.30428869</v>
      </c>
      <c r="V661" s="2"/>
      <c r="W661" s="2"/>
      <c r="X661" s="2"/>
      <c r="Y661" s="2"/>
      <c r="Z661" s="2"/>
    </row>
    <row r="662">
      <c r="A662" s="6">
        <f>IFERROR(__xludf.DUMMYFUNCTION("""COMPUTED_VALUE"""),45832.49892361111)</f>
        <v>45832.49892</v>
      </c>
      <c r="B662" s="2" t="str">
        <f>IFERROR(__xludf.DUMMYFUNCTION("""COMPUTED_VALUE"""),"June")</f>
        <v>June</v>
      </c>
      <c r="C662" s="3">
        <f>IFERROR(__xludf.DUMMYFUNCTION("""COMPUTED_VALUE"""),115652.0)</f>
        <v>115652</v>
      </c>
      <c r="D662" s="2" t="str">
        <f>IFERROR(__xludf.DUMMYFUNCTION("""COMPUTED_VALUE"""),"JM")</f>
        <v>JM</v>
      </c>
      <c r="E662" s="2" t="str">
        <f>IFERROR(__xludf.DUMMYFUNCTION("""COMPUTED_VALUE"""),"Digizag")</f>
        <v>Digizag</v>
      </c>
      <c r="F662" s="2" t="str">
        <f>IFERROR(__xludf.DUMMYFUNCTION("""COMPUTED_VALUE"""),"JPB749340")</f>
        <v>JPB749340</v>
      </c>
      <c r="G662" s="2" t="str">
        <f>IFERROR(__xludf.DUMMYFUNCTION("""COMPUTED_VALUE"""),"Kuwait")</f>
        <v>Kuwait</v>
      </c>
      <c r="H662" s="4">
        <f>IFERROR(__xludf.DUMMYFUNCTION("""COMPUTED_VALUE"""),26.15)</f>
        <v>26.15</v>
      </c>
      <c r="I662" s="3">
        <f>IFERROR(__xludf.DUMMYFUNCTION("""COMPUTED_VALUE"""),0.0)</f>
        <v>0</v>
      </c>
      <c r="J662" s="4">
        <f>IFERROR(__xludf.DUMMYFUNCTION("""COMPUTED_VALUE"""),2.615)</f>
        <v>2.615</v>
      </c>
      <c r="K662" s="2"/>
      <c r="L662" s="2" t="str">
        <f>IFERROR(__xludf.DUMMYFUNCTION("""COMPUTED_VALUE"""),"Delivered")</f>
        <v>Delivered</v>
      </c>
      <c r="M662" s="2" t="str">
        <f>IFERROR(__xludf.DUMMYFUNCTION("""COMPUTED_VALUE"""),"KD")</f>
        <v>KD</v>
      </c>
      <c r="N662" s="2" t="str">
        <f>IFERROR(__xludf.DUMMYFUNCTION("""COMPUTED_VALUE"""),"Credit, Debit, Knet")</f>
        <v>Credit, Debit, Knet</v>
      </c>
      <c r="O662" s="4">
        <f>IFERROR(__xludf.DUMMYFUNCTION("""COMPUTED_VALUE"""),0.0)</f>
        <v>0</v>
      </c>
      <c r="P662" s="2">
        <f>IFERROR(__xludf.DUMMYFUNCTION("""COMPUTED_VALUE"""),24.0)</f>
        <v>24</v>
      </c>
      <c r="Q662" s="2">
        <f>IFERROR(__xludf.DUMMYFUNCTION("""COMPUTED_VALUE"""),6.0)</f>
        <v>6</v>
      </c>
      <c r="R662" s="2">
        <f>IFERROR(__xludf.DUMMYFUNCTION("""COMPUTED_VALUE"""),2025.0)</f>
        <v>2025</v>
      </c>
      <c r="S662" s="2" t="str">
        <f>IFERROR(__xludf.DUMMYFUNCTION("""COMPUTED_VALUE"""),"Digizag")</f>
        <v>Digizag</v>
      </c>
      <c r="T662" s="2" t="str">
        <f>IFERROR(__xludf.DUMMYFUNCTION("""COMPUTED_VALUE"""),"Digizag")</f>
        <v>Digizag</v>
      </c>
      <c r="U662" s="5">
        <f>IFERROR(__xludf.DUMMYFUNCTION("""COMPUTED_VALUE"""),85.26521299999999)</f>
        <v>85.265213</v>
      </c>
      <c r="V662" s="2"/>
      <c r="W662" s="2"/>
      <c r="X662" s="2"/>
      <c r="Y662" s="2"/>
      <c r="Z662" s="2"/>
    </row>
    <row r="663">
      <c r="A663" s="6">
        <f>IFERROR(__xludf.DUMMYFUNCTION("""COMPUTED_VALUE"""),45832.54516203704)</f>
        <v>45832.54516</v>
      </c>
      <c r="B663" s="2" t="str">
        <f>IFERROR(__xludf.DUMMYFUNCTION("""COMPUTED_VALUE"""),"June")</f>
        <v>June</v>
      </c>
      <c r="C663" s="3">
        <f>IFERROR(__xludf.DUMMYFUNCTION("""COMPUTED_VALUE"""),762099.0)</f>
        <v>762099</v>
      </c>
      <c r="D663" s="2" t="str">
        <f>IFERROR(__xludf.DUMMYFUNCTION("""COMPUTED_VALUE"""),"ZM22")</f>
        <v>ZM22</v>
      </c>
      <c r="E663" s="2" t="str">
        <f>IFERROR(__xludf.DUMMYFUNCTION("""COMPUTED_VALUE"""),"Imported from file Digizag.xlsx")</f>
        <v>Imported from file Digizag.xlsx</v>
      </c>
      <c r="F663" s="2" t="str">
        <f>IFERROR(__xludf.DUMMYFUNCTION("""COMPUTED_VALUE"""),"UMP396646")</f>
        <v>UMP396646</v>
      </c>
      <c r="G663" s="2" t="str">
        <f>IFERROR(__xludf.DUMMYFUNCTION("""COMPUTED_VALUE"""),"UAE")</f>
        <v>UAE</v>
      </c>
      <c r="H663" s="4">
        <f>IFERROR(__xludf.DUMMYFUNCTION("""COMPUTED_VALUE"""),211.3)</f>
        <v>211.3</v>
      </c>
      <c r="I663" s="3">
        <f>IFERROR(__xludf.DUMMYFUNCTION("""COMPUTED_VALUE"""),0.0)</f>
        <v>0</v>
      </c>
      <c r="J663" s="4">
        <f>IFERROR(__xludf.DUMMYFUNCTION("""COMPUTED_VALUE"""),21.13)</f>
        <v>21.13</v>
      </c>
      <c r="K663" s="2"/>
      <c r="L663" s="2" t="str">
        <f>IFERROR(__xludf.DUMMYFUNCTION("""COMPUTED_VALUE"""),"Processing")</f>
        <v>Processing</v>
      </c>
      <c r="M663" s="2" t="str">
        <f>IFERROR(__xludf.DUMMYFUNCTION("""COMPUTED_VALUE"""),"")</f>
        <v></v>
      </c>
      <c r="N663" s="2" t="str">
        <f>IFERROR(__xludf.DUMMYFUNCTION("""COMPUTED_VALUE"""),"Credit, Debit , Apple Pay")</f>
        <v>Credit, Debit , Apple Pay</v>
      </c>
      <c r="O663" s="4">
        <f>IFERROR(__xludf.DUMMYFUNCTION("""COMPUTED_VALUE"""),0.0)</f>
        <v>0</v>
      </c>
      <c r="P663" s="2">
        <f>IFERROR(__xludf.DUMMYFUNCTION("""COMPUTED_VALUE"""),24.0)</f>
        <v>24</v>
      </c>
      <c r="Q663" s="2">
        <f>IFERROR(__xludf.DUMMYFUNCTION("""COMPUTED_VALUE"""),6.0)</f>
        <v>6</v>
      </c>
      <c r="R663" s="2">
        <f>IFERROR(__xludf.DUMMYFUNCTION("""COMPUTED_VALUE"""),2025.0)</f>
        <v>2025</v>
      </c>
      <c r="S663" s="2" t="str">
        <f>IFERROR(__xludf.DUMMYFUNCTION("""COMPUTED_VALUE"""),"Digizag")</f>
        <v>Digizag</v>
      </c>
      <c r="T663" s="2" t="str">
        <f>IFERROR(__xludf.DUMMYFUNCTION("""COMPUTED_VALUE"""),"Digizag")</f>
        <v>Digizag</v>
      </c>
      <c r="U663" s="5">
        <f>IFERROR(__xludf.DUMMYFUNCTION("""COMPUTED_VALUE"""),57.535738681400005)</f>
        <v>57.53573868</v>
      </c>
      <c r="V663" s="2"/>
      <c r="W663" s="2"/>
      <c r="X663" s="2"/>
      <c r="Y663" s="2"/>
      <c r="Z663" s="2"/>
    </row>
    <row r="664">
      <c r="A664" s="6">
        <f>IFERROR(__xludf.DUMMYFUNCTION("""COMPUTED_VALUE"""),45832.5465162037)</f>
        <v>45832.54652</v>
      </c>
      <c r="B664" s="2" t="str">
        <f>IFERROR(__xludf.DUMMYFUNCTION("""COMPUTED_VALUE"""),"June")</f>
        <v>June</v>
      </c>
      <c r="C664" s="3">
        <f>IFERROR(__xludf.DUMMYFUNCTION("""COMPUTED_VALUE"""),762167.0)</f>
        <v>762167</v>
      </c>
      <c r="D664" s="2" t="str">
        <f>IFERROR(__xludf.DUMMYFUNCTION("""COMPUTED_VALUE"""),"DB1")</f>
        <v>DB1</v>
      </c>
      <c r="E664" s="2" t="str">
        <f>IFERROR(__xludf.DUMMYFUNCTION("""COMPUTED_VALUE"""),"Imported from file Digizag.xlsx")</f>
        <v>Imported from file Digizag.xlsx</v>
      </c>
      <c r="F664" s="2" t="str">
        <f>IFERROR(__xludf.DUMMYFUNCTION("""COMPUTED_VALUE"""),"DNU580758")</f>
        <v>DNU580758</v>
      </c>
      <c r="G664" s="2" t="str">
        <f>IFERROR(__xludf.DUMMYFUNCTION("""COMPUTED_VALUE"""),"UAE")</f>
        <v>UAE</v>
      </c>
      <c r="H664" s="4">
        <f>IFERROR(__xludf.DUMMYFUNCTION("""COMPUTED_VALUE"""),202.25)</f>
        <v>202.25</v>
      </c>
      <c r="I664" s="3">
        <f>IFERROR(__xludf.DUMMYFUNCTION("""COMPUTED_VALUE"""),0.0)</f>
        <v>0</v>
      </c>
      <c r="J664" s="4">
        <f>IFERROR(__xludf.DUMMYFUNCTION("""COMPUTED_VALUE"""),20.22)</f>
        <v>20.22</v>
      </c>
      <c r="K664" s="2"/>
      <c r="L664" s="2" t="str">
        <f>IFERROR(__xludf.DUMMYFUNCTION("""COMPUTED_VALUE"""),"Processing")</f>
        <v>Processing</v>
      </c>
      <c r="M664" s="2" t="str">
        <f>IFERROR(__xludf.DUMMYFUNCTION("""COMPUTED_VALUE"""),"")</f>
        <v></v>
      </c>
      <c r="N664" s="2" t="str">
        <f>IFERROR(__xludf.DUMMYFUNCTION("""COMPUTED_VALUE"""),"Credit, Debit , Apple Pay")</f>
        <v>Credit, Debit , Apple Pay</v>
      </c>
      <c r="O664" s="4">
        <f>IFERROR(__xludf.DUMMYFUNCTION("""COMPUTED_VALUE"""),0.0)</f>
        <v>0</v>
      </c>
      <c r="P664" s="2">
        <f>IFERROR(__xludf.DUMMYFUNCTION("""COMPUTED_VALUE"""),24.0)</f>
        <v>24</v>
      </c>
      <c r="Q664" s="2">
        <f>IFERROR(__xludf.DUMMYFUNCTION("""COMPUTED_VALUE"""),6.0)</f>
        <v>6</v>
      </c>
      <c r="R664" s="2">
        <f>IFERROR(__xludf.DUMMYFUNCTION("""COMPUTED_VALUE"""),2025.0)</f>
        <v>2025</v>
      </c>
      <c r="S664" s="2" t="str">
        <f>IFERROR(__xludf.DUMMYFUNCTION("""COMPUTED_VALUE"""),"Digizag")</f>
        <v>Digizag</v>
      </c>
      <c r="T664" s="2" t="str">
        <f>IFERROR(__xludf.DUMMYFUNCTION("""COMPUTED_VALUE"""),"Digizag")</f>
        <v>Digizag</v>
      </c>
      <c r="U664" s="5">
        <f>IFERROR(__xludf.DUMMYFUNCTION("""COMPUTED_VALUE"""),55.0714772755)</f>
        <v>55.07147728</v>
      </c>
      <c r="V664" s="2"/>
      <c r="W664" s="2"/>
      <c r="X664" s="2"/>
      <c r="Y664" s="2"/>
      <c r="Z664" s="2"/>
    </row>
    <row r="665">
      <c r="A665" s="6">
        <f>IFERROR(__xludf.DUMMYFUNCTION("""COMPUTED_VALUE"""),45832.72474537037)</f>
        <v>45832.72475</v>
      </c>
      <c r="B665" s="2" t="str">
        <f>IFERROR(__xludf.DUMMYFUNCTION("""COMPUTED_VALUE"""),"June")</f>
        <v>June</v>
      </c>
      <c r="C665" s="3">
        <f>IFERROR(__xludf.DUMMYFUNCTION("""COMPUTED_VALUE"""),391244.0)</f>
        <v>391244</v>
      </c>
      <c r="D665" s="2" t="str">
        <f>IFERROR(__xludf.DUMMYFUNCTION("""COMPUTED_VALUE"""),"ZM22")</f>
        <v>ZM22</v>
      </c>
      <c r="E665" s="2" t="str">
        <f>IFERROR(__xludf.DUMMYFUNCTION("""COMPUTED_VALUE"""),"Imported from file Digizag.xlsx")</f>
        <v>Imported from file Digizag.xlsx</v>
      </c>
      <c r="F665" s="2" t="str">
        <f>IFERROR(__xludf.DUMMYFUNCTION("""COMPUTED_VALUE"""),"JQB611493")</f>
        <v>JQB611493</v>
      </c>
      <c r="G665" s="2" t="str">
        <f>IFERROR(__xludf.DUMMYFUNCTION("""COMPUTED_VALUE"""),"UAE")</f>
        <v>UAE</v>
      </c>
      <c r="H665" s="4">
        <f>IFERROR(__xludf.DUMMYFUNCTION("""COMPUTED_VALUE"""),215.05)</f>
        <v>215.05</v>
      </c>
      <c r="I665" s="3">
        <f>IFERROR(__xludf.DUMMYFUNCTION("""COMPUTED_VALUE"""),0.0)</f>
        <v>0</v>
      </c>
      <c r="J665" s="4">
        <f>IFERROR(__xludf.DUMMYFUNCTION("""COMPUTED_VALUE"""),21.5)</f>
        <v>21.5</v>
      </c>
      <c r="K665" s="2"/>
      <c r="L665" s="2" t="str">
        <f>IFERROR(__xludf.DUMMYFUNCTION("""COMPUTED_VALUE"""),"Processing")</f>
        <v>Processing</v>
      </c>
      <c r="M665" s="2" t="str">
        <f>IFERROR(__xludf.DUMMYFUNCTION("""COMPUTED_VALUE"""),"")</f>
        <v></v>
      </c>
      <c r="N665" s="2" t="str">
        <f>IFERROR(__xludf.DUMMYFUNCTION("""COMPUTED_VALUE"""),"Credit, Debit , Apple Pay")</f>
        <v>Credit, Debit , Apple Pay</v>
      </c>
      <c r="O665" s="4">
        <f>IFERROR(__xludf.DUMMYFUNCTION("""COMPUTED_VALUE"""),0.0)</f>
        <v>0</v>
      </c>
      <c r="P665" s="2">
        <f>IFERROR(__xludf.DUMMYFUNCTION("""COMPUTED_VALUE"""),24.0)</f>
        <v>24</v>
      </c>
      <c r="Q665" s="2">
        <f>IFERROR(__xludf.DUMMYFUNCTION("""COMPUTED_VALUE"""),6.0)</f>
        <v>6</v>
      </c>
      <c r="R665" s="2">
        <f>IFERROR(__xludf.DUMMYFUNCTION("""COMPUTED_VALUE"""),2025.0)</f>
        <v>2025</v>
      </c>
      <c r="S665" s="2" t="str">
        <f>IFERROR(__xludf.DUMMYFUNCTION("""COMPUTED_VALUE"""),"Digizag")</f>
        <v>Digizag</v>
      </c>
      <c r="T665" s="2" t="str">
        <f>IFERROR(__xludf.DUMMYFUNCTION("""COMPUTED_VALUE"""),"Digizag")</f>
        <v>Digizag</v>
      </c>
      <c r="U665" s="5">
        <f>IFERROR(__xludf.DUMMYFUNCTION("""COMPUTED_VALUE"""),58.5568414739)</f>
        <v>58.55684147</v>
      </c>
      <c r="V665" s="2"/>
      <c r="W665" s="2"/>
      <c r="X665" s="2"/>
      <c r="Y665" s="2"/>
      <c r="Z665" s="2"/>
    </row>
    <row r="666">
      <c r="A666" s="6">
        <f>IFERROR(__xludf.DUMMYFUNCTION("""COMPUTED_VALUE"""),45833.24134259259)</f>
        <v>45833.24134</v>
      </c>
      <c r="B666" s="2" t="str">
        <f>IFERROR(__xludf.DUMMYFUNCTION("""COMPUTED_VALUE"""),"June")</f>
        <v>June</v>
      </c>
      <c r="C666" s="3">
        <f>IFERROR(__xludf.DUMMYFUNCTION("""COMPUTED_VALUE"""),382491.0)</f>
        <v>382491</v>
      </c>
      <c r="D666" s="2" t="str">
        <f>IFERROR(__xludf.DUMMYFUNCTION("""COMPUTED_VALUE"""),"ZM22")</f>
        <v>ZM22</v>
      </c>
      <c r="E666" s="2" t="str">
        <f>IFERROR(__xludf.DUMMYFUNCTION("""COMPUTED_VALUE"""),"Imported from file Digizag.xlsx")</f>
        <v>Imported from file Digizag.xlsx</v>
      </c>
      <c r="F666" s="2" t="str">
        <f>IFERROR(__xludf.DUMMYFUNCTION("""COMPUTED_VALUE"""),"TRN784549")</f>
        <v>TRN784549</v>
      </c>
      <c r="G666" s="2" t="str">
        <f>IFERROR(__xludf.DUMMYFUNCTION("""COMPUTED_VALUE"""),"UAE")</f>
        <v>UAE</v>
      </c>
      <c r="H666" s="4">
        <f>IFERROR(__xludf.DUMMYFUNCTION("""COMPUTED_VALUE"""),182.0)</f>
        <v>182</v>
      </c>
      <c r="I666" s="3">
        <f>IFERROR(__xludf.DUMMYFUNCTION("""COMPUTED_VALUE"""),0.0)</f>
        <v>0</v>
      </c>
      <c r="J666" s="4">
        <f>IFERROR(__xludf.DUMMYFUNCTION("""COMPUTED_VALUE"""),18.2)</f>
        <v>18.2</v>
      </c>
      <c r="K666" s="2"/>
      <c r="L666" s="2" t="str">
        <f>IFERROR(__xludf.DUMMYFUNCTION("""COMPUTED_VALUE"""),"Delivered")</f>
        <v>Delivered</v>
      </c>
      <c r="M666" s="2" t="str">
        <f>IFERROR(__xludf.DUMMYFUNCTION("""COMPUTED_VALUE"""),"")</f>
        <v></v>
      </c>
      <c r="N666" s="2" t="str">
        <f>IFERROR(__xludf.DUMMYFUNCTION("""COMPUTED_VALUE"""),"Credit, Debit , Apple Pay")</f>
        <v>Credit, Debit , Apple Pay</v>
      </c>
      <c r="O666" s="4">
        <f>IFERROR(__xludf.DUMMYFUNCTION("""COMPUTED_VALUE"""),0.0)</f>
        <v>0</v>
      </c>
      <c r="P666" s="2">
        <f>IFERROR(__xludf.DUMMYFUNCTION("""COMPUTED_VALUE"""),25.0)</f>
        <v>25</v>
      </c>
      <c r="Q666" s="2">
        <f>IFERROR(__xludf.DUMMYFUNCTION("""COMPUTED_VALUE"""),6.0)</f>
        <v>6</v>
      </c>
      <c r="R666" s="2">
        <f>IFERROR(__xludf.DUMMYFUNCTION("""COMPUTED_VALUE"""),2025.0)</f>
        <v>2025</v>
      </c>
      <c r="S666" s="2" t="str">
        <f>IFERROR(__xludf.DUMMYFUNCTION("""COMPUTED_VALUE"""),"Digizag")</f>
        <v>Digizag</v>
      </c>
      <c r="T666" s="2" t="str">
        <f>IFERROR(__xludf.DUMMYFUNCTION("""COMPUTED_VALUE"""),"Digizag")</f>
        <v>Digizag</v>
      </c>
      <c r="U666" s="5">
        <f>IFERROR(__xludf.DUMMYFUNCTION("""COMPUTED_VALUE"""),49.557522196)</f>
        <v>49.5575222</v>
      </c>
      <c r="V666" s="2"/>
      <c r="W666" s="2"/>
      <c r="X666" s="2"/>
      <c r="Y666" s="2"/>
      <c r="Z666" s="2"/>
    </row>
    <row r="667">
      <c r="A667" s="6">
        <f>IFERROR(__xludf.DUMMYFUNCTION("""COMPUTED_VALUE"""),45833.26855324074)</f>
        <v>45833.26855</v>
      </c>
      <c r="B667" s="2" t="str">
        <f>IFERROR(__xludf.DUMMYFUNCTION("""COMPUTED_VALUE"""),"June")</f>
        <v>June</v>
      </c>
      <c r="C667" s="3">
        <f>IFERROR(__xludf.DUMMYFUNCTION("""COMPUTED_VALUE"""),762492.0)</f>
        <v>762492</v>
      </c>
      <c r="D667" s="2" t="str">
        <f>IFERROR(__xludf.DUMMYFUNCTION("""COMPUTED_VALUE"""),"MNN16")</f>
        <v>MNN16</v>
      </c>
      <c r="E667" s="2" t="str">
        <f>IFERROR(__xludf.DUMMYFUNCTION("""COMPUTED_VALUE"""),"Imported from file DigiZag Codes 25Feb25.xlsx")</f>
        <v>Imported from file DigiZag Codes 25Feb25.xlsx</v>
      </c>
      <c r="F667" s="2" t="str">
        <f>IFERROR(__xludf.DUMMYFUNCTION("""COMPUTED_VALUE"""),"JGT587653")</f>
        <v>JGT587653</v>
      </c>
      <c r="G667" s="2" t="str">
        <f>IFERROR(__xludf.DUMMYFUNCTION("""COMPUTED_VALUE"""),"UAE")</f>
        <v>UAE</v>
      </c>
      <c r="H667" s="4">
        <f>IFERROR(__xludf.DUMMYFUNCTION("""COMPUTED_VALUE"""),301.25)</f>
        <v>301.25</v>
      </c>
      <c r="I667" s="3">
        <f>IFERROR(__xludf.DUMMYFUNCTION("""COMPUTED_VALUE"""),0.0)</f>
        <v>0</v>
      </c>
      <c r="J667" s="4">
        <f>IFERROR(__xludf.DUMMYFUNCTION("""COMPUTED_VALUE"""),30.1)</f>
        <v>30.1</v>
      </c>
      <c r="K667" s="2"/>
      <c r="L667" s="2" t="str">
        <f>IFERROR(__xludf.DUMMYFUNCTION("""COMPUTED_VALUE"""),"Processing")</f>
        <v>Processing</v>
      </c>
      <c r="M667" s="2" t="str">
        <f>IFERROR(__xludf.DUMMYFUNCTION("""COMPUTED_VALUE"""),"")</f>
        <v></v>
      </c>
      <c r="N667" s="2" t="str">
        <f>IFERROR(__xludf.DUMMYFUNCTION("""COMPUTED_VALUE"""),"Credit, Debit , Apple Pay")</f>
        <v>Credit, Debit , Apple Pay</v>
      </c>
      <c r="O667" s="4">
        <f>IFERROR(__xludf.DUMMYFUNCTION("""COMPUTED_VALUE"""),0.0)</f>
        <v>0</v>
      </c>
      <c r="P667" s="2">
        <f>IFERROR(__xludf.DUMMYFUNCTION("""COMPUTED_VALUE"""),25.0)</f>
        <v>25</v>
      </c>
      <c r="Q667" s="2">
        <f>IFERROR(__xludf.DUMMYFUNCTION("""COMPUTED_VALUE"""),6.0)</f>
        <v>6</v>
      </c>
      <c r="R667" s="2">
        <f>IFERROR(__xludf.DUMMYFUNCTION("""COMPUTED_VALUE"""),2025.0)</f>
        <v>2025</v>
      </c>
      <c r="S667" s="2" t="str">
        <f>IFERROR(__xludf.DUMMYFUNCTION("""COMPUTED_VALUE"""),"Digizag")</f>
        <v>Digizag</v>
      </c>
      <c r="T667" s="2" t="str">
        <f>IFERROR(__xludf.DUMMYFUNCTION("""COMPUTED_VALUE"""),"Digizag")</f>
        <v>Digizag</v>
      </c>
      <c r="U667" s="5">
        <f>IFERROR(__xludf.DUMMYFUNCTION("""COMPUTED_VALUE"""),82.0285909975)</f>
        <v>82.028591</v>
      </c>
      <c r="V667" s="2"/>
      <c r="W667" s="2"/>
      <c r="X667" s="2"/>
      <c r="Y667" s="2"/>
      <c r="Z667" s="2"/>
    </row>
    <row r="668">
      <c r="A668" s="6">
        <f>IFERROR(__xludf.DUMMYFUNCTION("""COMPUTED_VALUE"""),45833.4653125)</f>
        <v>45833.46531</v>
      </c>
      <c r="B668" s="2" t="str">
        <f>IFERROR(__xludf.DUMMYFUNCTION("""COMPUTED_VALUE"""),"June")</f>
        <v>June</v>
      </c>
      <c r="C668" s="3">
        <f>IFERROR(__xludf.DUMMYFUNCTION("""COMPUTED_VALUE"""),687690.0)</f>
        <v>687690</v>
      </c>
      <c r="D668" s="2" t="str">
        <f>IFERROR(__xludf.DUMMYFUNCTION("""COMPUTED_VALUE"""),"ZM22")</f>
        <v>ZM22</v>
      </c>
      <c r="E668" s="2" t="str">
        <f>IFERROR(__xludf.DUMMYFUNCTION("""COMPUTED_VALUE"""),"Imported from file Digizag.xlsx")</f>
        <v>Imported from file Digizag.xlsx</v>
      </c>
      <c r="F668" s="2" t="str">
        <f>IFERROR(__xludf.DUMMYFUNCTION("""COMPUTED_VALUE"""),"DSL904714")</f>
        <v>DSL904714</v>
      </c>
      <c r="G668" s="2" t="str">
        <f>IFERROR(__xludf.DUMMYFUNCTION("""COMPUTED_VALUE"""),"UAE")</f>
        <v>UAE</v>
      </c>
      <c r="H668" s="4">
        <f>IFERROR(__xludf.DUMMYFUNCTION("""COMPUTED_VALUE"""),168.0)</f>
        <v>168</v>
      </c>
      <c r="I668" s="3">
        <f>IFERROR(__xludf.DUMMYFUNCTION("""COMPUTED_VALUE"""),0.0)</f>
        <v>0</v>
      </c>
      <c r="J668" s="4">
        <f>IFERROR(__xludf.DUMMYFUNCTION("""COMPUTED_VALUE"""),16.8)</f>
        <v>16.8</v>
      </c>
      <c r="K668" s="2"/>
      <c r="L668" s="2" t="str">
        <f>IFERROR(__xludf.DUMMYFUNCTION("""COMPUTED_VALUE"""),"Processing")</f>
        <v>Processing</v>
      </c>
      <c r="M668" s="2" t="str">
        <f>IFERROR(__xludf.DUMMYFUNCTION("""COMPUTED_VALUE"""),"")</f>
        <v></v>
      </c>
      <c r="N668" s="2" t="str">
        <f>IFERROR(__xludf.DUMMYFUNCTION("""COMPUTED_VALUE"""),"Credit, Debit , Apple Pay")</f>
        <v>Credit, Debit , Apple Pay</v>
      </c>
      <c r="O668" s="4">
        <f>IFERROR(__xludf.DUMMYFUNCTION("""COMPUTED_VALUE"""),0.0)</f>
        <v>0</v>
      </c>
      <c r="P668" s="2">
        <f>IFERROR(__xludf.DUMMYFUNCTION("""COMPUTED_VALUE"""),25.0)</f>
        <v>25</v>
      </c>
      <c r="Q668" s="2">
        <f>IFERROR(__xludf.DUMMYFUNCTION("""COMPUTED_VALUE"""),6.0)</f>
        <v>6</v>
      </c>
      <c r="R668" s="2">
        <f>IFERROR(__xludf.DUMMYFUNCTION("""COMPUTED_VALUE"""),2025.0)</f>
        <v>2025</v>
      </c>
      <c r="S668" s="2" t="str">
        <f>IFERROR(__xludf.DUMMYFUNCTION("""COMPUTED_VALUE"""),"Digizag")</f>
        <v>Digizag</v>
      </c>
      <c r="T668" s="2" t="str">
        <f>IFERROR(__xludf.DUMMYFUNCTION("""COMPUTED_VALUE"""),"Digizag")</f>
        <v>Digizag</v>
      </c>
      <c r="U668" s="5">
        <f>IFERROR(__xludf.DUMMYFUNCTION("""COMPUTED_VALUE"""),45.745405104)</f>
        <v>45.7454051</v>
      </c>
      <c r="V668" s="2"/>
      <c r="W668" s="2"/>
      <c r="X668" s="2"/>
      <c r="Y668" s="2"/>
      <c r="Z668" s="2"/>
    </row>
    <row r="669">
      <c r="A669" s="6">
        <f>IFERROR(__xludf.DUMMYFUNCTION("""COMPUTED_VALUE"""),45833.4945949074)</f>
        <v>45833.49459</v>
      </c>
      <c r="B669" s="2" t="str">
        <f>IFERROR(__xludf.DUMMYFUNCTION("""COMPUTED_VALUE"""),"June")</f>
        <v>June</v>
      </c>
      <c r="C669" s="3">
        <f>IFERROR(__xludf.DUMMYFUNCTION("""COMPUTED_VALUE"""),432684.0)</f>
        <v>432684</v>
      </c>
      <c r="D669" s="2" t="str">
        <f>IFERROR(__xludf.DUMMYFUNCTION("""COMPUTED_VALUE"""),"DG3")</f>
        <v>DG3</v>
      </c>
      <c r="E669" s="2" t="str">
        <f>IFERROR(__xludf.DUMMYFUNCTION("""COMPUTED_VALUE"""),"Imported from file Digizag.xlsx")</f>
        <v>Imported from file Digizag.xlsx</v>
      </c>
      <c r="F669" s="2" t="str">
        <f>IFERROR(__xludf.DUMMYFUNCTION("""COMPUTED_VALUE"""),"NLR525055")</f>
        <v>NLR525055</v>
      </c>
      <c r="G669" s="2" t="str">
        <f>IFERROR(__xludf.DUMMYFUNCTION("""COMPUTED_VALUE"""),"Kuwait")</f>
        <v>Kuwait</v>
      </c>
      <c r="H669" s="4">
        <f>IFERROR(__xludf.DUMMYFUNCTION("""COMPUTED_VALUE"""),45.4)</f>
        <v>45.4</v>
      </c>
      <c r="I669" s="3">
        <f>IFERROR(__xludf.DUMMYFUNCTION("""COMPUTED_VALUE"""),0.0)</f>
        <v>0</v>
      </c>
      <c r="J669" s="4">
        <f>IFERROR(__xludf.DUMMYFUNCTION("""COMPUTED_VALUE"""),4.54)</f>
        <v>4.54</v>
      </c>
      <c r="K669" s="2"/>
      <c r="L669" s="2" t="str">
        <f>IFERROR(__xludf.DUMMYFUNCTION("""COMPUTED_VALUE"""),"Delivered")</f>
        <v>Delivered</v>
      </c>
      <c r="M669" s="2" t="str">
        <f>IFERROR(__xludf.DUMMYFUNCTION("""COMPUTED_VALUE"""),"KD")</f>
        <v>KD</v>
      </c>
      <c r="N669" s="2" t="str">
        <f>IFERROR(__xludf.DUMMYFUNCTION("""COMPUTED_VALUE"""),"Credit, Debit, Knet")</f>
        <v>Credit, Debit, Knet</v>
      </c>
      <c r="O669" s="4">
        <f>IFERROR(__xludf.DUMMYFUNCTION("""COMPUTED_VALUE"""),0.0)</f>
        <v>0</v>
      </c>
      <c r="P669" s="2">
        <f>IFERROR(__xludf.DUMMYFUNCTION("""COMPUTED_VALUE"""),25.0)</f>
        <v>25</v>
      </c>
      <c r="Q669" s="2">
        <f>IFERROR(__xludf.DUMMYFUNCTION("""COMPUTED_VALUE"""),6.0)</f>
        <v>6</v>
      </c>
      <c r="R669" s="2">
        <f>IFERROR(__xludf.DUMMYFUNCTION("""COMPUTED_VALUE"""),2025.0)</f>
        <v>2025</v>
      </c>
      <c r="S669" s="2" t="str">
        <f>IFERROR(__xludf.DUMMYFUNCTION("""COMPUTED_VALUE"""),"Digizag")</f>
        <v>Digizag</v>
      </c>
      <c r="T669" s="2" t="str">
        <f>IFERROR(__xludf.DUMMYFUNCTION("""COMPUTED_VALUE"""),"Digizag")</f>
        <v>Digizag</v>
      </c>
      <c r="U669" s="5">
        <f>IFERROR(__xludf.DUMMYFUNCTION("""COMPUTED_VALUE"""),148.03214799999998)</f>
        <v>148.032148</v>
      </c>
      <c r="V669" s="2"/>
      <c r="W669" s="2"/>
      <c r="X669" s="2"/>
      <c r="Y669" s="2"/>
      <c r="Z669" s="2"/>
    </row>
    <row r="670">
      <c r="A670" s="6">
        <f>IFERROR(__xludf.DUMMYFUNCTION("""COMPUTED_VALUE"""),45833.52372685185)</f>
        <v>45833.52373</v>
      </c>
      <c r="B670" s="2" t="str">
        <f>IFERROR(__xludf.DUMMYFUNCTION("""COMPUTED_VALUE"""),"June")</f>
        <v>June</v>
      </c>
      <c r="C670" s="3">
        <f>IFERROR(__xludf.DUMMYFUNCTION("""COMPUTED_VALUE"""),754593.0)</f>
        <v>754593</v>
      </c>
      <c r="D670" s="2" t="str">
        <f>IFERROR(__xludf.DUMMYFUNCTION("""COMPUTED_VALUE"""),"MNN16")</f>
        <v>MNN16</v>
      </c>
      <c r="E670" s="2" t="str">
        <f>IFERROR(__xludf.DUMMYFUNCTION("""COMPUTED_VALUE"""),"Imported from file DigiZag Codes 25Feb25.xlsx")</f>
        <v>Imported from file DigiZag Codes 25Feb25.xlsx</v>
      </c>
      <c r="F670" s="2" t="str">
        <f>IFERROR(__xludf.DUMMYFUNCTION("""COMPUTED_VALUE"""),"TLD837142")</f>
        <v>TLD837142</v>
      </c>
      <c r="G670" s="2" t="str">
        <f>IFERROR(__xludf.DUMMYFUNCTION("""COMPUTED_VALUE"""),"Bahrain")</f>
        <v>Bahrain</v>
      </c>
      <c r="H670" s="4">
        <f>IFERROR(__xludf.DUMMYFUNCTION("""COMPUTED_VALUE"""),17.1)</f>
        <v>17.1</v>
      </c>
      <c r="I670" s="3">
        <f>IFERROR(__xludf.DUMMYFUNCTION("""COMPUTED_VALUE"""),0.0)</f>
        <v>0</v>
      </c>
      <c r="J670" s="4">
        <f>IFERROR(__xludf.DUMMYFUNCTION("""COMPUTED_VALUE"""),1.71)</f>
        <v>1.71</v>
      </c>
      <c r="K670" s="2"/>
      <c r="L670" s="2" t="str">
        <f>IFERROR(__xludf.DUMMYFUNCTION("""COMPUTED_VALUE"""),"Delivered")</f>
        <v>Delivered</v>
      </c>
      <c r="M670" s="2" t="str">
        <f>IFERROR(__xludf.DUMMYFUNCTION("""COMPUTED_VALUE"""),"BHD")</f>
        <v>BHD</v>
      </c>
      <c r="N670" s="2" t="str">
        <f>IFERROR(__xludf.DUMMYFUNCTION("""COMPUTED_VALUE"""),"Cash")</f>
        <v>Cash</v>
      </c>
      <c r="O670" s="4">
        <f>IFERROR(__xludf.DUMMYFUNCTION("""COMPUTED_VALUE"""),0.0)</f>
        <v>0</v>
      </c>
      <c r="P670" s="2">
        <f>IFERROR(__xludf.DUMMYFUNCTION("""COMPUTED_VALUE"""),25.0)</f>
        <v>25</v>
      </c>
      <c r="Q670" s="2">
        <f>IFERROR(__xludf.DUMMYFUNCTION("""COMPUTED_VALUE"""),6.0)</f>
        <v>6</v>
      </c>
      <c r="R670" s="2">
        <f>IFERROR(__xludf.DUMMYFUNCTION("""COMPUTED_VALUE"""),2025.0)</f>
        <v>2025</v>
      </c>
      <c r="S670" s="2" t="str">
        <f>IFERROR(__xludf.DUMMYFUNCTION("""COMPUTED_VALUE"""),"Digizag")</f>
        <v>Digizag</v>
      </c>
      <c r="T670" s="2" t="str">
        <f>IFERROR(__xludf.DUMMYFUNCTION("""COMPUTED_VALUE"""),"Digizag")</f>
        <v>Digizag</v>
      </c>
      <c r="U670" s="5">
        <f>IFERROR(__xludf.DUMMYFUNCTION("""COMPUTED_VALUE"""),45.3648807)</f>
        <v>45.3648807</v>
      </c>
      <c r="V670" s="2"/>
      <c r="W670" s="2"/>
      <c r="X670" s="2"/>
      <c r="Y670" s="2"/>
      <c r="Z670" s="2"/>
    </row>
    <row r="671">
      <c r="A671" s="6">
        <f>IFERROR(__xludf.DUMMYFUNCTION("""COMPUTED_VALUE"""),45833.572800925926)</f>
        <v>45833.5728</v>
      </c>
      <c r="B671" s="2" t="str">
        <f>IFERROR(__xludf.DUMMYFUNCTION("""COMPUTED_VALUE"""),"June")</f>
        <v>June</v>
      </c>
      <c r="C671" s="3">
        <f>IFERROR(__xludf.DUMMYFUNCTION("""COMPUTED_VALUE"""),377427.0)</f>
        <v>377427</v>
      </c>
      <c r="D671" s="2" t="str">
        <f>IFERROR(__xludf.DUMMYFUNCTION("""COMPUTED_VALUE"""),"ZM22")</f>
        <v>ZM22</v>
      </c>
      <c r="E671" s="2" t="str">
        <f>IFERROR(__xludf.DUMMYFUNCTION("""COMPUTED_VALUE"""),"Imported from file Digizag.xlsx")</f>
        <v>Imported from file Digizag.xlsx</v>
      </c>
      <c r="F671" s="2" t="str">
        <f>IFERROR(__xludf.DUMMYFUNCTION("""COMPUTED_VALUE"""),"QHB123634")</f>
        <v>QHB123634</v>
      </c>
      <c r="G671" s="2" t="str">
        <f>IFERROR(__xludf.DUMMYFUNCTION("""COMPUTED_VALUE"""),"UAE")</f>
        <v>UAE</v>
      </c>
      <c r="H671" s="4">
        <f>IFERROR(__xludf.DUMMYFUNCTION("""COMPUTED_VALUE"""),349.1)</f>
        <v>349.1</v>
      </c>
      <c r="I671" s="3">
        <f>IFERROR(__xludf.DUMMYFUNCTION("""COMPUTED_VALUE"""),0.0)</f>
        <v>0</v>
      </c>
      <c r="J671" s="4">
        <f>IFERROR(__xludf.DUMMYFUNCTION("""COMPUTED_VALUE"""),34.91)</f>
        <v>34.91</v>
      </c>
      <c r="K671" s="2"/>
      <c r="L671" s="2" t="str">
        <f>IFERROR(__xludf.DUMMYFUNCTION("""COMPUTED_VALUE"""),"Processing")</f>
        <v>Processing</v>
      </c>
      <c r="M671" s="2" t="str">
        <f>IFERROR(__xludf.DUMMYFUNCTION("""COMPUTED_VALUE"""),"")</f>
        <v></v>
      </c>
      <c r="N671" s="2" t="str">
        <f>IFERROR(__xludf.DUMMYFUNCTION("""COMPUTED_VALUE"""),"Credit, Debit , Apple Pay")</f>
        <v>Credit, Debit , Apple Pay</v>
      </c>
      <c r="O671" s="4">
        <f>IFERROR(__xludf.DUMMYFUNCTION("""COMPUTED_VALUE"""),0.0)</f>
        <v>0</v>
      </c>
      <c r="P671" s="2">
        <f>IFERROR(__xludf.DUMMYFUNCTION("""COMPUTED_VALUE"""),25.0)</f>
        <v>25</v>
      </c>
      <c r="Q671" s="2">
        <f>IFERROR(__xludf.DUMMYFUNCTION("""COMPUTED_VALUE"""),6.0)</f>
        <v>6</v>
      </c>
      <c r="R671" s="2">
        <f>IFERROR(__xludf.DUMMYFUNCTION("""COMPUTED_VALUE"""),2025.0)</f>
        <v>2025</v>
      </c>
      <c r="S671" s="2" t="str">
        <f>IFERROR(__xludf.DUMMYFUNCTION("""COMPUTED_VALUE"""),"Digizag")</f>
        <v>Digizag</v>
      </c>
      <c r="T671" s="2" t="str">
        <f>IFERROR(__xludf.DUMMYFUNCTION("""COMPUTED_VALUE"""),"Digizag")</f>
        <v>Digizag</v>
      </c>
      <c r="U671" s="5">
        <f>IFERROR(__xludf.DUMMYFUNCTION("""COMPUTED_VALUE"""),95.0578626298)</f>
        <v>95.05786263</v>
      </c>
      <c r="V671" s="2"/>
      <c r="W671" s="2"/>
      <c r="X671" s="2"/>
      <c r="Y671" s="2"/>
      <c r="Z671" s="2"/>
    </row>
    <row r="672">
      <c r="A672" s="6">
        <f>IFERROR(__xludf.DUMMYFUNCTION("""COMPUTED_VALUE"""),45833.62857638889)</f>
        <v>45833.62858</v>
      </c>
      <c r="B672" s="2" t="str">
        <f>IFERROR(__xludf.DUMMYFUNCTION("""COMPUTED_VALUE"""),"June")</f>
        <v>June</v>
      </c>
      <c r="C672" s="3">
        <f>IFERROR(__xludf.DUMMYFUNCTION("""COMPUTED_VALUE"""),586489.0)</f>
        <v>586489</v>
      </c>
      <c r="D672" s="2" t="str">
        <f>IFERROR(__xludf.DUMMYFUNCTION("""COMPUTED_VALUE"""),"ZM22")</f>
        <v>ZM22</v>
      </c>
      <c r="E672" s="2" t="str">
        <f>IFERROR(__xludf.DUMMYFUNCTION("""COMPUTED_VALUE"""),"Imported from file Digizag.xlsx")</f>
        <v>Imported from file Digizag.xlsx</v>
      </c>
      <c r="F672" s="2" t="str">
        <f>IFERROR(__xludf.DUMMYFUNCTION("""COMPUTED_VALUE"""),"BNL867592")</f>
        <v>BNL867592</v>
      </c>
      <c r="G672" s="2" t="str">
        <f>IFERROR(__xludf.DUMMYFUNCTION("""COMPUTED_VALUE"""),"UAE")</f>
        <v>UAE</v>
      </c>
      <c r="H672" s="4">
        <f>IFERROR(__xludf.DUMMYFUNCTION("""COMPUTED_VALUE"""),185.0)</f>
        <v>185</v>
      </c>
      <c r="I672" s="3">
        <f>IFERROR(__xludf.DUMMYFUNCTION("""COMPUTED_VALUE"""),0.0)</f>
        <v>0</v>
      </c>
      <c r="J672" s="4">
        <f>IFERROR(__xludf.DUMMYFUNCTION("""COMPUTED_VALUE"""),18.5)</f>
        <v>18.5</v>
      </c>
      <c r="K672" s="2"/>
      <c r="L672" s="2" t="str">
        <f>IFERROR(__xludf.DUMMYFUNCTION("""COMPUTED_VALUE"""),"Processing")</f>
        <v>Processing</v>
      </c>
      <c r="M672" s="2" t="str">
        <f>IFERROR(__xludf.DUMMYFUNCTION("""COMPUTED_VALUE"""),"")</f>
        <v></v>
      </c>
      <c r="N672" s="2" t="str">
        <f>IFERROR(__xludf.DUMMYFUNCTION("""COMPUTED_VALUE"""),"Credit, Debit , Apple Pay")</f>
        <v>Credit, Debit , Apple Pay</v>
      </c>
      <c r="O672" s="4">
        <f>IFERROR(__xludf.DUMMYFUNCTION("""COMPUTED_VALUE"""),0.0)</f>
        <v>0</v>
      </c>
      <c r="P672" s="2">
        <f>IFERROR(__xludf.DUMMYFUNCTION("""COMPUTED_VALUE"""),25.0)</f>
        <v>25</v>
      </c>
      <c r="Q672" s="2">
        <f>IFERROR(__xludf.DUMMYFUNCTION("""COMPUTED_VALUE"""),6.0)</f>
        <v>6</v>
      </c>
      <c r="R672" s="2">
        <f>IFERROR(__xludf.DUMMYFUNCTION("""COMPUTED_VALUE"""),2025.0)</f>
        <v>2025</v>
      </c>
      <c r="S672" s="2" t="str">
        <f>IFERROR(__xludf.DUMMYFUNCTION("""COMPUTED_VALUE"""),"Digizag")</f>
        <v>Digizag</v>
      </c>
      <c r="T672" s="2" t="str">
        <f>IFERROR(__xludf.DUMMYFUNCTION("""COMPUTED_VALUE"""),"Digizag")</f>
        <v>Digizag</v>
      </c>
      <c r="U672" s="5">
        <f>IFERROR(__xludf.DUMMYFUNCTION("""COMPUTED_VALUE"""),50.37440443)</f>
        <v>50.37440443</v>
      </c>
      <c r="V672" s="2"/>
      <c r="W672" s="2"/>
      <c r="X672" s="2"/>
      <c r="Y672" s="2"/>
      <c r="Z672" s="2"/>
    </row>
    <row r="673">
      <c r="A673" s="6">
        <f>IFERROR(__xludf.DUMMYFUNCTION("""COMPUTED_VALUE"""),45833.747569444444)</f>
        <v>45833.74757</v>
      </c>
      <c r="B673" s="2" t="str">
        <f>IFERROR(__xludf.DUMMYFUNCTION("""COMPUTED_VALUE"""),"June")</f>
        <v>June</v>
      </c>
      <c r="C673" s="3">
        <f>IFERROR(__xludf.DUMMYFUNCTION("""COMPUTED_VALUE"""),725681.0)</f>
        <v>725681</v>
      </c>
      <c r="D673" s="2" t="str">
        <f>IFERROR(__xludf.DUMMYFUNCTION("""COMPUTED_VALUE"""),"MNN16")</f>
        <v>MNN16</v>
      </c>
      <c r="E673" s="2" t="str">
        <f>IFERROR(__xludf.DUMMYFUNCTION("""COMPUTED_VALUE"""),"Imported from file DigiZag Codes 25Feb25.xlsx")</f>
        <v>Imported from file DigiZag Codes 25Feb25.xlsx</v>
      </c>
      <c r="F673" s="2" t="str">
        <f>IFERROR(__xludf.DUMMYFUNCTION("""COMPUTED_VALUE"""),"AKB460934")</f>
        <v>AKB460934</v>
      </c>
      <c r="G673" s="2" t="str">
        <f>IFERROR(__xludf.DUMMYFUNCTION("""COMPUTED_VALUE"""),"UAE")</f>
        <v>UAE</v>
      </c>
      <c r="H673" s="4">
        <f>IFERROR(__xludf.DUMMYFUNCTION("""COMPUTED_VALUE"""),85.0)</f>
        <v>85</v>
      </c>
      <c r="I673" s="3">
        <f>IFERROR(__xludf.DUMMYFUNCTION("""COMPUTED_VALUE"""),0.0)</f>
        <v>0</v>
      </c>
      <c r="J673" s="4">
        <f>IFERROR(__xludf.DUMMYFUNCTION("""COMPUTED_VALUE"""),8.5)</f>
        <v>8.5</v>
      </c>
      <c r="K673" s="2"/>
      <c r="L673" s="2" t="str">
        <f>IFERROR(__xludf.DUMMYFUNCTION("""COMPUTED_VALUE"""),"Processing")</f>
        <v>Processing</v>
      </c>
      <c r="M673" s="2" t="str">
        <f>IFERROR(__xludf.DUMMYFUNCTION("""COMPUTED_VALUE"""),"")</f>
        <v></v>
      </c>
      <c r="N673" s="2" t="str">
        <f>IFERROR(__xludf.DUMMYFUNCTION("""COMPUTED_VALUE"""),"Credit, Debit , Apple Pay")</f>
        <v>Credit, Debit , Apple Pay</v>
      </c>
      <c r="O673" s="4">
        <f>IFERROR(__xludf.DUMMYFUNCTION("""COMPUTED_VALUE"""),0.0)</f>
        <v>0</v>
      </c>
      <c r="P673" s="2">
        <f>IFERROR(__xludf.DUMMYFUNCTION("""COMPUTED_VALUE"""),25.0)</f>
        <v>25</v>
      </c>
      <c r="Q673" s="2">
        <f>IFERROR(__xludf.DUMMYFUNCTION("""COMPUTED_VALUE"""),6.0)</f>
        <v>6</v>
      </c>
      <c r="R673" s="2">
        <f>IFERROR(__xludf.DUMMYFUNCTION("""COMPUTED_VALUE"""),2025.0)</f>
        <v>2025</v>
      </c>
      <c r="S673" s="2" t="str">
        <f>IFERROR(__xludf.DUMMYFUNCTION("""COMPUTED_VALUE"""),"Digizag")</f>
        <v>Digizag</v>
      </c>
      <c r="T673" s="2" t="str">
        <f>IFERROR(__xludf.DUMMYFUNCTION("""COMPUTED_VALUE"""),"Digizag")</f>
        <v>Digizag</v>
      </c>
      <c r="U673" s="5">
        <f>IFERROR(__xludf.DUMMYFUNCTION("""COMPUTED_VALUE"""),23.144996629999998)</f>
        <v>23.14499663</v>
      </c>
      <c r="V673" s="2"/>
      <c r="W673" s="2"/>
      <c r="X673" s="2"/>
      <c r="Y673" s="2"/>
      <c r="Z673" s="2"/>
    </row>
    <row r="674">
      <c r="A674" s="6">
        <f>IFERROR(__xludf.DUMMYFUNCTION("""COMPUTED_VALUE"""),45833.88878472222)</f>
        <v>45833.88878</v>
      </c>
      <c r="B674" s="2" t="str">
        <f>IFERROR(__xludf.DUMMYFUNCTION("""COMPUTED_VALUE"""),"June")</f>
        <v>June</v>
      </c>
      <c r="C674" s="3">
        <f>IFERROR(__xludf.DUMMYFUNCTION("""COMPUTED_VALUE"""),762879.0)</f>
        <v>762879</v>
      </c>
      <c r="D674" s="2" t="str">
        <f>IFERROR(__xludf.DUMMYFUNCTION("""COMPUTED_VALUE"""),"JM")</f>
        <v>JM</v>
      </c>
      <c r="E674" s="2" t="str">
        <f>IFERROR(__xludf.DUMMYFUNCTION("""COMPUTED_VALUE"""),"DigiZag")</f>
        <v>DigiZag</v>
      </c>
      <c r="F674" s="2" t="str">
        <f>IFERROR(__xludf.DUMMYFUNCTION("""COMPUTED_VALUE"""),"ADV177446")</f>
        <v>ADV177446</v>
      </c>
      <c r="G674" s="2" t="str">
        <f>IFERROR(__xludf.DUMMYFUNCTION("""COMPUTED_VALUE"""),"Bahrain")</f>
        <v>Bahrain</v>
      </c>
      <c r="H674" s="4">
        <f>IFERROR(__xludf.DUMMYFUNCTION("""COMPUTED_VALUE"""),16.85)</f>
        <v>16.85</v>
      </c>
      <c r="I674" s="3">
        <f>IFERROR(__xludf.DUMMYFUNCTION("""COMPUTED_VALUE"""),0.0)</f>
        <v>0</v>
      </c>
      <c r="J674" s="4">
        <f>IFERROR(__xludf.DUMMYFUNCTION("""COMPUTED_VALUE"""),1.68)</f>
        <v>1.68</v>
      </c>
      <c r="K674" s="2"/>
      <c r="L674" s="2" t="str">
        <f>IFERROR(__xludf.DUMMYFUNCTION("""COMPUTED_VALUE"""),"Processing")</f>
        <v>Processing</v>
      </c>
      <c r="M674" s="2" t="str">
        <f>IFERROR(__xludf.DUMMYFUNCTION("""COMPUTED_VALUE"""),"BHD")</f>
        <v>BHD</v>
      </c>
      <c r="N674" s="2" t="str">
        <f>IFERROR(__xludf.DUMMYFUNCTION("""COMPUTED_VALUE"""),"Cash")</f>
        <v>Cash</v>
      </c>
      <c r="O674" s="4">
        <f>IFERROR(__xludf.DUMMYFUNCTION("""COMPUTED_VALUE"""),0.0)</f>
        <v>0</v>
      </c>
      <c r="P674" s="2">
        <f>IFERROR(__xludf.DUMMYFUNCTION("""COMPUTED_VALUE"""),25.0)</f>
        <v>25</v>
      </c>
      <c r="Q674" s="2">
        <f>IFERROR(__xludf.DUMMYFUNCTION("""COMPUTED_VALUE"""),6.0)</f>
        <v>6</v>
      </c>
      <c r="R674" s="2">
        <f>IFERROR(__xludf.DUMMYFUNCTION("""COMPUTED_VALUE"""),2025.0)</f>
        <v>2025</v>
      </c>
      <c r="S674" s="2" t="str">
        <f>IFERROR(__xludf.DUMMYFUNCTION("""COMPUTED_VALUE"""),"Digizag")</f>
        <v>Digizag</v>
      </c>
      <c r="T674" s="2" t="str">
        <f>IFERROR(__xludf.DUMMYFUNCTION("""COMPUTED_VALUE"""),"Digizag")</f>
        <v>Digizag</v>
      </c>
      <c r="U674" s="5">
        <f>IFERROR(__xludf.DUMMYFUNCTION("""COMPUTED_VALUE"""),44.70165145)</f>
        <v>44.70165145</v>
      </c>
      <c r="V674" s="2"/>
      <c r="W674" s="2"/>
      <c r="X674" s="2"/>
      <c r="Y674" s="2"/>
      <c r="Z674" s="2"/>
    </row>
    <row r="675">
      <c r="A675" s="6">
        <f>IFERROR(__xludf.DUMMYFUNCTION("""COMPUTED_VALUE"""),45834.28309027778)</f>
        <v>45834.28309</v>
      </c>
      <c r="B675" s="2" t="str">
        <f>IFERROR(__xludf.DUMMYFUNCTION("""COMPUTED_VALUE"""),"June")</f>
        <v>June</v>
      </c>
      <c r="C675" s="3">
        <f>IFERROR(__xludf.DUMMYFUNCTION("""COMPUTED_VALUE"""),762945.0)</f>
        <v>762945</v>
      </c>
      <c r="D675" s="2" t="str">
        <f>IFERROR(__xludf.DUMMYFUNCTION("""COMPUTED_VALUE"""),"MNN27")</f>
        <v>MNN27</v>
      </c>
      <c r="E675" s="2" t="str">
        <f>IFERROR(__xludf.DUMMYFUNCTION("""COMPUTED_VALUE"""),"Imported from file DigiZag Codes 25Feb25.xlsx")</f>
        <v>Imported from file DigiZag Codes 25Feb25.xlsx</v>
      </c>
      <c r="F675" s="2" t="str">
        <f>IFERROR(__xludf.DUMMYFUNCTION("""COMPUTED_VALUE"""),"LQU538526")</f>
        <v>LQU538526</v>
      </c>
      <c r="G675" s="2" t="str">
        <f>IFERROR(__xludf.DUMMYFUNCTION("""COMPUTED_VALUE"""),"Kuwait")</f>
        <v>Kuwait</v>
      </c>
      <c r="H675" s="4">
        <f>IFERROR(__xludf.DUMMYFUNCTION("""COMPUTED_VALUE"""),37.4)</f>
        <v>37.4</v>
      </c>
      <c r="I675" s="3">
        <f>IFERROR(__xludf.DUMMYFUNCTION("""COMPUTED_VALUE"""),0.0)</f>
        <v>0</v>
      </c>
      <c r="J675" s="4">
        <f>IFERROR(__xludf.DUMMYFUNCTION("""COMPUTED_VALUE"""),3.74)</f>
        <v>3.74</v>
      </c>
      <c r="K675" s="2"/>
      <c r="L675" s="2" t="str">
        <f>IFERROR(__xludf.DUMMYFUNCTION("""COMPUTED_VALUE"""),"Delivered")</f>
        <v>Delivered</v>
      </c>
      <c r="M675" s="2" t="str">
        <f>IFERROR(__xludf.DUMMYFUNCTION("""COMPUTED_VALUE"""),"KD")</f>
        <v>KD</v>
      </c>
      <c r="N675" s="2" t="str">
        <f>IFERROR(__xludf.DUMMYFUNCTION("""COMPUTED_VALUE"""),"Credit, Debit, Knet")</f>
        <v>Credit, Debit, Knet</v>
      </c>
      <c r="O675" s="4">
        <f>IFERROR(__xludf.DUMMYFUNCTION("""COMPUTED_VALUE"""),0.0)</f>
        <v>0</v>
      </c>
      <c r="P675" s="2">
        <f>IFERROR(__xludf.DUMMYFUNCTION("""COMPUTED_VALUE"""),26.0)</f>
        <v>26</v>
      </c>
      <c r="Q675" s="2">
        <f>IFERROR(__xludf.DUMMYFUNCTION("""COMPUTED_VALUE"""),6.0)</f>
        <v>6</v>
      </c>
      <c r="R675" s="2">
        <f>IFERROR(__xludf.DUMMYFUNCTION("""COMPUTED_VALUE"""),2025.0)</f>
        <v>2025</v>
      </c>
      <c r="S675" s="2" t="str">
        <f>IFERROR(__xludf.DUMMYFUNCTION("""COMPUTED_VALUE"""),"Digizag")</f>
        <v>Digizag</v>
      </c>
      <c r="T675" s="2" t="str">
        <f>IFERROR(__xludf.DUMMYFUNCTION("""COMPUTED_VALUE"""),"Digizag")</f>
        <v>Digizag</v>
      </c>
      <c r="U675" s="5">
        <f>IFERROR(__xludf.DUMMYFUNCTION("""COMPUTED_VALUE"""),121.94718799999998)</f>
        <v>121.947188</v>
      </c>
      <c r="V675" s="2"/>
      <c r="W675" s="2"/>
      <c r="X675" s="2"/>
      <c r="Y675" s="2"/>
      <c r="Z675" s="2"/>
    </row>
    <row r="676">
      <c r="A676" s="6">
        <f>IFERROR(__xludf.DUMMYFUNCTION("""COMPUTED_VALUE"""),45834.324282407404)</f>
        <v>45834.32428</v>
      </c>
      <c r="B676" s="2" t="str">
        <f>IFERROR(__xludf.DUMMYFUNCTION("""COMPUTED_VALUE"""),"June")</f>
        <v>June</v>
      </c>
      <c r="C676" s="3">
        <f>IFERROR(__xludf.DUMMYFUNCTION("""COMPUTED_VALUE"""),511824.0)</f>
        <v>511824</v>
      </c>
      <c r="D676" s="2" t="str">
        <f>IFERROR(__xludf.DUMMYFUNCTION("""COMPUTED_VALUE"""),"RR22")</f>
        <v>RR22</v>
      </c>
      <c r="E676" s="2" t="str">
        <f>IFERROR(__xludf.DUMMYFUNCTION("""COMPUTED_VALUE"""),"Imported from file Digizag.xlsx")</f>
        <v>Imported from file Digizag.xlsx</v>
      </c>
      <c r="F676" s="2" t="str">
        <f>IFERROR(__xludf.DUMMYFUNCTION("""COMPUTED_VALUE"""),"YNS210197")</f>
        <v>YNS210197</v>
      </c>
      <c r="G676" s="2" t="str">
        <f>IFERROR(__xludf.DUMMYFUNCTION("""COMPUTED_VALUE"""),"UAE")</f>
        <v>UAE</v>
      </c>
      <c r="H676" s="4">
        <f>IFERROR(__xludf.DUMMYFUNCTION("""COMPUTED_VALUE"""),173.0)</f>
        <v>173</v>
      </c>
      <c r="I676" s="3">
        <f>IFERROR(__xludf.DUMMYFUNCTION("""COMPUTED_VALUE"""),0.0)</f>
        <v>0</v>
      </c>
      <c r="J676" s="4">
        <f>IFERROR(__xludf.DUMMYFUNCTION("""COMPUTED_VALUE"""),17.3)</f>
        <v>17.3</v>
      </c>
      <c r="K676" s="2"/>
      <c r="L676" s="2" t="str">
        <f>IFERROR(__xludf.DUMMYFUNCTION("""COMPUTED_VALUE"""),"Delivered")</f>
        <v>Delivered</v>
      </c>
      <c r="M676" s="2" t="str">
        <f>IFERROR(__xludf.DUMMYFUNCTION("""COMPUTED_VALUE"""),"")</f>
        <v></v>
      </c>
      <c r="N676" s="2" t="str">
        <f>IFERROR(__xludf.DUMMYFUNCTION("""COMPUTED_VALUE"""),"Credit, Debit , Apple Pay")</f>
        <v>Credit, Debit , Apple Pay</v>
      </c>
      <c r="O676" s="4">
        <f>IFERROR(__xludf.DUMMYFUNCTION("""COMPUTED_VALUE"""),0.0)</f>
        <v>0</v>
      </c>
      <c r="P676" s="2">
        <f>IFERROR(__xludf.DUMMYFUNCTION("""COMPUTED_VALUE"""),26.0)</f>
        <v>26</v>
      </c>
      <c r="Q676" s="2">
        <f>IFERROR(__xludf.DUMMYFUNCTION("""COMPUTED_VALUE"""),6.0)</f>
        <v>6</v>
      </c>
      <c r="R676" s="2">
        <f>IFERROR(__xludf.DUMMYFUNCTION("""COMPUTED_VALUE"""),2025.0)</f>
        <v>2025</v>
      </c>
      <c r="S676" s="2" t="str">
        <f>IFERROR(__xludf.DUMMYFUNCTION("""COMPUTED_VALUE"""),"Digizag")</f>
        <v>Digizag</v>
      </c>
      <c r="T676" s="2" t="str">
        <f>IFERROR(__xludf.DUMMYFUNCTION("""COMPUTED_VALUE"""),"Digizag")</f>
        <v>Digizag</v>
      </c>
      <c r="U676" s="5">
        <f>IFERROR(__xludf.DUMMYFUNCTION("""COMPUTED_VALUE"""),47.106875494)</f>
        <v>47.10687549</v>
      </c>
      <c r="V676" s="2"/>
      <c r="W676" s="2"/>
      <c r="X676" s="2"/>
      <c r="Y676" s="2"/>
      <c r="Z676" s="2"/>
    </row>
    <row r="677">
      <c r="A677" s="6">
        <f>IFERROR(__xludf.DUMMYFUNCTION("""COMPUTED_VALUE"""),45834.37321759259)</f>
        <v>45834.37322</v>
      </c>
      <c r="B677" s="2" t="str">
        <f>IFERROR(__xludf.DUMMYFUNCTION("""COMPUTED_VALUE"""),"June")</f>
        <v>June</v>
      </c>
      <c r="C677" s="3">
        <f>IFERROR(__xludf.DUMMYFUNCTION("""COMPUTED_VALUE"""),3284.0)</f>
        <v>3284</v>
      </c>
      <c r="D677" s="2" t="str">
        <f>IFERROR(__xludf.DUMMYFUNCTION("""COMPUTED_VALUE"""),"JM")</f>
        <v>JM</v>
      </c>
      <c r="E677" s="2" t="str">
        <f>IFERROR(__xludf.DUMMYFUNCTION("""COMPUTED_VALUE"""),"DigiZag")</f>
        <v>DigiZag</v>
      </c>
      <c r="F677" s="2" t="str">
        <f>IFERROR(__xludf.DUMMYFUNCTION("""COMPUTED_VALUE"""),"BCW852800")</f>
        <v>BCW852800</v>
      </c>
      <c r="G677" s="2" t="str">
        <f>IFERROR(__xludf.DUMMYFUNCTION("""COMPUTED_VALUE"""),"Kingdom of Saudi Arabia")</f>
        <v>Kingdom of Saudi Arabia</v>
      </c>
      <c r="H677" s="4">
        <f>IFERROR(__xludf.DUMMYFUNCTION("""COMPUTED_VALUE"""),163.48)</f>
        <v>163.48</v>
      </c>
      <c r="I677" s="3">
        <f>IFERROR(__xludf.DUMMYFUNCTION("""COMPUTED_VALUE"""),0.0)</f>
        <v>0</v>
      </c>
      <c r="J677" s="4">
        <f>IFERROR(__xludf.DUMMYFUNCTION("""COMPUTED_VALUE"""),30.0)</f>
        <v>30</v>
      </c>
      <c r="K677" s="2"/>
      <c r="L677" s="2" t="str">
        <f>IFERROR(__xludf.DUMMYFUNCTION("""COMPUTED_VALUE"""),"Delivered")</f>
        <v>Delivered</v>
      </c>
      <c r="M677" s="2" t="str">
        <f>IFERROR(__xludf.DUMMYFUNCTION("""COMPUTED_VALUE"""),"")</f>
        <v></v>
      </c>
      <c r="N677" s="2" t="str">
        <f>IFERROR(__xludf.DUMMYFUNCTION("""COMPUTED_VALUE"""),"Credit, Debit, Apple Pay")</f>
        <v>Credit, Debit, Apple Pay</v>
      </c>
      <c r="O677" s="4">
        <f>IFERROR(__xludf.DUMMYFUNCTION("""COMPUTED_VALUE"""),0.0)</f>
        <v>0</v>
      </c>
      <c r="P677" s="2">
        <f>IFERROR(__xludf.DUMMYFUNCTION("""COMPUTED_VALUE"""),26.0)</f>
        <v>26</v>
      </c>
      <c r="Q677" s="2">
        <f>IFERROR(__xludf.DUMMYFUNCTION("""COMPUTED_VALUE"""),6.0)</f>
        <v>6</v>
      </c>
      <c r="R677" s="2">
        <f>IFERROR(__xludf.DUMMYFUNCTION("""COMPUTED_VALUE"""),2025.0)</f>
        <v>2025</v>
      </c>
      <c r="S677" s="2" t="str">
        <f>IFERROR(__xludf.DUMMYFUNCTION("""COMPUTED_VALUE"""),"Digizag")</f>
        <v>Digizag</v>
      </c>
      <c r="T677" s="2" t="str">
        <f>IFERROR(__xludf.DUMMYFUNCTION("""COMPUTED_VALUE"""),"Digizag")</f>
        <v>Digizag</v>
      </c>
      <c r="U677" s="5">
        <f>IFERROR(__xludf.DUMMYFUNCTION("""COMPUTED_VALUE"""),43.59129560008)</f>
        <v>43.5912956</v>
      </c>
      <c r="V677" s="2"/>
      <c r="W677" s="2"/>
      <c r="X677" s="2"/>
      <c r="Y677" s="2"/>
      <c r="Z677" s="2"/>
    </row>
    <row r="678">
      <c r="A678" s="6">
        <f>IFERROR(__xludf.DUMMYFUNCTION("""COMPUTED_VALUE"""),45834.42149305555)</f>
        <v>45834.42149</v>
      </c>
      <c r="B678" s="2" t="str">
        <f>IFERROR(__xludf.DUMMYFUNCTION("""COMPUTED_VALUE"""),"June")</f>
        <v>June</v>
      </c>
      <c r="C678" s="3">
        <f>IFERROR(__xludf.DUMMYFUNCTION("""COMPUTED_VALUE"""),435036.0)</f>
        <v>435036</v>
      </c>
      <c r="D678" s="2" t="str">
        <f>IFERROR(__xludf.DUMMYFUNCTION("""COMPUTED_VALUE"""),"MNN16")</f>
        <v>MNN16</v>
      </c>
      <c r="E678" s="2" t="str">
        <f>IFERROR(__xludf.DUMMYFUNCTION("""COMPUTED_VALUE"""),"Imported from file DigiZag Bidding Codes.xlsx")</f>
        <v>Imported from file DigiZag Bidding Codes.xlsx</v>
      </c>
      <c r="F678" s="2" t="str">
        <f>IFERROR(__xludf.DUMMYFUNCTION("""COMPUTED_VALUE"""),"JPW439672")</f>
        <v>JPW439672</v>
      </c>
      <c r="G678" s="2" t="str">
        <f>IFERROR(__xludf.DUMMYFUNCTION("""COMPUTED_VALUE"""),"Kingdom of Saudi Arabia")</f>
        <v>Kingdom of Saudi Arabia</v>
      </c>
      <c r="H678" s="4">
        <f>IFERROR(__xludf.DUMMYFUNCTION("""COMPUTED_VALUE"""),99.0)</f>
        <v>99</v>
      </c>
      <c r="I678" s="3">
        <f>IFERROR(__xludf.DUMMYFUNCTION("""COMPUTED_VALUE"""),0.0)</f>
        <v>0</v>
      </c>
      <c r="J678" s="4">
        <f>IFERROR(__xludf.DUMMYFUNCTION("""COMPUTED_VALUE"""),24.75)</f>
        <v>24.75</v>
      </c>
      <c r="K678" s="2"/>
      <c r="L678" s="2" t="str">
        <f>IFERROR(__xludf.DUMMYFUNCTION("""COMPUTED_VALUE"""),"Delivered")</f>
        <v>Delivered</v>
      </c>
      <c r="M678" s="2" t="str">
        <f>IFERROR(__xludf.DUMMYFUNCTION("""COMPUTED_VALUE"""),"")</f>
        <v></v>
      </c>
      <c r="N678" s="2" t="str">
        <f>IFERROR(__xludf.DUMMYFUNCTION("""COMPUTED_VALUE"""),"Credit, Debit, Apple Pay")</f>
        <v>Credit, Debit, Apple Pay</v>
      </c>
      <c r="O678" s="4">
        <f>IFERROR(__xludf.DUMMYFUNCTION("""COMPUTED_VALUE"""),0.0)</f>
        <v>0</v>
      </c>
      <c r="P678" s="2">
        <f>IFERROR(__xludf.DUMMYFUNCTION("""COMPUTED_VALUE"""),26.0)</f>
        <v>26</v>
      </c>
      <c r="Q678" s="2">
        <f>IFERROR(__xludf.DUMMYFUNCTION("""COMPUTED_VALUE"""),6.0)</f>
        <v>6</v>
      </c>
      <c r="R678" s="2">
        <f>IFERROR(__xludf.DUMMYFUNCTION("""COMPUTED_VALUE"""),2025.0)</f>
        <v>2025</v>
      </c>
      <c r="S678" s="2" t="str">
        <f>IFERROR(__xludf.DUMMYFUNCTION("""COMPUTED_VALUE"""),"Digizag")</f>
        <v>Digizag</v>
      </c>
      <c r="T678" s="2" t="str">
        <f>IFERROR(__xludf.DUMMYFUNCTION("""COMPUTED_VALUE"""),"Digizag")</f>
        <v>Digizag</v>
      </c>
      <c r="U678" s="5">
        <f>IFERROR(__xludf.DUMMYFUNCTION("""COMPUTED_VALUE"""),26.397958554000002)</f>
        <v>26.39795855</v>
      </c>
      <c r="V678" s="2"/>
      <c r="W678" s="2"/>
      <c r="X678" s="2"/>
      <c r="Y678" s="2"/>
      <c r="Z678" s="2"/>
    </row>
    <row r="679">
      <c r="A679" s="6">
        <f>IFERROR(__xludf.DUMMYFUNCTION("""COMPUTED_VALUE"""),45834.44038194444)</f>
        <v>45834.44038</v>
      </c>
      <c r="B679" s="2" t="str">
        <f>IFERROR(__xludf.DUMMYFUNCTION("""COMPUTED_VALUE"""),"June")</f>
        <v>June</v>
      </c>
      <c r="C679" s="3">
        <f>IFERROR(__xludf.DUMMYFUNCTION("""COMPUTED_VALUE"""),224003.0)</f>
        <v>224003</v>
      </c>
      <c r="D679" s="2" t="str">
        <f>IFERROR(__xludf.DUMMYFUNCTION("""COMPUTED_VALUE"""),"JM")</f>
        <v>JM</v>
      </c>
      <c r="E679" s="2" t="str">
        <f>IFERROR(__xludf.DUMMYFUNCTION("""COMPUTED_VALUE"""),"DigiZag")</f>
        <v>DigiZag</v>
      </c>
      <c r="F679" s="2" t="str">
        <f>IFERROR(__xludf.DUMMYFUNCTION("""COMPUTED_VALUE"""),"SSH249125")</f>
        <v>SSH249125</v>
      </c>
      <c r="G679" s="2" t="str">
        <f>IFERROR(__xludf.DUMMYFUNCTION("""COMPUTED_VALUE"""),"Kingdom of Saudi Arabia")</f>
        <v>Kingdom of Saudi Arabia</v>
      </c>
      <c r="H679" s="4">
        <f>IFERROR(__xludf.DUMMYFUNCTION("""COMPUTED_VALUE"""),112.17)</f>
        <v>112.17</v>
      </c>
      <c r="I679" s="3">
        <f>IFERROR(__xludf.DUMMYFUNCTION("""COMPUTED_VALUE"""),0.0)</f>
        <v>0</v>
      </c>
      <c r="J679" s="4">
        <f>IFERROR(__xludf.DUMMYFUNCTION("""COMPUTED_VALUE"""),28.04)</f>
        <v>28.04</v>
      </c>
      <c r="K679" s="2"/>
      <c r="L679" s="2" t="str">
        <f>IFERROR(__xludf.DUMMYFUNCTION("""COMPUTED_VALUE"""),"Delivered")</f>
        <v>Delivered</v>
      </c>
      <c r="M679" s="2" t="str">
        <f>IFERROR(__xludf.DUMMYFUNCTION("""COMPUTED_VALUE"""),"")</f>
        <v></v>
      </c>
      <c r="N679" s="2" t="str">
        <f>IFERROR(__xludf.DUMMYFUNCTION("""COMPUTED_VALUE"""),"Credit, Debit, Apple Pay")</f>
        <v>Credit, Debit, Apple Pay</v>
      </c>
      <c r="O679" s="4">
        <f>IFERROR(__xludf.DUMMYFUNCTION("""COMPUTED_VALUE"""),0.0)</f>
        <v>0</v>
      </c>
      <c r="P679" s="2">
        <f>IFERROR(__xludf.DUMMYFUNCTION("""COMPUTED_VALUE"""),26.0)</f>
        <v>26</v>
      </c>
      <c r="Q679" s="2">
        <f>IFERROR(__xludf.DUMMYFUNCTION("""COMPUTED_VALUE"""),6.0)</f>
        <v>6</v>
      </c>
      <c r="R679" s="2">
        <f>IFERROR(__xludf.DUMMYFUNCTION("""COMPUTED_VALUE"""),2025.0)</f>
        <v>2025</v>
      </c>
      <c r="S679" s="2" t="str">
        <f>IFERROR(__xludf.DUMMYFUNCTION("""COMPUTED_VALUE"""),"Digizag")</f>
        <v>Digizag</v>
      </c>
      <c r="T679" s="2" t="str">
        <f>IFERROR(__xludf.DUMMYFUNCTION("""COMPUTED_VALUE"""),"Digizag")</f>
        <v>Digizag</v>
      </c>
      <c r="U679" s="5">
        <f>IFERROR(__xludf.DUMMYFUNCTION("""COMPUTED_VALUE"""),29.909686979820002)</f>
        <v>29.90968698</v>
      </c>
      <c r="V679" s="2"/>
      <c r="W679" s="2"/>
      <c r="X679" s="2"/>
      <c r="Y679" s="2"/>
      <c r="Z679" s="2"/>
    </row>
    <row r="680">
      <c r="A680" s="6">
        <f>IFERROR(__xludf.DUMMYFUNCTION("""COMPUTED_VALUE"""),45834.44255787037)</f>
        <v>45834.44256</v>
      </c>
      <c r="B680" s="2" t="str">
        <f>IFERROR(__xludf.DUMMYFUNCTION("""COMPUTED_VALUE"""),"June")</f>
        <v>June</v>
      </c>
      <c r="C680" s="3">
        <f>IFERROR(__xludf.DUMMYFUNCTION("""COMPUTED_VALUE"""),763086.0)</f>
        <v>763086</v>
      </c>
      <c r="D680" s="2" t="str">
        <f>IFERROR(__xludf.DUMMYFUNCTION("""COMPUTED_VALUE"""),"RR22")</f>
        <v>RR22</v>
      </c>
      <c r="E680" s="2" t="str">
        <f>IFERROR(__xludf.DUMMYFUNCTION("""COMPUTED_VALUE"""),"Imported from file Digizag.xlsx")</f>
        <v>Imported from file Digizag.xlsx</v>
      </c>
      <c r="F680" s="2" t="str">
        <f>IFERROR(__xludf.DUMMYFUNCTION("""COMPUTED_VALUE"""),"STK857682")</f>
        <v>STK857682</v>
      </c>
      <c r="G680" s="2" t="str">
        <f>IFERROR(__xludf.DUMMYFUNCTION("""COMPUTED_VALUE"""),"UAE")</f>
        <v>UAE</v>
      </c>
      <c r="H680" s="4">
        <f>IFERROR(__xludf.DUMMYFUNCTION("""COMPUTED_VALUE"""),416.38)</f>
        <v>416.38</v>
      </c>
      <c r="I680" s="3">
        <f>IFERROR(__xludf.DUMMYFUNCTION("""COMPUTED_VALUE"""),0.0)</f>
        <v>0</v>
      </c>
      <c r="J680" s="4">
        <f>IFERROR(__xludf.DUMMYFUNCTION("""COMPUTED_VALUE"""),41.63)</f>
        <v>41.63</v>
      </c>
      <c r="K680" s="2"/>
      <c r="L680" s="2" t="str">
        <f>IFERROR(__xludf.DUMMYFUNCTION("""COMPUTED_VALUE"""),"Processing")</f>
        <v>Processing</v>
      </c>
      <c r="M680" s="2" t="str">
        <f>IFERROR(__xludf.DUMMYFUNCTION("""COMPUTED_VALUE"""),"")</f>
        <v></v>
      </c>
      <c r="N680" s="2" t="str">
        <f>IFERROR(__xludf.DUMMYFUNCTION("""COMPUTED_VALUE"""),"Credit, Debit , Apple Pay")</f>
        <v>Credit, Debit , Apple Pay</v>
      </c>
      <c r="O680" s="4">
        <f>IFERROR(__xludf.DUMMYFUNCTION("""COMPUTED_VALUE"""),0.0)</f>
        <v>0</v>
      </c>
      <c r="P680" s="2">
        <f>IFERROR(__xludf.DUMMYFUNCTION("""COMPUTED_VALUE"""),26.0)</f>
        <v>26</v>
      </c>
      <c r="Q680" s="2">
        <f>IFERROR(__xludf.DUMMYFUNCTION("""COMPUTED_VALUE"""),6.0)</f>
        <v>6</v>
      </c>
      <c r="R680" s="2">
        <f>IFERROR(__xludf.DUMMYFUNCTION("""COMPUTED_VALUE"""),2025.0)</f>
        <v>2025</v>
      </c>
      <c r="S680" s="2" t="str">
        <f>IFERROR(__xludf.DUMMYFUNCTION("""COMPUTED_VALUE"""),"Digizag")</f>
        <v>Digizag</v>
      </c>
      <c r="T680" s="2" t="str">
        <f>IFERROR(__xludf.DUMMYFUNCTION("""COMPUTED_VALUE"""),"Digizag")</f>
        <v>Digizag</v>
      </c>
      <c r="U680" s="5">
        <f>IFERROR(__xludf.DUMMYFUNCTION("""COMPUTED_VALUE"""),113.37780819764)</f>
        <v>113.3778082</v>
      </c>
      <c r="V680" s="2"/>
      <c r="W680" s="2"/>
      <c r="X680" s="2"/>
      <c r="Y680" s="2"/>
      <c r="Z680" s="2"/>
    </row>
    <row r="681">
      <c r="A681" s="6">
        <f>IFERROR(__xludf.DUMMYFUNCTION("""COMPUTED_VALUE"""),45834.51568287037)</f>
        <v>45834.51568</v>
      </c>
      <c r="B681" s="2" t="str">
        <f>IFERROR(__xludf.DUMMYFUNCTION("""COMPUTED_VALUE"""),"June")</f>
        <v>June</v>
      </c>
      <c r="C681" s="3">
        <f>IFERROR(__xludf.DUMMYFUNCTION("""COMPUTED_VALUE"""),48047.0)</f>
        <v>48047</v>
      </c>
      <c r="D681" s="2" t="str">
        <f>IFERROR(__xludf.DUMMYFUNCTION("""COMPUTED_VALUE"""),"MNN27")</f>
        <v>MNN27</v>
      </c>
      <c r="E681" s="2" t="str">
        <f>IFERROR(__xludf.DUMMYFUNCTION("""COMPUTED_VALUE"""),"Imported from file DigiZag Codes 25Feb25.xlsx")</f>
        <v>Imported from file DigiZag Codes 25Feb25.xlsx</v>
      </c>
      <c r="F681" s="2" t="str">
        <f>IFERROR(__xludf.DUMMYFUNCTION("""COMPUTED_VALUE"""),"GUV868964")</f>
        <v>GUV868964</v>
      </c>
      <c r="G681" s="2" t="str">
        <f>IFERROR(__xludf.DUMMYFUNCTION("""COMPUTED_VALUE"""),"Kuwait")</f>
        <v>Kuwait</v>
      </c>
      <c r="H681" s="4">
        <f>IFERROR(__xludf.DUMMYFUNCTION("""COMPUTED_VALUE"""),18.67)</f>
        <v>18.67</v>
      </c>
      <c r="I681" s="3">
        <f>IFERROR(__xludf.DUMMYFUNCTION("""COMPUTED_VALUE"""),0.0)</f>
        <v>0</v>
      </c>
      <c r="J681" s="4">
        <f>IFERROR(__xludf.DUMMYFUNCTION("""COMPUTED_VALUE"""),1.867)</f>
        <v>1.867</v>
      </c>
      <c r="K681" s="2"/>
      <c r="L681" s="2" t="str">
        <f>IFERROR(__xludf.DUMMYFUNCTION("""COMPUTED_VALUE"""),"Delivered")</f>
        <v>Delivered</v>
      </c>
      <c r="M681" s="2" t="str">
        <f>IFERROR(__xludf.DUMMYFUNCTION("""COMPUTED_VALUE"""),"KD")</f>
        <v>KD</v>
      </c>
      <c r="N681" s="2" t="str">
        <f>IFERROR(__xludf.DUMMYFUNCTION("""COMPUTED_VALUE"""),"Credit, Debit, Knet")</f>
        <v>Credit, Debit, Knet</v>
      </c>
      <c r="O681" s="4">
        <f>IFERROR(__xludf.DUMMYFUNCTION("""COMPUTED_VALUE"""),0.0)</f>
        <v>0</v>
      </c>
      <c r="P681" s="2">
        <f>IFERROR(__xludf.DUMMYFUNCTION("""COMPUTED_VALUE"""),26.0)</f>
        <v>26</v>
      </c>
      <c r="Q681" s="2">
        <f>IFERROR(__xludf.DUMMYFUNCTION("""COMPUTED_VALUE"""),6.0)</f>
        <v>6</v>
      </c>
      <c r="R681" s="2">
        <f>IFERROR(__xludf.DUMMYFUNCTION("""COMPUTED_VALUE"""),2025.0)</f>
        <v>2025</v>
      </c>
      <c r="S681" s="2" t="str">
        <f>IFERROR(__xludf.DUMMYFUNCTION("""COMPUTED_VALUE"""),"Digizag")</f>
        <v>Digizag</v>
      </c>
      <c r="T681" s="2" t="str">
        <f>IFERROR(__xludf.DUMMYFUNCTION("""COMPUTED_VALUE"""),"Digizag")</f>
        <v>Digizag</v>
      </c>
      <c r="U681" s="5">
        <f>IFERROR(__xludf.DUMMYFUNCTION("""COMPUTED_VALUE"""),60.8757754)</f>
        <v>60.8757754</v>
      </c>
      <c r="V681" s="2"/>
      <c r="W681" s="2"/>
      <c r="X681" s="2"/>
      <c r="Y681" s="2"/>
      <c r="Z681" s="2"/>
    </row>
    <row r="682">
      <c r="A682" s="6">
        <f>IFERROR(__xludf.DUMMYFUNCTION("""COMPUTED_VALUE"""),45834.54295138889)</f>
        <v>45834.54295</v>
      </c>
      <c r="B682" s="2" t="str">
        <f>IFERROR(__xludf.DUMMYFUNCTION("""COMPUTED_VALUE"""),"June")</f>
        <v>June</v>
      </c>
      <c r="C682" s="3">
        <f>IFERROR(__xludf.DUMMYFUNCTION("""COMPUTED_VALUE"""),763198.0)</f>
        <v>763198</v>
      </c>
      <c r="D682" s="2" t="str">
        <f>IFERROR(__xludf.DUMMYFUNCTION("""COMPUTED_VALUE"""),"ZM22")</f>
        <v>ZM22</v>
      </c>
      <c r="E682" s="2" t="str">
        <f>IFERROR(__xludf.DUMMYFUNCTION("""COMPUTED_VALUE"""),"Imported from file Digizag.xlsx")</f>
        <v>Imported from file Digizag.xlsx</v>
      </c>
      <c r="F682" s="2" t="str">
        <f>IFERROR(__xludf.DUMMYFUNCTION("""COMPUTED_VALUE"""),"NKW393048")</f>
        <v>NKW393048</v>
      </c>
      <c r="G682" s="2" t="str">
        <f>IFERROR(__xludf.DUMMYFUNCTION("""COMPUTED_VALUE"""),"Kingdom of Saudi Arabia")</f>
        <v>Kingdom of Saudi Arabia</v>
      </c>
      <c r="H682" s="4">
        <f>IFERROR(__xludf.DUMMYFUNCTION("""COMPUTED_VALUE"""),112.0)</f>
        <v>112</v>
      </c>
      <c r="I682" s="3">
        <f>IFERROR(__xludf.DUMMYFUNCTION("""COMPUTED_VALUE"""),0.0)</f>
        <v>0</v>
      </c>
      <c r="J682" s="4">
        <f>IFERROR(__xludf.DUMMYFUNCTION("""COMPUTED_VALUE"""),28.0)</f>
        <v>28</v>
      </c>
      <c r="K682" s="2"/>
      <c r="L682" s="2" t="str">
        <f>IFERROR(__xludf.DUMMYFUNCTION("""COMPUTED_VALUE"""),"Processing")</f>
        <v>Processing</v>
      </c>
      <c r="M682" s="2" t="str">
        <f>IFERROR(__xludf.DUMMYFUNCTION("""COMPUTED_VALUE"""),"")</f>
        <v></v>
      </c>
      <c r="N682" s="2" t="str">
        <f>IFERROR(__xludf.DUMMYFUNCTION("""COMPUTED_VALUE"""),"Credit, Debit, Apple Pay")</f>
        <v>Credit, Debit, Apple Pay</v>
      </c>
      <c r="O682" s="4">
        <f>IFERROR(__xludf.DUMMYFUNCTION("""COMPUTED_VALUE"""),0.0)</f>
        <v>0</v>
      </c>
      <c r="P682" s="2">
        <f>IFERROR(__xludf.DUMMYFUNCTION("""COMPUTED_VALUE"""),26.0)</f>
        <v>26</v>
      </c>
      <c r="Q682" s="2">
        <f>IFERROR(__xludf.DUMMYFUNCTION("""COMPUTED_VALUE"""),6.0)</f>
        <v>6</v>
      </c>
      <c r="R682" s="2">
        <f>IFERROR(__xludf.DUMMYFUNCTION("""COMPUTED_VALUE"""),2025.0)</f>
        <v>2025</v>
      </c>
      <c r="S682" s="2" t="str">
        <f>IFERROR(__xludf.DUMMYFUNCTION("""COMPUTED_VALUE"""),"Digizag")</f>
        <v>Digizag</v>
      </c>
      <c r="T682" s="2" t="str">
        <f>IFERROR(__xludf.DUMMYFUNCTION("""COMPUTED_VALUE"""),"Digizag")</f>
        <v>Digizag</v>
      </c>
      <c r="U682" s="5">
        <f>IFERROR(__xludf.DUMMYFUNCTION("""COMPUTED_VALUE"""),29.864357152000004)</f>
        <v>29.86435715</v>
      </c>
      <c r="V682" s="2"/>
      <c r="W682" s="2"/>
      <c r="X682" s="2"/>
      <c r="Y682" s="2"/>
      <c r="Z682" s="2"/>
    </row>
    <row r="683">
      <c r="A683" s="6">
        <f>IFERROR(__xludf.DUMMYFUNCTION("""COMPUTED_VALUE"""),45834.56043981481)</f>
        <v>45834.56044</v>
      </c>
      <c r="B683" s="2" t="str">
        <f>IFERROR(__xludf.DUMMYFUNCTION("""COMPUTED_VALUE"""),"June")</f>
        <v>June</v>
      </c>
      <c r="C683" s="3">
        <f>IFERROR(__xludf.DUMMYFUNCTION("""COMPUTED_VALUE"""),46309.0)</f>
        <v>46309</v>
      </c>
      <c r="D683" s="2" t="str">
        <f>IFERROR(__xludf.DUMMYFUNCTION("""COMPUTED_VALUE"""),"DB33")</f>
        <v>DB33</v>
      </c>
      <c r="E683" s="2" t="str">
        <f>IFERROR(__xludf.DUMMYFUNCTION("""COMPUTED_VALUE"""),"Imported from file Digizag.xlsx")</f>
        <v>Imported from file Digizag.xlsx</v>
      </c>
      <c r="F683" s="2" t="str">
        <f>IFERROR(__xludf.DUMMYFUNCTION("""COMPUTED_VALUE"""),"LSK666961")</f>
        <v>LSK666961</v>
      </c>
      <c r="G683" s="2" t="str">
        <f>IFERROR(__xludf.DUMMYFUNCTION("""COMPUTED_VALUE"""),"Kuwait")</f>
        <v>Kuwait</v>
      </c>
      <c r="H683" s="4">
        <f>IFERROR(__xludf.DUMMYFUNCTION("""COMPUTED_VALUE"""),19.0)</f>
        <v>19</v>
      </c>
      <c r="I683" s="3">
        <f>IFERROR(__xludf.DUMMYFUNCTION("""COMPUTED_VALUE"""),0.0)</f>
        <v>0</v>
      </c>
      <c r="J683" s="4">
        <f>IFERROR(__xludf.DUMMYFUNCTION("""COMPUTED_VALUE"""),1.9)</f>
        <v>1.9</v>
      </c>
      <c r="K683" s="2"/>
      <c r="L683" s="2" t="str">
        <f>IFERROR(__xludf.DUMMYFUNCTION("""COMPUTED_VALUE"""),"Delivered")</f>
        <v>Delivered</v>
      </c>
      <c r="M683" s="2" t="str">
        <f>IFERROR(__xludf.DUMMYFUNCTION("""COMPUTED_VALUE"""),"KD")</f>
        <v>KD</v>
      </c>
      <c r="N683" s="2" t="str">
        <f>IFERROR(__xludf.DUMMYFUNCTION("""COMPUTED_VALUE"""),"Credit, Debit, Knet")</f>
        <v>Credit, Debit, Knet</v>
      </c>
      <c r="O683" s="4">
        <f>IFERROR(__xludf.DUMMYFUNCTION("""COMPUTED_VALUE"""),0.0)</f>
        <v>0</v>
      </c>
      <c r="P683" s="2">
        <f>IFERROR(__xludf.DUMMYFUNCTION("""COMPUTED_VALUE"""),26.0)</f>
        <v>26</v>
      </c>
      <c r="Q683" s="2">
        <f>IFERROR(__xludf.DUMMYFUNCTION("""COMPUTED_VALUE"""),6.0)</f>
        <v>6</v>
      </c>
      <c r="R683" s="2">
        <f>IFERROR(__xludf.DUMMYFUNCTION("""COMPUTED_VALUE"""),2025.0)</f>
        <v>2025</v>
      </c>
      <c r="S683" s="2" t="str">
        <f>IFERROR(__xludf.DUMMYFUNCTION("""COMPUTED_VALUE"""),"Digizag")</f>
        <v>Digizag</v>
      </c>
      <c r="T683" s="2" t="str">
        <f>IFERROR(__xludf.DUMMYFUNCTION("""COMPUTED_VALUE"""),"Digizag")</f>
        <v>Digizag</v>
      </c>
      <c r="U683" s="5">
        <f>IFERROR(__xludf.DUMMYFUNCTION("""COMPUTED_VALUE"""),61.95178)</f>
        <v>61.95178</v>
      </c>
      <c r="V683" s="2"/>
      <c r="W683" s="2"/>
      <c r="X683" s="2"/>
      <c r="Y683" s="2"/>
      <c r="Z683" s="2"/>
    </row>
    <row r="684">
      <c r="A684" s="6">
        <f>IFERROR(__xludf.DUMMYFUNCTION("""COMPUTED_VALUE"""),45834.60648148148)</f>
        <v>45834.60648</v>
      </c>
      <c r="B684" s="2" t="str">
        <f>IFERROR(__xludf.DUMMYFUNCTION("""COMPUTED_VALUE"""),"June")</f>
        <v>June</v>
      </c>
      <c r="C684" s="3">
        <f>IFERROR(__xludf.DUMMYFUNCTION("""COMPUTED_VALUE"""),301972.0)</f>
        <v>301972</v>
      </c>
      <c r="D684" s="2" t="str">
        <f>IFERROR(__xludf.DUMMYFUNCTION("""COMPUTED_VALUE"""),"JM")</f>
        <v>JM</v>
      </c>
      <c r="E684" s="2" t="str">
        <f>IFERROR(__xludf.DUMMYFUNCTION("""COMPUTED_VALUE"""),"Digizag")</f>
        <v>Digizag</v>
      </c>
      <c r="F684" s="2" t="str">
        <f>IFERROR(__xludf.DUMMYFUNCTION("""COMPUTED_VALUE"""),"VDZ845069")</f>
        <v>VDZ845069</v>
      </c>
      <c r="G684" s="2" t="str">
        <f>IFERROR(__xludf.DUMMYFUNCTION("""COMPUTED_VALUE"""),"Kuwait")</f>
        <v>Kuwait</v>
      </c>
      <c r="H684" s="4">
        <f>IFERROR(__xludf.DUMMYFUNCTION("""COMPUTED_VALUE"""),17.4)</f>
        <v>17.4</v>
      </c>
      <c r="I684" s="3">
        <f>IFERROR(__xludf.DUMMYFUNCTION("""COMPUTED_VALUE"""),0.0)</f>
        <v>0</v>
      </c>
      <c r="J684" s="4">
        <f>IFERROR(__xludf.DUMMYFUNCTION("""COMPUTED_VALUE"""),1.74)</f>
        <v>1.74</v>
      </c>
      <c r="K684" s="2"/>
      <c r="L684" s="2" t="str">
        <f>IFERROR(__xludf.DUMMYFUNCTION("""COMPUTED_VALUE"""),"Delivered")</f>
        <v>Delivered</v>
      </c>
      <c r="M684" s="2" t="str">
        <f>IFERROR(__xludf.DUMMYFUNCTION("""COMPUTED_VALUE"""),"KD")</f>
        <v>KD</v>
      </c>
      <c r="N684" s="2" t="str">
        <f>IFERROR(__xludf.DUMMYFUNCTION("""COMPUTED_VALUE"""),"Credit, Debit, Knet")</f>
        <v>Credit, Debit, Knet</v>
      </c>
      <c r="O684" s="4">
        <f>IFERROR(__xludf.DUMMYFUNCTION("""COMPUTED_VALUE"""),0.0)</f>
        <v>0</v>
      </c>
      <c r="P684" s="2">
        <f>IFERROR(__xludf.DUMMYFUNCTION("""COMPUTED_VALUE"""),26.0)</f>
        <v>26</v>
      </c>
      <c r="Q684" s="2">
        <f>IFERROR(__xludf.DUMMYFUNCTION("""COMPUTED_VALUE"""),6.0)</f>
        <v>6</v>
      </c>
      <c r="R684" s="2">
        <f>IFERROR(__xludf.DUMMYFUNCTION("""COMPUTED_VALUE"""),2025.0)</f>
        <v>2025</v>
      </c>
      <c r="S684" s="2" t="str">
        <f>IFERROR(__xludf.DUMMYFUNCTION("""COMPUTED_VALUE"""),"Digizag")</f>
        <v>Digizag</v>
      </c>
      <c r="T684" s="2" t="str">
        <f>IFERROR(__xludf.DUMMYFUNCTION("""COMPUTED_VALUE"""),"Digizag")</f>
        <v>Digizag</v>
      </c>
      <c r="U684" s="5">
        <f>IFERROR(__xludf.DUMMYFUNCTION("""COMPUTED_VALUE"""),56.734787999999995)</f>
        <v>56.734788</v>
      </c>
      <c r="V684" s="2"/>
      <c r="W684" s="2"/>
      <c r="X684" s="2"/>
      <c r="Y684" s="2"/>
      <c r="Z684" s="2"/>
    </row>
    <row r="685">
      <c r="A685" s="6">
        <f>IFERROR(__xludf.DUMMYFUNCTION("""COMPUTED_VALUE"""),45834.61440972222)</f>
        <v>45834.61441</v>
      </c>
      <c r="B685" s="2" t="str">
        <f>IFERROR(__xludf.DUMMYFUNCTION("""COMPUTED_VALUE"""),"June")</f>
        <v>June</v>
      </c>
      <c r="C685" s="3">
        <f>IFERROR(__xludf.DUMMYFUNCTION("""COMPUTED_VALUE"""),125689.0)</f>
        <v>125689</v>
      </c>
      <c r="D685" s="2" t="str">
        <f>IFERROR(__xludf.DUMMYFUNCTION("""COMPUTED_VALUE"""),"ZM22")</f>
        <v>ZM22</v>
      </c>
      <c r="E685" s="2" t="str">
        <f>IFERROR(__xludf.DUMMYFUNCTION("""COMPUTED_VALUE"""),"Imported from file Digizag.xlsx")</f>
        <v>Imported from file Digizag.xlsx</v>
      </c>
      <c r="F685" s="2" t="str">
        <f>IFERROR(__xludf.DUMMYFUNCTION("""COMPUTED_VALUE"""),"UCA713509")</f>
        <v>UCA713509</v>
      </c>
      <c r="G685" s="2" t="str">
        <f>IFERROR(__xludf.DUMMYFUNCTION("""COMPUTED_VALUE"""),"Kuwait")</f>
        <v>Kuwait</v>
      </c>
      <c r="H685" s="4">
        <f>IFERROR(__xludf.DUMMYFUNCTION("""COMPUTED_VALUE"""),7.95)</f>
        <v>7.95</v>
      </c>
      <c r="I685" s="3">
        <f>IFERROR(__xludf.DUMMYFUNCTION("""COMPUTED_VALUE"""),0.0)</f>
        <v>0</v>
      </c>
      <c r="J685" s="4">
        <f>IFERROR(__xludf.DUMMYFUNCTION("""COMPUTED_VALUE"""),0.795)</f>
        <v>0.795</v>
      </c>
      <c r="K685" s="2"/>
      <c r="L685" s="2" t="str">
        <f>IFERROR(__xludf.DUMMYFUNCTION("""COMPUTED_VALUE"""),"Delivered")</f>
        <v>Delivered</v>
      </c>
      <c r="M685" s="2" t="str">
        <f>IFERROR(__xludf.DUMMYFUNCTION("""COMPUTED_VALUE"""),"KD")</f>
        <v>KD</v>
      </c>
      <c r="N685" s="2" t="str">
        <f>IFERROR(__xludf.DUMMYFUNCTION("""COMPUTED_VALUE"""),"Credit, Debit, Knet")</f>
        <v>Credit, Debit, Knet</v>
      </c>
      <c r="O685" s="4">
        <f>IFERROR(__xludf.DUMMYFUNCTION("""COMPUTED_VALUE"""),0.0)</f>
        <v>0</v>
      </c>
      <c r="P685" s="2">
        <f>IFERROR(__xludf.DUMMYFUNCTION("""COMPUTED_VALUE"""),26.0)</f>
        <v>26</v>
      </c>
      <c r="Q685" s="2">
        <f>IFERROR(__xludf.DUMMYFUNCTION("""COMPUTED_VALUE"""),6.0)</f>
        <v>6</v>
      </c>
      <c r="R685" s="2">
        <f>IFERROR(__xludf.DUMMYFUNCTION("""COMPUTED_VALUE"""),2025.0)</f>
        <v>2025</v>
      </c>
      <c r="S685" s="2" t="str">
        <f>IFERROR(__xludf.DUMMYFUNCTION("""COMPUTED_VALUE"""),"Digizag")</f>
        <v>Digizag</v>
      </c>
      <c r="T685" s="2" t="str">
        <f>IFERROR(__xludf.DUMMYFUNCTION("""COMPUTED_VALUE"""),"Digizag")</f>
        <v>Digizag</v>
      </c>
      <c r="U685" s="5">
        <f>IFERROR(__xludf.DUMMYFUNCTION("""COMPUTED_VALUE"""),25.921929)</f>
        <v>25.921929</v>
      </c>
      <c r="V685" s="2"/>
      <c r="W685" s="2"/>
      <c r="X685" s="2"/>
      <c r="Y685" s="2"/>
      <c r="Z685" s="2"/>
    </row>
    <row r="686">
      <c r="A686" s="6">
        <f>IFERROR(__xludf.DUMMYFUNCTION("""COMPUTED_VALUE"""),45834.79785879629)</f>
        <v>45834.79786</v>
      </c>
      <c r="B686" s="2" t="str">
        <f>IFERROR(__xludf.DUMMYFUNCTION("""COMPUTED_VALUE"""),"June")</f>
        <v>June</v>
      </c>
      <c r="C686" s="3">
        <f>IFERROR(__xludf.DUMMYFUNCTION("""COMPUTED_VALUE"""),332436.0)</f>
        <v>332436</v>
      </c>
      <c r="D686" s="2" t="str">
        <f>IFERROR(__xludf.DUMMYFUNCTION("""COMPUTED_VALUE"""),"DB1")</f>
        <v>DB1</v>
      </c>
      <c r="E686" s="2" t="str">
        <f>IFERROR(__xludf.DUMMYFUNCTION("""COMPUTED_VALUE"""),"Imported from file Digizag.xlsx")</f>
        <v>Imported from file Digizag.xlsx</v>
      </c>
      <c r="F686" s="2" t="str">
        <f>IFERROR(__xludf.DUMMYFUNCTION("""COMPUTED_VALUE"""),"VAH113908")</f>
        <v>VAH113908</v>
      </c>
      <c r="G686" s="2" t="str">
        <f>IFERROR(__xludf.DUMMYFUNCTION("""COMPUTED_VALUE"""),"UAE")</f>
        <v>UAE</v>
      </c>
      <c r="H686" s="4">
        <f>IFERROR(__xludf.DUMMYFUNCTION("""COMPUTED_VALUE"""),85.0)</f>
        <v>85</v>
      </c>
      <c r="I686" s="3">
        <f>IFERROR(__xludf.DUMMYFUNCTION("""COMPUTED_VALUE"""),0.0)</f>
        <v>0</v>
      </c>
      <c r="J686" s="4">
        <f>IFERROR(__xludf.DUMMYFUNCTION("""COMPUTED_VALUE"""),8.5)</f>
        <v>8.5</v>
      </c>
      <c r="K686" s="2"/>
      <c r="L686" s="2" t="str">
        <f>IFERROR(__xludf.DUMMYFUNCTION("""COMPUTED_VALUE"""),"Processing")</f>
        <v>Processing</v>
      </c>
      <c r="M686" s="2" t="str">
        <f>IFERROR(__xludf.DUMMYFUNCTION("""COMPUTED_VALUE"""),"")</f>
        <v></v>
      </c>
      <c r="N686" s="2" t="str">
        <f>IFERROR(__xludf.DUMMYFUNCTION("""COMPUTED_VALUE"""),"Credit, Debit , Apple Pay")</f>
        <v>Credit, Debit , Apple Pay</v>
      </c>
      <c r="O686" s="4">
        <f>IFERROR(__xludf.DUMMYFUNCTION("""COMPUTED_VALUE"""),0.0)</f>
        <v>0</v>
      </c>
      <c r="P686" s="2">
        <f>IFERROR(__xludf.DUMMYFUNCTION("""COMPUTED_VALUE"""),26.0)</f>
        <v>26</v>
      </c>
      <c r="Q686" s="2">
        <f>IFERROR(__xludf.DUMMYFUNCTION("""COMPUTED_VALUE"""),6.0)</f>
        <v>6</v>
      </c>
      <c r="R686" s="2">
        <f>IFERROR(__xludf.DUMMYFUNCTION("""COMPUTED_VALUE"""),2025.0)</f>
        <v>2025</v>
      </c>
      <c r="S686" s="2" t="str">
        <f>IFERROR(__xludf.DUMMYFUNCTION("""COMPUTED_VALUE"""),"Digizag")</f>
        <v>Digizag</v>
      </c>
      <c r="T686" s="2" t="str">
        <f>IFERROR(__xludf.DUMMYFUNCTION("""COMPUTED_VALUE"""),"Digizag")</f>
        <v>Digizag</v>
      </c>
      <c r="U686" s="5">
        <f>IFERROR(__xludf.DUMMYFUNCTION("""COMPUTED_VALUE"""),23.144996629999998)</f>
        <v>23.14499663</v>
      </c>
      <c r="V686" s="2"/>
      <c r="W686" s="2"/>
      <c r="X686" s="2"/>
      <c r="Y686" s="2"/>
      <c r="Z686" s="2"/>
    </row>
    <row r="687">
      <c r="A687" s="6">
        <f>IFERROR(__xludf.DUMMYFUNCTION("""COMPUTED_VALUE"""),45834.87273148148)</f>
        <v>45834.87273</v>
      </c>
      <c r="B687" s="2" t="str">
        <f>IFERROR(__xludf.DUMMYFUNCTION("""COMPUTED_VALUE"""),"June")</f>
        <v>June</v>
      </c>
      <c r="C687" s="3">
        <f>IFERROR(__xludf.DUMMYFUNCTION("""COMPUTED_VALUE"""),249998.0)</f>
        <v>249998</v>
      </c>
      <c r="D687" s="2" t="str">
        <f>IFERROR(__xludf.DUMMYFUNCTION("""COMPUTED_VALUE"""),"ZM22")</f>
        <v>ZM22</v>
      </c>
      <c r="E687" s="2" t="str">
        <f>IFERROR(__xludf.DUMMYFUNCTION("""COMPUTED_VALUE"""),"Imported from file Digizag.xlsx")</f>
        <v>Imported from file Digizag.xlsx</v>
      </c>
      <c r="F687" s="2" t="str">
        <f>IFERROR(__xludf.DUMMYFUNCTION("""COMPUTED_VALUE"""),"WRG890680")</f>
        <v>WRG890680</v>
      </c>
      <c r="G687" s="2" t="str">
        <f>IFERROR(__xludf.DUMMYFUNCTION("""COMPUTED_VALUE"""),"Kuwait")</f>
        <v>Kuwait</v>
      </c>
      <c r="H687" s="4">
        <f>IFERROR(__xludf.DUMMYFUNCTION("""COMPUTED_VALUE"""),36.49)</f>
        <v>36.49</v>
      </c>
      <c r="I687" s="3">
        <f>IFERROR(__xludf.DUMMYFUNCTION("""COMPUTED_VALUE"""),0.0)</f>
        <v>0</v>
      </c>
      <c r="J687" s="4">
        <f>IFERROR(__xludf.DUMMYFUNCTION("""COMPUTED_VALUE"""),3.649)</f>
        <v>3.649</v>
      </c>
      <c r="K687" s="2"/>
      <c r="L687" s="2" t="str">
        <f>IFERROR(__xludf.DUMMYFUNCTION("""COMPUTED_VALUE"""),"Processing")</f>
        <v>Processing</v>
      </c>
      <c r="M687" s="2" t="str">
        <f>IFERROR(__xludf.DUMMYFUNCTION("""COMPUTED_VALUE"""),"KD")</f>
        <v>KD</v>
      </c>
      <c r="N687" s="2" t="str">
        <f>IFERROR(__xludf.DUMMYFUNCTION("""COMPUTED_VALUE"""),"Cash")</f>
        <v>Cash</v>
      </c>
      <c r="O687" s="4">
        <f>IFERROR(__xludf.DUMMYFUNCTION("""COMPUTED_VALUE"""),0.0)</f>
        <v>0</v>
      </c>
      <c r="P687" s="2">
        <f>IFERROR(__xludf.DUMMYFUNCTION("""COMPUTED_VALUE"""),26.0)</f>
        <v>26</v>
      </c>
      <c r="Q687" s="2">
        <f>IFERROR(__xludf.DUMMYFUNCTION("""COMPUTED_VALUE"""),6.0)</f>
        <v>6</v>
      </c>
      <c r="R687" s="2">
        <f>IFERROR(__xludf.DUMMYFUNCTION("""COMPUTED_VALUE"""),2025.0)</f>
        <v>2025</v>
      </c>
      <c r="S687" s="2" t="str">
        <f>IFERROR(__xludf.DUMMYFUNCTION("""COMPUTED_VALUE"""),"Digizag")</f>
        <v>Digizag</v>
      </c>
      <c r="T687" s="2" t="str">
        <f>IFERROR(__xludf.DUMMYFUNCTION("""COMPUTED_VALUE"""),"Digizag")</f>
        <v>Digizag</v>
      </c>
      <c r="U687" s="5">
        <f>IFERROR(__xludf.DUMMYFUNCTION("""COMPUTED_VALUE"""),118.9800238)</f>
        <v>118.9800238</v>
      </c>
      <c r="V687" s="2"/>
      <c r="W687" s="2"/>
      <c r="X687" s="2"/>
      <c r="Y687" s="2"/>
      <c r="Z687" s="2"/>
    </row>
    <row r="688">
      <c r="A688" s="6">
        <f>IFERROR(__xludf.DUMMYFUNCTION("""COMPUTED_VALUE"""),45835.09407407407)</f>
        <v>45835.09407</v>
      </c>
      <c r="B688" s="2" t="str">
        <f>IFERROR(__xludf.DUMMYFUNCTION("""COMPUTED_VALUE"""),"June")</f>
        <v>June</v>
      </c>
      <c r="C688" s="3">
        <f>IFERROR(__xludf.DUMMYFUNCTION("""COMPUTED_VALUE"""),138714.0)</f>
        <v>138714</v>
      </c>
      <c r="D688" s="2" t="str">
        <f>IFERROR(__xludf.DUMMYFUNCTION("""COMPUTED_VALUE"""),"ZM22")</f>
        <v>ZM22</v>
      </c>
      <c r="E688" s="2" t="str">
        <f>IFERROR(__xludf.DUMMYFUNCTION("""COMPUTED_VALUE"""),"Imported from file Digizag.xlsx")</f>
        <v>Imported from file Digizag.xlsx</v>
      </c>
      <c r="F688" s="2" t="str">
        <f>IFERROR(__xludf.DUMMYFUNCTION("""COMPUTED_VALUE"""),"YSR796639")</f>
        <v>YSR796639</v>
      </c>
      <c r="G688" s="2" t="str">
        <f>IFERROR(__xludf.DUMMYFUNCTION("""COMPUTED_VALUE"""),"UAE")</f>
        <v>UAE</v>
      </c>
      <c r="H688" s="4">
        <f>IFERROR(__xludf.DUMMYFUNCTION("""COMPUTED_VALUE"""),88.0)</f>
        <v>88</v>
      </c>
      <c r="I688" s="3">
        <f>IFERROR(__xludf.DUMMYFUNCTION("""COMPUTED_VALUE"""),0.0)</f>
        <v>0</v>
      </c>
      <c r="J688" s="4">
        <f>IFERROR(__xludf.DUMMYFUNCTION("""COMPUTED_VALUE"""),8.8)</f>
        <v>8.8</v>
      </c>
      <c r="K688" s="2"/>
      <c r="L688" s="2" t="str">
        <f>IFERROR(__xludf.DUMMYFUNCTION("""COMPUTED_VALUE"""),"Delivered")</f>
        <v>Delivered</v>
      </c>
      <c r="M688" s="2" t="str">
        <f>IFERROR(__xludf.DUMMYFUNCTION("""COMPUTED_VALUE"""),"")</f>
        <v></v>
      </c>
      <c r="N688" s="2" t="str">
        <f>IFERROR(__xludf.DUMMYFUNCTION("""COMPUTED_VALUE"""),"Cash")</f>
        <v>Cash</v>
      </c>
      <c r="O688" s="4">
        <f>IFERROR(__xludf.DUMMYFUNCTION("""COMPUTED_VALUE"""),0.0)</f>
        <v>0</v>
      </c>
      <c r="P688" s="2">
        <f>IFERROR(__xludf.DUMMYFUNCTION("""COMPUTED_VALUE"""),27.0)</f>
        <v>27</v>
      </c>
      <c r="Q688" s="2">
        <f>IFERROR(__xludf.DUMMYFUNCTION("""COMPUTED_VALUE"""),6.0)</f>
        <v>6</v>
      </c>
      <c r="R688" s="2">
        <f>IFERROR(__xludf.DUMMYFUNCTION("""COMPUTED_VALUE"""),2025.0)</f>
        <v>2025</v>
      </c>
      <c r="S688" s="2" t="str">
        <f>IFERROR(__xludf.DUMMYFUNCTION("""COMPUTED_VALUE"""),"Digizag")</f>
        <v>Digizag</v>
      </c>
      <c r="T688" s="2" t="str">
        <f>IFERROR(__xludf.DUMMYFUNCTION("""COMPUTED_VALUE"""),"Digizag")</f>
        <v>Digizag</v>
      </c>
      <c r="U688" s="5">
        <f>IFERROR(__xludf.DUMMYFUNCTION("""COMPUTED_VALUE"""),23.961878864)</f>
        <v>23.96187886</v>
      </c>
      <c r="V688" s="2"/>
      <c r="W688" s="2"/>
      <c r="X688" s="2"/>
      <c r="Y688" s="2"/>
      <c r="Z688" s="2"/>
    </row>
    <row r="689">
      <c r="A689" s="6">
        <f>IFERROR(__xludf.DUMMYFUNCTION("""COMPUTED_VALUE"""),45835.19908564815)</f>
        <v>45835.19909</v>
      </c>
      <c r="B689" s="2" t="str">
        <f>IFERROR(__xludf.DUMMYFUNCTION("""COMPUTED_VALUE"""),"June")</f>
        <v>June</v>
      </c>
      <c r="C689" s="3">
        <f>IFERROR(__xludf.DUMMYFUNCTION("""COMPUTED_VALUE"""),680220.0)</f>
        <v>680220</v>
      </c>
      <c r="D689" s="2" t="str">
        <f>IFERROR(__xludf.DUMMYFUNCTION("""COMPUTED_VALUE"""),"MNN16")</f>
        <v>MNN16</v>
      </c>
      <c r="E689" s="2" t="str">
        <f>IFERROR(__xludf.DUMMYFUNCTION("""COMPUTED_VALUE"""),"Imported from file DigiZag Codes 25Feb25.xlsx")</f>
        <v>Imported from file DigiZag Codes 25Feb25.xlsx</v>
      </c>
      <c r="F689" s="2" t="str">
        <f>IFERROR(__xludf.DUMMYFUNCTION("""COMPUTED_VALUE"""),"TCM934492")</f>
        <v>TCM934492</v>
      </c>
      <c r="G689" s="2" t="str">
        <f>IFERROR(__xludf.DUMMYFUNCTION("""COMPUTED_VALUE"""),"Kuwait")</f>
        <v>Kuwait</v>
      </c>
      <c r="H689" s="4">
        <f>IFERROR(__xludf.DUMMYFUNCTION("""COMPUTED_VALUE"""),28.6)</f>
        <v>28.6</v>
      </c>
      <c r="I689" s="3">
        <f>IFERROR(__xludf.DUMMYFUNCTION("""COMPUTED_VALUE"""),1.0)</f>
        <v>1</v>
      </c>
      <c r="J689" s="4">
        <f>IFERROR(__xludf.DUMMYFUNCTION("""COMPUTED_VALUE"""),2.86)</f>
        <v>2.86</v>
      </c>
      <c r="K689" s="2"/>
      <c r="L689" s="2" t="str">
        <f>IFERROR(__xludf.DUMMYFUNCTION("""COMPUTED_VALUE"""),"Cancelled")</f>
        <v>Cancelled</v>
      </c>
      <c r="M689" s="2" t="str">
        <f>IFERROR(__xludf.DUMMYFUNCTION("""COMPUTED_VALUE"""),"KD")</f>
        <v>KD</v>
      </c>
      <c r="N689" s="2" t="str">
        <f>IFERROR(__xludf.DUMMYFUNCTION("""COMPUTED_VALUE"""),"Cash")</f>
        <v>Cash</v>
      </c>
      <c r="O689" s="4">
        <f>IFERROR(__xludf.DUMMYFUNCTION("""COMPUTED_VALUE"""),25.74)</f>
        <v>25.74</v>
      </c>
      <c r="P689" s="2">
        <f>IFERROR(__xludf.DUMMYFUNCTION("""COMPUTED_VALUE"""),27.0)</f>
        <v>27</v>
      </c>
      <c r="Q689" s="2">
        <f>IFERROR(__xludf.DUMMYFUNCTION("""COMPUTED_VALUE"""),6.0)</f>
        <v>6</v>
      </c>
      <c r="R689" s="2">
        <f>IFERROR(__xludf.DUMMYFUNCTION("""COMPUTED_VALUE"""),2025.0)</f>
        <v>2025</v>
      </c>
      <c r="S689" s="2" t="str">
        <f>IFERROR(__xludf.DUMMYFUNCTION("""COMPUTED_VALUE"""),"Digizag")</f>
        <v>Digizag</v>
      </c>
      <c r="T689" s="2" t="str">
        <f>IFERROR(__xludf.DUMMYFUNCTION("""COMPUTED_VALUE"""),"Digizag")</f>
        <v>Digizag</v>
      </c>
      <c r="U689" s="5">
        <f>IFERROR(__xludf.DUMMYFUNCTION("""COMPUTED_VALUE"""),93.253732)</f>
        <v>93.253732</v>
      </c>
      <c r="V689" s="2"/>
      <c r="W689" s="2"/>
      <c r="X689" s="2"/>
      <c r="Y689" s="2"/>
      <c r="Z689" s="2"/>
    </row>
    <row r="690">
      <c r="A690" s="6">
        <f>IFERROR(__xludf.DUMMYFUNCTION("""COMPUTED_VALUE"""),45835.384467592594)</f>
        <v>45835.38447</v>
      </c>
      <c r="B690" s="2" t="str">
        <f>IFERROR(__xludf.DUMMYFUNCTION("""COMPUTED_VALUE"""),"June")</f>
        <v>June</v>
      </c>
      <c r="C690" s="3">
        <f>IFERROR(__xludf.DUMMYFUNCTION("""COMPUTED_VALUE"""),685620.0)</f>
        <v>685620</v>
      </c>
      <c r="D690" s="2" t="str">
        <f>IFERROR(__xludf.DUMMYFUNCTION("""COMPUTED_VALUE"""),"ZM22")</f>
        <v>ZM22</v>
      </c>
      <c r="E690" s="2" t="str">
        <f>IFERROR(__xludf.DUMMYFUNCTION("""COMPUTED_VALUE"""),"Imported from file Digizag.xlsx")</f>
        <v>Imported from file Digizag.xlsx</v>
      </c>
      <c r="F690" s="2" t="str">
        <f>IFERROR(__xludf.DUMMYFUNCTION("""COMPUTED_VALUE"""),"HBH917640")</f>
        <v>HBH917640</v>
      </c>
      <c r="G690" s="2" t="str">
        <f>IFERROR(__xludf.DUMMYFUNCTION("""COMPUTED_VALUE"""),"UAE")</f>
        <v>UAE</v>
      </c>
      <c r="H690" s="4">
        <f>IFERROR(__xludf.DUMMYFUNCTION("""COMPUTED_VALUE"""),342.67)</f>
        <v>342.67</v>
      </c>
      <c r="I690" s="3">
        <f>IFERROR(__xludf.DUMMYFUNCTION("""COMPUTED_VALUE"""),0.0)</f>
        <v>0</v>
      </c>
      <c r="J690" s="4">
        <f>IFERROR(__xludf.DUMMYFUNCTION("""COMPUTED_VALUE"""),34.26)</f>
        <v>34.26</v>
      </c>
      <c r="K690" s="2"/>
      <c r="L690" s="2" t="str">
        <f>IFERROR(__xludf.DUMMYFUNCTION("""COMPUTED_VALUE"""),"Processing")</f>
        <v>Processing</v>
      </c>
      <c r="M690" s="2" t="str">
        <f>IFERROR(__xludf.DUMMYFUNCTION("""COMPUTED_VALUE"""),"")</f>
        <v></v>
      </c>
      <c r="N690" s="2" t="str">
        <f>IFERROR(__xludf.DUMMYFUNCTION("""COMPUTED_VALUE"""),"Credit, Debit , Apple Pay")</f>
        <v>Credit, Debit , Apple Pay</v>
      </c>
      <c r="O690" s="4">
        <f>IFERROR(__xludf.DUMMYFUNCTION("""COMPUTED_VALUE"""),0.0)</f>
        <v>0</v>
      </c>
      <c r="P690" s="2">
        <f>IFERROR(__xludf.DUMMYFUNCTION("""COMPUTED_VALUE"""),27.0)</f>
        <v>27</v>
      </c>
      <c r="Q690" s="2">
        <f>IFERROR(__xludf.DUMMYFUNCTION("""COMPUTED_VALUE"""),6.0)</f>
        <v>6</v>
      </c>
      <c r="R690" s="2">
        <f>IFERROR(__xludf.DUMMYFUNCTION("""COMPUTED_VALUE"""),2025.0)</f>
        <v>2025</v>
      </c>
      <c r="S690" s="2" t="str">
        <f>IFERROR(__xludf.DUMMYFUNCTION("""COMPUTED_VALUE"""),"Digizag")</f>
        <v>Digizag</v>
      </c>
      <c r="T690" s="2" t="str">
        <f>IFERROR(__xludf.DUMMYFUNCTION("""COMPUTED_VALUE"""),"Digizag")</f>
        <v>Digizag</v>
      </c>
      <c r="U690" s="5">
        <f>IFERROR(__xludf.DUMMYFUNCTION("""COMPUTED_VALUE"""),93.30701170826)</f>
        <v>93.30701171</v>
      </c>
      <c r="V690" s="2"/>
      <c r="W690" s="2"/>
      <c r="X690" s="2"/>
      <c r="Y690" s="2"/>
      <c r="Z690" s="2"/>
    </row>
    <row r="691">
      <c r="A691" s="6">
        <f>IFERROR(__xludf.DUMMYFUNCTION("""COMPUTED_VALUE"""),45835.39256944444)</f>
        <v>45835.39257</v>
      </c>
      <c r="B691" s="2" t="str">
        <f>IFERROR(__xludf.DUMMYFUNCTION("""COMPUTED_VALUE"""),"June")</f>
        <v>June</v>
      </c>
      <c r="C691" s="3">
        <f>IFERROR(__xludf.DUMMYFUNCTION("""COMPUTED_VALUE"""),729888.0)</f>
        <v>729888</v>
      </c>
      <c r="D691" s="2" t="str">
        <f>IFERROR(__xludf.DUMMYFUNCTION("""COMPUTED_VALUE"""),"DB1")</f>
        <v>DB1</v>
      </c>
      <c r="E691" s="2" t="str">
        <f>IFERROR(__xludf.DUMMYFUNCTION("""COMPUTED_VALUE"""),"Imported from file Digizag.xlsx")</f>
        <v>Imported from file Digizag.xlsx</v>
      </c>
      <c r="F691" s="2" t="str">
        <f>IFERROR(__xludf.DUMMYFUNCTION("""COMPUTED_VALUE"""),"DCQ373834")</f>
        <v>DCQ373834</v>
      </c>
      <c r="G691" s="2" t="str">
        <f>IFERROR(__xludf.DUMMYFUNCTION("""COMPUTED_VALUE"""),"UAE")</f>
        <v>UAE</v>
      </c>
      <c r="H691" s="4">
        <f>IFERROR(__xludf.DUMMYFUNCTION("""COMPUTED_VALUE"""),149.5)</f>
        <v>149.5</v>
      </c>
      <c r="I691" s="3">
        <f>IFERROR(__xludf.DUMMYFUNCTION("""COMPUTED_VALUE"""),0.0)</f>
        <v>0</v>
      </c>
      <c r="J691" s="4">
        <f>IFERROR(__xludf.DUMMYFUNCTION("""COMPUTED_VALUE"""),14.95)</f>
        <v>14.95</v>
      </c>
      <c r="K691" s="2"/>
      <c r="L691" s="2" t="str">
        <f>IFERROR(__xludf.DUMMYFUNCTION("""COMPUTED_VALUE"""),"Processing")</f>
        <v>Processing</v>
      </c>
      <c r="M691" s="2" t="str">
        <f>IFERROR(__xludf.DUMMYFUNCTION("""COMPUTED_VALUE"""),"")</f>
        <v></v>
      </c>
      <c r="N691" s="2" t="str">
        <f>IFERROR(__xludf.DUMMYFUNCTION("""COMPUTED_VALUE"""),"Credit, Debit , Apple Pay")</f>
        <v>Credit, Debit , Apple Pay</v>
      </c>
      <c r="O691" s="4">
        <f>IFERROR(__xludf.DUMMYFUNCTION("""COMPUTED_VALUE"""),0.0)</f>
        <v>0</v>
      </c>
      <c r="P691" s="2">
        <f>IFERROR(__xludf.DUMMYFUNCTION("""COMPUTED_VALUE"""),27.0)</f>
        <v>27</v>
      </c>
      <c r="Q691" s="2">
        <f>IFERROR(__xludf.DUMMYFUNCTION("""COMPUTED_VALUE"""),6.0)</f>
        <v>6</v>
      </c>
      <c r="R691" s="2">
        <f>IFERROR(__xludf.DUMMYFUNCTION("""COMPUTED_VALUE"""),2025.0)</f>
        <v>2025</v>
      </c>
      <c r="S691" s="2" t="str">
        <f>IFERROR(__xludf.DUMMYFUNCTION("""COMPUTED_VALUE"""),"Digizag")</f>
        <v>Digizag</v>
      </c>
      <c r="T691" s="2" t="str">
        <f>IFERROR(__xludf.DUMMYFUNCTION("""COMPUTED_VALUE"""),"Digizag")</f>
        <v>Digizag</v>
      </c>
      <c r="U691" s="5">
        <f>IFERROR(__xludf.DUMMYFUNCTION("""COMPUTED_VALUE"""),40.707964661)</f>
        <v>40.70796466</v>
      </c>
      <c r="V691" s="2"/>
      <c r="W691" s="2"/>
      <c r="X691" s="2"/>
      <c r="Y691" s="2"/>
      <c r="Z691" s="2"/>
    </row>
    <row r="692">
      <c r="A692" s="6">
        <f>IFERROR(__xludf.DUMMYFUNCTION("""COMPUTED_VALUE"""),45835.420219907406)</f>
        <v>45835.42022</v>
      </c>
      <c r="B692" s="2" t="str">
        <f>IFERROR(__xludf.DUMMYFUNCTION("""COMPUTED_VALUE"""),"June")</f>
        <v>June</v>
      </c>
      <c r="C692" s="3">
        <f>IFERROR(__xludf.DUMMYFUNCTION("""COMPUTED_VALUE"""),57550.0)</f>
        <v>57550</v>
      </c>
      <c r="D692" s="2" t="str">
        <f>IFERROR(__xludf.DUMMYFUNCTION("""COMPUTED_VALUE"""),"DB33")</f>
        <v>DB33</v>
      </c>
      <c r="E692" s="2" t="str">
        <f>IFERROR(__xludf.DUMMYFUNCTION("""COMPUTED_VALUE"""),"Imported from file Digizag.xlsx")</f>
        <v>Imported from file Digizag.xlsx</v>
      </c>
      <c r="F692" s="2" t="str">
        <f>IFERROR(__xludf.DUMMYFUNCTION("""COMPUTED_VALUE"""),"SSS748358")</f>
        <v>SSS748358</v>
      </c>
      <c r="G692" s="2" t="str">
        <f>IFERROR(__xludf.DUMMYFUNCTION("""COMPUTED_VALUE"""),"Kuwait")</f>
        <v>Kuwait</v>
      </c>
      <c r="H692" s="4">
        <f>IFERROR(__xludf.DUMMYFUNCTION("""COMPUTED_VALUE"""),6.45)</f>
        <v>6.45</v>
      </c>
      <c r="I692" s="3">
        <f>IFERROR(__xludf.DUMMYFUNCTION("""COMPUTED_VALUE"""),0.0)</f>
        <v>0</v>
      </c>
      <c r="J692" s="4">
        <f>IFERROR(__xludf.DUMMYFUNCTION("""COMPUTED_VALUE"""),0.645)</f>
        <v>0.645</v>
      </c>
      <c r="K692" s="2"/>
      <c r="L692" s="2" t="str">
        <f>IFERROR(__xludf.DUMMYFUNCTION("""COMPUTED_VALUE"""),"Delivered")</f>
        <v>Delivered</v>
      </c>
      <c r="M692" s="2" t="str">
        <f>IFERROR(__xludf.DUMMYFUNCTION("""COMPUTED_VALUE"""),"KD")</f>
        <v>KD</v>
      </c>
      <c r="N692" s="2" t="str">
        <f>IFERROR(__xludf.DUMMYFUNCTION("""COMPUTED_VALUE"""),"Credit, Debit, Knet")</f>
        <v>Credit, Debit, Knet</v>
      </c>
      <c r="O692" s="4">
        <f>IFERROR(__xludf.DUMMYFUNCTION("""COMPUTED_VALUE"""),0.0)</f>
        <v>0</v>
      </c>
      <c r="P692" s="2">
        <f>IFERROR(__xludf.DUMMYFUNCTION("""COMPUTED_VALUE"""),27.0)</f>
        <v>27</v>
      </c>
      <c r="Q692" s="2">
        <f>IFERROR(__xludf.DUMMYFUNCTION("""COMPUTED_VALUE"""),6.0)</f>
        <v>6</v>
      </c>
      <c r="R692" s="2">
        <f>IFERROR(__xludf.DUMMYFUNCTION("""COMPUTED_VALUE"""),2025.0)</f>
        <v>2025</v>
      </c>
      <c r="S692" s="2" t="str">
        <f>IFERROR(__xludf.DUMMYFUNCTION("""COMPUTED_VALUE"""),"Digizag")</f>
        <v>Digizag</v>
      </c>
      <c r="T692" s="2" t="str">
        <f>IFERROR(__xludf.DUMMYFUNCTION("""COMPUTED_VALUE"""),"Digizag")</f>
        <v>Digizag</v>
      </c>
      <c r="U692" s="5">
        <f>IFERROR(__xludf.DUMMYFUNCTION("""COMPUTED_VALUE"""),21.030999)</f>
        <v>21.030999</v>
      </c>
      <c r="V692" s="2"/>
      <c r="W692" s="2"/>
      <c r="X692" s="2"/>
      <c r="Y692" s="2"/>
      <c r="Z692" s="2"/>
    </row>
    <row r="693">
      <c r="A693" s="6">
        <f>IFERROR(__xludf.DUMMYFUNCTION("""COMPUTED_VALUE"""),45836.28873842592)</f>
        <v>45836.28874</v>
      </c>
      <c r="B693" s="2" t="str">
        <f>IFERROR(__xludf.DUMMYFUNCTION("""COMPUTED_VALUE"""),"June")</f>
        <v>June</v>
      </c>
      <c r="C693" s="3">
        <f>IFERROR(__xludf.DUMMYFUNCTION("""COMPUTED_VALUE"""),40529.0)</f>
        <v>40529</v>
      </c>
      <c r="D693" s="2" t="str">
        <f>IFERROR(__xludf.DUMMYFUNCTION("""COMPUTED_VALUE"""),"ZM22")</f>
        <v>ZM22</v>
      </c>
      <c r="E693" s="2" t="str">
        <f>IFERROR(__xludf.DUMMYFUNCTION("""COMPUTED_VALUE"""),"Imported from file Digizag.xlsx")</f>
        <v>Imported from file Digizag.xlsx</v>
      </c>
      <c r="F693" s="2" t="str">
        <f>IFERROR(__xludf.DUMMYFUNCTION("""COMPUTED_VALUE"""),"JSU283894")</f>
        <v>JSU283894</v>
      </c>
      <c r="G693" s="2" t="str">
        <f>IFERROR(__xludf.DUMMYFUNCTION("""COMPUTED_VALUE"""),"UAE")</f>
        <v>UAE</v>
      </c>
      <c r="H693" s="4">
        <f>IFERROR(__xludf.DUMMYFUNCTION("""COMPUTED_VALUE"""),2571.0)</f>
        <v>2571</v>
      </c>
      <c r="I693" s="3">
        <f>IFERROR(__xludf.DUMMYFUNCTION("""COMPUTED_VALUE"""),0.0)</f>
        <v>0</v>
      </c>
      <c r="J693" s="4">
        <f>IFERROR(__xludf.DUMMYFUNCTION("""COMPUTED_VALUE"""),257.1)</f>
        <v>257.1</v>
      </c>
      <c r="K693" s="2"/>
      <c r="L693" s="2" t="str">
        <f>IFERROR(__xludf.DUMMYFUNCTION("""COMPUTED_VALUE"""),"Delivered")</f>
        <v>Delivered</v>
      </c>
      <c r="M693" s="2" t="str">
        <f>IFERROR(__xludf.DUMMYFUNCTION("""COMPUTED_VALUE"""),"")</f>
        <v></v>
      </c>
      <c r="N693" s="2" t="str">
        <f>IFERROR(__xludf.DUMMYFUNCTION("""COMPUTED_VALUE"""),"Tamara: split in 3, interest-free")</f>
        <v>Tamara: split in 3, interest-free</v>
      </c>
      <c r="O693" s="4">
        <f>IFERROR(__xludf.DUMMYFUNCTION("""COMPUTED_VALUE"""),0.0)</f>
        <v>0</v>
      </c>
      <c r="P693" s="2">
        <f>IFERROR(__xludf.DUMMYFUNCTION("""COMPUTED_VALUE"""),28.0)</f>
        <v>28</v>
      </c>
      <c r="Q693" s="2">
        <f>IFERROR(__xludf.DUMMYFUNCTION("""COMPUTED_VALUE"""),6.0)</f>
        <v>6</v>
      </c>
      <c r="R693" s="2">
        <f>IFERROR(__xludf.DUMMYFUNCTION("""COMPUTED_VALUE"""),2025.0)</f>
        <v>2025</v>
      </c>
      <c r="S693" s="2" t="str">
        <f>IFERROR(__xludf.DUMMYFUNCTION("""COMPUTED_VALUE"""),"Digizag")</f>
        <v>Digizag</v>
      </c>
      <c r="T693" s="2" t="str">
        <f>IFERROR(__xludf.DUMMYFUNCTION("""COMPUTED_VALUE"""),"Digizag")</f>
        <v>Digizag</v>
      </c>
      <c r="U693" s="5">
        <f>IFERROR(__xludf.DUMMYFUNCTION("""COMPUTED_VALUE"""),700.068074538)</f>
        <v>700.0680745</v>
      </c>
      <c r="V693" s="2"/>
      <c r="W693" s="2"/>
      <c r="X693" s="2"/>
      <c r="Y693" s="2"/>
      <c r="Z693" s="2"/>
    </row>
    <row r="694">
      <c r="A694" s="6">
        <f>IFERROR(__xludf.DUMMYFUNCTION("""COMPUTED_VALUE"""),45836.342152777775)</f>
        <v>45836.34215</v>
      </c>
      <c r="B694" s="2" t="str">
        <f>IFERROR(__xludf.DUMMYFUNCTION("""COMPUTED_VALUE"""),"June")</f>
        <v>June</v>
      </c>
      <c r="C694" s="3">
        <f>IFERROR(__xludf.DUMMYFUNCTION("""COMPUTED_VALUE"""),36245.0)</f>
        <v>36245</v>
      </c>
      <c r="D694" s="2" t="str">
        <f>IFERROR(__xludf.DUMMYFUNCTION("""COMPUTED_VALUE"""),"ZM22")</f>
        <v>ZM22</v>
      </c>
      <c r="E694" s="2" t="str">
        <f>IFERROR(__xludf.DUMMYFUNCTION("""COMPUTED_VALUE"""),"Imported from file Digizag.xlsx")</f>
        <v>Imported from file Digizag.xlsx</v>
      </c>
      <c r="F694" s="2" t="str">
        <f>IFERROR(__xludf.DUMMYFUNCTION("""COMPUTED_VALUE"""),"USV415896")</f>
        <v>USV415896</v>
      </c>
      <c r="G694" s="2" t="str">
        <f>IFERROR(__xludf.DUMMYFUNCTION("""COMPUTED_VALUE"""),"UAE")</f>
        <v>UAE</v>
      </c>
      <c r="H694" s="4">
        <f>IFERROR(__xludf.DUMMYFUNCTION("""COMPUTED_VALUE"""),469.29)</f>
        <v>469.29</v>
      </c>
      <c r="I694" s="3">
        <f>IFERROR(__xludf.DUMMYFUNCTION("""COMPUTED_VALUE"""),0.0)</f>
        <v>0</v>
      </c>
      <c r="J694" s="4">
        <f>IFERROR(__xludf.DUMMYFUNCTION("""COMPUTED_VALUE"""),46.92)</f>
        <v>46.92</v>
      </c>
      <c r="K694" s="2"/>
      <c r="L694" s="2" t="str">
        <f>IFERROR(__xludf.DUMMYFUNCTION("""COMPUTED_VALUE"""),"Delivered")</f>
        <v>Delivered</v>
      </c>
      <c r="M694" s="2" t="str">
        <f>IFERROR(__xludf.DUMMYFUNCTION("""COMPUTED_VALUE"""),"")</f>
        <v></v>
      </c>
      <c r="N694" s="2" t="str">
        <f>IFERROR(__xludf.DUMMYFUNCTION("""COMPUTED_VALUE"""),"Credit, Debit , Apple Pay")</f>
        <v>Credit, Debit , Apple Pay</v>
      </c>
      <c r="O694" s="4">
        <f>IFERROR(__xludf.DUMMYFUNCTION("""COMPUTED_VALUE"""),0.0)</f>
        <v>0</v>
      </c>
      <c r="P694" s="2">
        <f>IFERROR(__xludf.DUMMYFUNCTION("""COMPUTED_VALUE"""),28.0)</f>
        <v>28</v>
      </c>
      <c r="Q694" s="2">
        <f>IFERROR(__xludf.DUMMYFUNCTION("""COMPUTED_VALUE"""),6.0)</f>
        <v>6</v>
      </c>
      <c r="R694" s="2">
        <f>IFERROR(__xludf.DUMMYFUNCTION("""COMPUTED_VALUE"""),2025.0)</f>
        <v>2025</v>
      </c>
      <c r="S694" s="2" t="str">
        <f>IFERROR(__xludf.DUMMYFUNCTION("""COMPUTED_VALUE"""),"Digizag")</f>
        <v>Digizag</v>
      </c>
      <c r="T694" s="2" t="str">
        <f>IFERROR(__xludf.DUMMYFUNCTION("""COMPUTED_VALUE"""),"Digizag")</f>
        <v>Digizag</v>
      </c>
      <c r="U694" s="5">
        <f>IFERROR(__xludf.DUMMYFUNCTION("""COMPUTED_VALUE"""),127.78488786462)</f>
        <v>127.7848879</v>
      </c>
      <c r="V694" s="2"/>
      <c r="W694" s="2"/>
      <c r="X694" s="2"/>
      <c r="Y694" s="2"/>
      <c r="Z694" s="2"/>
    </row>
    <row r="695">
      <c r="A695" s="6">
        <f>IFERROR(__xludf.DUMMYFUNCTION("""COMPUTED_VALUE"""),45836.781446759254)</f>
        <v>45836.78145</v>
      </c>
      <c r="B695" s="2" t="str">
        <f>IFERROR(__xludf.DUMMYFUNCTION("""COMPUTED_VALUE"""),"June")</f>
        <v>June</v>
      </c>
      <c r="C695" s="3">
        <f>IFERROR(__xludf.DUMMYFUNCTION("""COMPUTED_VALUE"""),708497.0)</f>
        <v>708497</v>
      </c>
      <c r="D695" s="2" t="str">
        <f>IFERROR(__xludf.DUMMYFUNCTION("""COMPUTED_VALUE"""),"JM")</f>
        <v>JM</v>
      </c>
      <c r="E695" s="2" t="str">
        <f>IFERROR(__xludf.DUMMYFUNCTION("""COMPUTED_VALUE"""),"Digizag")</f>
        <v>Digizag</v>
      </c>
      <c r="F695" s="2" t="str">
        <f>IFERROR(__xludf.DUMMYFUNCTION("""COMPUTED_VALUE"""),"WYC641986")</f>
        <v>WYC641986</v>
      </c>
      <c r="G695" s="2" t="str">
        <f>IFERROR(__xludf.DUMMYFUNCTION("""COMPUTED_VALUE"""),"Kuwait")</f>
        <v>Kuwait</v>
      </c>
      <c r="H695" s="4">
        <f>IFERROR(__xludf.DUMMYFUNCTION("""COMPUTED_VALUE"""),5.7)</f>
        <v>5.7</v>
      </c>
      <c r="I695" s="3">
        <f>IFERROR(__xludf.DUMMYFUNCTION("""COMPUTED_VALUE"""),0.0)</f>
        <v>0</v>
      </c>
      <c r="J695" s="4">
        <f>IFERROR(__xludf.DUMMYFUNCTION("""COMPUTED_VALUE"""),0.57)</f>
        <v>0.57</v>
      </c>
      <c r="K695" s="2"/>
      <c r="L695" s="2" t="str">
        <f>IFERROR(__xludf.DUMMYFUNCTION("""COMPUTED_VALUE"""),"Processing")</f>
        <v>Processing</v>
      </c>
      <c r="M695" s="2" t="str">
        <f>IFERROR(__xludf.DUMMYFUNCTION("""COMPUTED_VALUE"""),"KD")</f>
        <v>KD</v>
      </c>
      <c r="N695" s="2" t="str">
        <f>IFERROR(__xludf.DUMMYFUNCTION("""COMPUTED_VALUE"""),"Credit, Debit, Knet")</f>
        <v>Credit, Debit, Knet</v>
      </c>
      <c r="O695" s="4">
        <f>IFERROR(__xludf.DUMMYFUNCTION("""COMPUTED_VALUE"""),0.0)</f>
        <v>0</v>
      </c>
      <c r="P695" s="2">
        <f>IFERROR(__xludf.DUMMYFUNCTION("""COMPUTED_VALUE"""),28.0)</f>
        <v>28</v>
      </c>
      <c r="Q695" s="2">
        <f>IFERROR(__xludf.DUMMYFUNCTION("""COMPUTED_VALUE"""),6.0)</f>
        <v>6</v>
      </c>
      <c r="R695" s="2">
        <f>IFERROR(__xludf.DUMMYFUNCTION("""COMPUTED_VALUE"""),2025.0)</f>
        <v>2025</v>
      </c>
      <c r="S695" s="2" t="str">
        <f>IFERROR(__xludf.DUMMYFUNCTION("""COMPUTED_VALUE"""),"Digizag")</f>
        <v>Digizag</v>
      </c>
      <c r="T695" s="2" t="str">
        <f>IFERROR(__xludf.DUMMYFUNCTION("""COMPUTED_VALUE"""),"Digizag")</f>
        <v>Digizag</v>
      </c>
      <c r="U695" s="5">
        <f>IFERROR(__xludf.DUMMYFUNCTION("""COMPUTED_VALUE"""),18.585534)</f>
        <v>18.585534</v>
      </c>
      <c r="V695" s="2"/>
      <c r="W695" s="2"/>
      <c r="X695" s="2"/>
      <c r="Y695" s="2"/>
      <c r="Z695" s="2"/>
    </row>
    <row r="696">
      <c r="A696" s="6">
        <f>IFERROR(__xludf.DUMMYFUNCTION("""COMPUTED_VALUE"""),45836.78326388889)</f>
        <v>45836.78326</v>
      </c>
      <c r="B696" s="2" t="str">
        <f>IFERROR(__xludf.DUMMYFUNCTION("""COMPUTED_VALUE"""),"June")</f>
        <v>June</v>
      </c>
      <c r="C696" s="3">
        <f>IFERROR(__xludf.DUMMYFUNCTION("""COMPUTED_VALUE"""),394240.0)</f>
        <v>394240</v>
      </c>
      <c r="D696" s="2" t="str">
        <f>IFERROR(__xludf.DUMMYFUNCTION("""COMPUTED_VALUE"""),"RR22")</f>
        <v>RR22</v>
      </c>
      <c r="E696" s="2" t="str">
        <f>IFERROR(__xludf.DUMMYFUNCTION("""COMPUTED_VALUE"""),"Imported from file Digizag.xlsx")</f>
        <v>Imported from file Digizag.xlsx</v>
      </c>
      <c r="F696" s="2" t="str">
        <f>IFERROR(__xludf.DUMMYFUNCTION("""COMPUTED_VALUE"""),"HTS163517")</f>
        <v>HTS163517</v>
      </c>
      <c r="G696" s="2" t="str">
        <f>IFERROR(__xludf.DUMMYFUNCTION("""COMPUTED_VALUE"""),"UAE")</f>
        <v>UAE</v>
      </c>
      <c r="H696" s="4">
        <f>IFERROR(__xludf.DUMMYFUNCTION("""COMPUTED_VALUE"""),330.0)</f>
        <v>330</v>
      </c>
      <c r="I696" s="3">
        <f>IFERROR(__xludf.DUMMYFUNCTION("""COMPUTED_VALUE"""),0.0)</f>
        <v>0</v>
      </c>
      <c r="J696" s="4">
        <f>IFERROR(__xludf.DUMMYFUNCTION("""COMPUTED_VALUE"""),33.0)</f>
        <v>33</v>
      </c>
      <c r="K696" s="2"/>
      <c r="L696" s="2" t="str">
        <f>IFERROR(__xludf.DUMMYFUNCTION("""COMPUTED_VALUE"""),"Processing")</f>
        <v>Processing</v>
      </c>
      <c r="M696" s="2" t="str">
        <f>IFERROR(__xludf.DUMMYFUNCTION("""COMPUTED_VALUE"""),"")</f>
        <v></v>
      </c>
      <c r="N696" s="2" t="str">
        <f>IFERROR(__xludf.DUMMYFUNCTION("""COMPUTED_VALUE"""),"Credit, Debit , Apple Pay")</f>
        <v>Credit, Debit , Apple Pay</v>
      </c>
      <c r="O696" s="4">
        <f>IFERROR(__xludf.DUMMYFUNCTION("""COMPUTED_VALUE"""),0.0)</f>
        <v>0</v>
      </c>
      <c r="P696" s="2">
        <f>IFERROR(__xludf.DUMMYFUNCTION("""COMPUTED_VALUE"""),28.0)</f>
        <v>28</v>
      </c>
      <c r="Q696" s="2">
        <f>IFERROR(__xludf.DUMMYFUNCTION("""COMPUTED_VALUE"""),6.0)</f>
        <v>6</v>
      </c>
      <c r="R696" s="2">
        <f>IFERROR(__xludf.DUMMYFUNCTION("""COMPUTED_VALUE"""),2025.0)</f>
        <v>2025</v>
      </c>
      <c r="S696" s="2" t="str">
        <f>IFERROR(__xludf.DUMMYFUNCTION("""COMPUTED_VALUE"""),"Digizag")</f>
        <v>Digizag</v>
      </c>
      <c r="T696" s="2" t="str">
        <f>IFERROR(__xludf.DUMMYFUNCTION("""COMPUTED_VALUE"""),"Digizag")</f>
        <v>Digizag</v>
      </c>
      <c r="U696" s="5">
        <f>IFERROR(__xludf.DUMMYFUNCTION("""COMPUTED_VALUE"""),89.85704574)</f>
        <v>89.85704574</v>
      </c>
      <c r="V696" s="2"/>
      <c r="W696" s="2"/>
      <c r="X696" s="2"/>
      <c r="Y696" s="2"/>
      <c r="Z696" s="2"/>
    </row>
    <row r="697">
      <c r="A697" s="6">
        <f>IFERROR(__xludf.DUMMYFUNCTION("""COMPUTED_VALUE"""),45837.26020833333)</f>
        <v>45837.26021</v>
      </c>
      <c r="B697" s="2" t="str">
        <f>IFERROR(__xludf.DUMMYFUNCTION("""COMPUTED_VALUE"""),"June")</f>
        <v>June</v>
      </c>
      <c r="C697" s="3">
        <f>IFERROR(__xludf.DUMMYFUNCTION("""COMPUTED_VALUE"""),764724.0)</f>
        <v>764724</v>
      </c>
      <c r="D697" s="2" t="str">
        <f>IFERROR(__xludf.DUMMYFUNCTION("""COMPUTED_VALUE"""),"ZM22")</f>
        <v>ZM22</v>
      </c>
      <c r="E697" s="2" t="str">
        <f>IFERROR(__xludf.DUMMYFUNCTION("""COMPUTED_VALUE"""),"Imported from file Digizag.xlsx")</f>
        <v>Imported from file Digizag.xlsx</v>
      </c>
      <c r="F697" s="2" t="str">
        <f>IFERROR(__xludf.DUMMYFUNCTION("""COMPUTED_VALUE"""),"WJJ425816")</f>
        <v>WJJ425816</v>
      </c>
      <c r="G697" s="2" t="str">
        <f>IFERROR(__xludf.DUMMYFUNCTION("""COMPUTED_VALUE"""),"UAE")</f>
        <v>UAE</v>
      </c>
      <c r="H697" s="4">
        <f>IFERROR(__xludf.DUMMYFUNCTION("""COMPUTED_VALUE"""),871.9)</f>
        <v>871.9</v>
      </c>
      <c r="I697" s="3">
        <f>IFERROR(__xludf.DUMMYFUNCTION("""COMPUTED_VALUE"""),0.0)</f>
        <v>0</v>
      </c>
      <c r="J697" s="4">
        <f>IFERROR(__xludf.DUMMYFUNCTION("""COMPUTED_VALUE"""),87.19)</f>
        <v>87.19</v>
      </c>
      <c r="K697" s="2"/>
      <c r="L697" s="2" t="str">
        <f>IFERROR(__xludf.DUMMYFUNCTION("""COMPUTED_VALUE"""),"Delivered")</f>
        <v>Delivered</v>
      </c>
      <c r="M697" s="2" t="str">
        <f>IFERROR(__xludf.DUMMYFUNCTION("""COMPUTED_VALUE"""),"")</f>
        <v></v>
      </c>
      <c r="N697" s="2" t="str">
        <f>IFERROR(__xludf.DUMMYFUNCTION("""COMPUTED_VALUE"""),"Credit, Debit , Apple Pay")</f>
        <v>Credit, Debit , Apple Pay</v>
      </c>
      <c r="O697" s="4">
        <f>IFERROR(__xludf.DUMMYFUNCTION("""COMPUTED_VALUE"""),0.0)</f>
        <v>0</v>
      </c>
      <c r="P697" s="2">
        <f>IFERROR(__xludf.DUMMYFUNCTION("""COMPUTED_VALUE"""),29.0)</f>
        <v>29</v>
      </c>
      <c r="Q697" s="2">
        <f>IFERROR(__xludf.DUMMYFUNCTION("""COMPUTED_VALUE"""),6.0)</f>
        <v>6</v>
      </c>
      <c r="R697" s="2">
        <f>IFERROR(__xludf.DUMMYFUNCTION("""COMPUTED_VALUE"""),2025.0)</f>
        <v>2025</v>
      </c>
      <c r="S697" s="2" t="str">
        <f>IFERROR(__xludf.DUMMYFUNCTION("""COMPUTED_VALUE"""),"Digizag")</f>
        <v>Digizag</v>
      </c>
      <c r="T697" s="2" t="str">
        <f>IFERROR(__xludf.DUMMYFUNCTION("""COMPUTED_VALUE"""),"Digizag")</f>
        <v>Digizag</v>
      </c>
      <c r="U697" s="5">
        <f>IFERROR(__xludf.DUMMYFUNCTION("""COMPUTED_VALUE"""),237.4132066082)</f>
        <v>237.4132066</v>
      </c>
      <c r="V697" s="2"/>
      <c r="W697" s="2"/>
      <c r="X697" s="2"/>
      <c r="Y697" s="2"/>
      <c r="Z697" s="2"/>
    </row>
    <row r="698">
      <c r="A698" s="6">
        <f>IFERROR(__xludf.DUMMYFUNCTION("""COMPUTED_VALUE"""),45837.318819444445)</f>
        <v>45837.31882</v>
      </c>
      <c r="B698" s="2" t="str">
        <f>IFERROR(__xludf.DUMMYFUNCTION("""COMPUTED_VALUE"""),"June")</f>
        <v>June</v>
      </c>
      <c r="C698" s="3">
        <f>IFERROR(__xludf.DUMMYFUNCTION("""COMPUTED_VALUE"""),207902.0)</f>
        <v>207902</v>
      </c>
      <c r="D698" s="2" t="str">
        <f>IFERROR(__xludf.DUMMYFUNCTION("""COMPUTED_VALUE"""),"ZM22")</f>
        <v>ZM22</v>
      </c>
      <c r="E698" s="2" t="str">
        <f>IFERROR(__xludf.DUMMYFUNCTION("""COMPUTED_VALUE"""),"Imported from file Digizag.xlsx")</f>
        <v>Imported from file Digizag.xlsx</v>
      </c>
      <c r="F698" s="2" t="str">
        <f>IFERROR(__xludf.DUMMYFUNCTION("""COMPUTED_VALUE"""),"PLU382159")</f>
        <v>PLU382159</v>
      </c>
      <c r="G698" s="2" t="str">
        <f>IFERROR(__xludf.DUMMYFUNCTION("""COMPUTED_VALUE"""),"Kingdom of Saudi Arabia")</f>
        <v>Kingdom of Saudi Arabia</v>
      </c>
      <c r="H698" s="4">
        <f>IFERROR(__xludf.DUMMYFUNCTION("""COMPUTED_VALUE"""),504.35)</f>
        <v>504.35</v>
      </c>
      <c r="I698" s="3">
        <f>IFERROR(__xludf.DUMMYFUNCTION("""COMPUTED_VALUE"""),0.0)</f>
        <v>0</v>
      </c>
      <c r="J698" s="4">
        <f>IFERROR(__xludf.DUMMYFUNCTION("""COMPUTED_VALUE"""),30.0)</f>
        <v>30</v>
      </c>
      <c r="K698" s="2"/>
      <c r="L698" s="2" t="str">
        <f>IFERROR(__xludf.DUMMYFUNCTION("""COMPUTED_VALUE"""),"Delivered")</f>
        <v>Delivered</v>
      </c>
      <c r="M698" s="2" t="str">
        <f>IFERROR(__xludf.DUMMYFUNCTION("""COMPUTED_VALUE"""),"")</f>
        <v></v>
      </c>
      <c r="N698" s="2" t="str">
        <f>IFERROR(__xludf.DUMMYFUNCTION("""COMPUTED_VALUE"""),"Cash")</f>
        <v>Cash</v>
      </c>
      <c r="O698" s="4">
        <f>IFERROR(__xludf.DUMMYFUNCTION("""COMPUTED_VALUE"""),0.0)</f>
        <v>0</v>
      </c>
      <c r="P698" s="2">
        <f>IFERROR(__xludf.DUMMYFUNCTION("""COMPUTED_VALUE"""),29.0)</f>
        <v>29</v>
      </c>
      <c r="Q698" s="2">
        <f>IFERROR(__xludf.DUMMYFUNCTION("""COMPUTED_VALUE"""),6.0)</f>
        <v>6</v>
      </c>
      <c r="R698" s="2">
        <f>IFERROR(__xludf.DUMMYFUNCTION("""COMPUTED_VALUE"""),2025.0)</f>
        <v>2025</v>
      </c>
      <c r="S698" s="2" t="str">
        <f>IFERROR(__xludf.DUMMYFUNCTION("""COMPUTED_VALUE"""),"Digizag")</f>
        <v>Digizag</v>
      </c>
      <c r="T698" s="2" t="str">
        <f>IFERROR(__xludf.DUMMYFUNCTION("""COMPUTED_VALUE"""),"Digizag")</f>
        <v>Digizag</v>
      </c>
      <c r="U698" s="5">
        <f>IFERROR(__xludf.DUMMYFUNCTION("""COMPUTED_VALUE"""),134.48293330010003)</f>
        <v>134.4829333</v>
      </c>
      <c r="V698" s="2"/>
      <c r="W698" s="2"/>
      <c r="X698" s="2"/>
      <c r="Y698" s="2"/>
      <c r="Z698" s="2"/>
    </row>
    <row r="699">
      <c r="A699" s="6">
        <f>IFERROR(__xludf.DUMMYFUNCTION("""COMPUTED_VALUE"""),45838.11809027778)</f>
        <v>45838.11809</v>
      </c>
      <c r="B699" s="2" t="str">
        <f>IFERROR(__xludf.DUMMYFUNCTION("""COMPUTED_VALUE"""),"June")</f>
        <v>June</v>
      </c>
      <c r="C699" s="3">
        <f>IFERROR(__xludf.DUMMYFUNCTION("""COMPUTED_VALUE"""),615707.0)</f>
        <v>615707</v>
      </c>
      <c r="D699" s="2" t="str">
        <f>IFERROR(__xludf.DUMMYFUNCTION("""COMPUTED_VALUE"""),"RR22")</f>
        <v>RR22</v>
      </c>
      <c r="E699" s="2" t="str">
        <f>IFERROR(__xludf.DUMMYFUNCTION("""COMPUTED_VALUE"""),"Imported from file Digizag.xlsx")</f>
        <v>Imported from file Digizag.xlsx</v>
      </c>
      <c r="F699" s="2" t="str">
        <f>IFERROR(__xludf.DUMMYFUNCTION("""COMPUTED_VALUE"""),"SXC909253")</f>
        <v>SXC909253</v>
      </c>
      <c r="G699" s="2" t="str">
        <f>IFERROR(__xludf.DUMMYFUNCTION("""COMPUTED_VALUE"""),"UAE")</f>
        <v>UAE</v>
      </c>
      <c r="H699" s="4">
        <f>IFERROR(__xludf.DUMMYFUNCTION("""COMPUTED_VALUE"""),129.29)</f>
        <v>129.29</v>
      </c>
      <c r="I699" s="3">
        <f>IFERROR(__xludf.DUMMYFUNCTION("""COMPUTED_VALUE"""),0.0)</f>
        <v>0</v>
      </c>
      <c r="J699" s="4">
        <f>IFERROR(__xludf.DUMMYFUNCTION("""COMPUTED_VALUE"""),12.92)</f>
        <v>12.92</v>
      </c>
      <c r="K699" s="2"/>
      <c r="L699" s="2" t="str">
        <f>IFERROR(__xludf.DUMMYFUNCTION("""COMPUTED_VALUE"""),"Delivered")</f>
        <v>Delivered</v>
      </c>
      <c r="M699" s="2" t="str">
        <f>IFERROR(__xludf.DUMMYFUNCTION("""COMPUTED_VALUE"""),"")</f>
        <v></v>
      </c>
      <c r="N699" s="2" t="str">
        <f>IFERROR(__xludf.DUMMYFUNCTION("""COMPUTED_VALUE"""),"Credit, Debit , Apple Pay")</f>
        <v>Credit, Debit , Apple Pay</v>
      </c>
      <c r="O699" s="4">
        <f>IFERROR(__xludf.DUMMYFUNCTION("""COMPUTED_VALUE"""),0.0)</f>
        <v>0</v>
      </c>
      <c r="P699" s="2">
        <f>IFERROR(__xludf.DUMMYFUNCTION("""COMPUTED_VALUE"""),30.0)</f>
        <v>30</v>
      </c>
      <c r="Q699" s="2">
        <f>IFERROR(__xludf.DUMMYFUNCTION("""COMPUTED_VALUE"""),6.0)</f>
        <v>6</v>
      </c>
      <c r="R699" s="2">
        <f>IFERROR(__xludf.DUMMYFUNCTION("""COMPUTED_VALUE"""),2025.0)</f>
        <v>2025</v>
      </c>
      <c r="S699" s="2" t="str">
        <f>IFERROR(__xludf.DUMMYFUNCTION("""COMPUTED_VALUE"""),"Digizag")</f>
        <v>Digizag</v>
      </c>
      <c r="T699" s="2" t="str">
        <f>IFERROR(__xludf.DUMMYFUNCTION("""COMPUTED_VALUE"""),"Digizag")</f>
        <v>Digizag</v>
      </c>
      <c r="U699" s="5">
        <f>IFERROR(__xludf.DUMMYFUNCTION("""COMPUTED_VALUE"""),35.20490134462)</f>
        <v>35.20490134</v>
      </c>
      <c r="V699" s="2"/>
      <c r="W699" s="2"/>
      <c r="X699" s="2"/>
      <c r="Y699" s="2"/>
      <c r="Z699" s="2"/>
    </row>
    <row r="700">
      <c r="A700" s="6">
        <f>IFERROR(__xludf.DUMMYFUNCTION("""COMPUTED_VALUE"""),45838.50028935185)</f>
        <v>45838.50029</v>
      </c>
      <c r="B700" s="2" t="str">
        <f>IFERROR(__xludf.DUMMYFUNCTION("""COMPUTED_VALUE"""),"June")</f>
        <v>June</v>
      </c>
      <c r="C700" s="3">
        <f>IFERROR(__xludf.DUMMYFUNCTION("""COMPUTED_VALUE"""),14830.0)</f>
        <v>14830</v>
      </c>
      <c r="D700" s="2" t="str">
        <f>IFERROR(__xludf.DUMMYFUNCTION("""COMPUTED_VALUE"""),"ZM22")</f>
        <v>ZM22</v>
      </c>
      <c r="E700" s="2" t="str">
        <f>IFERROR(__xludf.DUMMYFUNCTION("""COMPUTED_VALUE"""),"Imported from file Digizag.xlsx")</f>
        <v>Imported from file Digizag.xlsx</v>
      </c>
      <c r="F700" s="2" t="str">
        <f>IFERROR(__xludf.DUMMYFUNCTION("""COMPUTED_VALUE"""),"KPP195372")</f>
        <v>KPP195372</v>
      </c>
      <c r="G700" s="2" t="str">
        <f>IFERROR(__xludf.DUMMYFUNCTION("""COMPUTED_VALUE"""),"UAE")</f>
        <v>UAE</v>
      </c>
      <c r="H700" s="4">
        <f>IFERROR(__xludf.DUMMYFUNCTION("""COMPUTED_VALUE"""),189.0)</f>
        <v>189</v>
      </c>
      <c r="I700" s="3">
        <f>IFERROR(__xludf.DUMMYFUNCTION("""COMPUTED_VALUE"""),0.0)</f>
        <v>0</v>
      </c>
      <c r="J700" s="4">
        <f>IFERROR(__xludf.DUMMYFUNCTION("""COMPUTED_VALUE"""),18.9)</f>
        <v>18.9</v>
      </c>
      <c r="K700" s="2"/>
      <c r="L700" s="2" t="str">
        <f>IFERROR(__xludf.DUMMYFUNCTION("""COMPUTED_VALUE"""),"Delivered")</f>
        <v>Delivered</v>
      </c>
      <c r="M700" s="2" t="str">
        <f>IFERROR(__xludf.DUMMYFUNCTION("""COMPUTED_VALUE"""),"")</f>
        <v></v>
      </c>
      <c r="N700" s="2" t="str">
        <f>IFERROR(__xludf.DUMMYFUNCTION("""COMPUTED_VALUE"""),"Credit, Debit , Apple Pay")</f>
        <v>Credit, Debit , Apple Pay</v>
      </c>
      <c r="O700" s="4">
        <f>IFERROR(__xludf.DUMMYFUNCTION("""COMPUTED_VALUE"""),0.0)</f>
        <v>0</v>
      </c>
      <c r="P700" s="2">
        <f>IFERROR(__xludf.DUMMYFUNCTION("""COMPUTED_VALUE"""),30.0)</f>
        <v>30</v>
      </c>
      <c r="Q700" s="2">
        <f>IFERROR(__xludf.DUMMYFUNCTION("""COMPUTED_VALUE"""),6.0)</f>
        <v>6</v>
      </c>
      <c r="R700" s="2">
        <f>IFERROR(__xludf.DUMMYFUNCTION("""COMPUTED_VALUE"""),2025.0)</f>
        <v>2025</v>
      </c>
      <c r="S700" s="2" t="str">
        <f>IFERROR(__xludf.DUMMYFUNCTION("""COMPUTED_VALUE"""),"Digizag")</f>
        <v>Digizag</v>
      </c>
      <c r="T700" s="2" t="str">
        <f>IFERROR(__xludf.DUMMYFUNCTION("""COMPUTED_VALUE"""),"Digizag")</f>
        <v>Digizag</v>
      </c>
      <c r="U700" s="5">
        <f>IFERROR(__xludf.DUMMYFUNCTION("""COMPUTED_VALUE"""),51.463580742)</f>
        <v>51.46358074</v>
      </c>
      <c r="V700" s="2"/>
      <c r="W700" s="2"/>
      <c r="X700" s="2"/>
      <c r="Y700" s="2"/>
      <c r="Z700" s="2"/>
    </row>
    <row r="701">
      <c r="A701" s="6">
        <f>IFERROR(__xludf.DUMMYFUNCTION("""COMPUTED_VALUE"""),45838.533171296294)</f>
        <v>45838.53317</v>
      </c>
      <c r="B701" s="2" t="str">
        <f>IFERROR(__xludf.DUMMYFUNCTION("""COMPUTED_VALUE"""),"June")</f>
        <v>June</v>
      </c>
      <c r="C701" s="3">
        <f>IFERROR(__xludf.DUMMYFUNCTION("""COMPUTED_VALUE"""),228258.0)</f>
        <v>228258</v>
      </c>
      <c r="D701" s="2" t="str">
        <f>IFERROR(__xludf.DUMMYFUNCTION("""COMPUTED_VALUE"""),"JM")</f>
        <v>JM</v>
      </c>
      <c r="E701" s="2" t="str">
        <f>IFERROR(__xludf.DUMMYFUNCTION("""COMPUTED_VALUE"""),"DigiZag")</f>
        <v>DigiZag</v>
      </c>
      <c r="F701" s="2" t="str">
        <f>IFERROR(__xludf.DUMMYFUNCTION("""COMPUTED_VALUE"""),"WQB560931")</f>
        <v>WQB560931</v>
      </c>
      <c r="G701" s="2" t="str">
        <f>IFERROR(__xludf.DUMMYFUNCTION("""COMPUTED_VALUE"""),"Bahrain")</f>
        <v>Bahrain</v>
      </c>
      <c r="H701" s="4">
        <f>IFERROR(__xludf.DUMMYFUNCTION("""COMPUTED_VALUE"""),33.74)</f>
        <v>33.74</v>
      </c>
      <c r="I701" s="3">
        <f>IFERROR(__xludf.DUMMYFUNCTION("""COMPUTED_VALUE"""),0.0)</f>
        <v>0</v>
      </c>
      <c r="J701" s="4">
        <f>IFERROR(__xludf.DUMMYFUNCTION("""COMPUTED_VALUE"""),3.37)</f>
        <v>3.37</v>
      </c>
      <c r="K701" s="2"/>
      <c r="L701" s="2" t="str">
        <f>IFERROR(__xludf.DUMMYFUNCTION("""COMPUTED_VALUE"""),"Delivered")</f>
        <v>Delivered</v>
      </c>
      <c r="M701" s="2" t="str">
        <f>IFERROR(__xludf.DUMMYFUNCTION("""COMPUTED_VALUE"""),"BHD")</f>
        <v>BHD</v>
      </c>
      <c r="N701" s="2" t="str">
        <f>IFERROR(__xludf.DUMMYFUNCTION("""COMPUTED_VALUE"""),"Credit, Debit")</f>
        <v>Credit, Debit</v>
      </c>
      <c r="O701" s="4">
        <f>IFERROR(__xludf.DUMMYFUNCTION("""COMPUTED_VALUE"""),0.0)</f>
        <v>0</v>
      </c>
      <c r="P701" s="2">
        <f>IFERROR(__xludf.DUMMYFUNCTION("""COMPUTED_VALUE"""),30.0)</f>
        <v>30</v>
      </c>
      <c r="Q701" s="2">
        <f>IFERROR(__xludf.DUMMYFUNCTION("""COMPUTED_VALUE"""),6.0)</f>
        <v>6</v>
      </c>
      <c r="R701" s="2">
        <f>IFERROR(__xludf.DUMMYFUNCTION("""COMPUTED_VALUE"""),2025.0)</f>
        <v>2025</v>
      </c>
      <c r="S701" s="2" t="str">
        <f>IFERROR(__xludf.DUMMYFUNCTION("""COMPUTED_VALUE"""),"Digizag")</f>
        <v>Digizag</v>
      </c>
      <c r="T701" s="2" t="str">
        <f>IFERROR(__xludf.DUMMYFUNCTION("""COMPUTED_VALUE"""),"Digizag")</f>
        <v>Digizag</v>
      </c>
      <c r="U701" s="5">
        <f>IFERROR(__xludf.DUMMYFUNCTION("""COMPUTED_VALUE"""),89.50941958)</f>
        <v>89.50941958</v>
      </c>
      <c r="V701" s="2"/>
      <c r="W701" s="2"/>
      <c r="X701" s="2"/>
      <c r="Y701" s="2"/>
      <c r="Z701" s="2"/>
    </row>
    <row r="702">
      <c r="A702" s="6">
        <f>IFERROR(__xludf.DUMMYFUNCTION("""COMPUTED_VALUE"""),45838.647835648146)</f>
        <v>45838.64784</v>
      </c>
      <c r="B702" s="2" t="str">
        <f>IFERROR(__xludf.DUMMYFUNCTION("""COMPUTED_VALUE"""),"June")</f>
        <v>June</v>
      </c>
      <c r="C702" s="3">
        <f>IFERROR(__xludf.DUMMYFUNCTION("""COMPUTED_VALUE"""),765465.0)</f>
        <v>765465</v>
      </c>
      <c r="D702" s="2" t="str">
        <f>IFERROR(__xludf.DUMMYFUNCTION("""COMPUTED_VALUE"""),"JM")</f>
        <v>JM</v>
      </c>
      <c r="E702" s="2" t="str">
        <f>IFERROR(__xludf.DUMMYFUNCTION("""COMPUTED_VALUE"""),"Digizag")</f>
        <v>Digizag</v>
      </c>
      <c r="F702" s="2" t="str">
        <f>IFERROR(__xludf.DUMMYFUNCTION("""COMPUTED_VALUE"""),"WYU202562")</f>
        <v>WYU202562</v>
      </c>
      <c r="G702" s="2" t="str">
        <f>IFERROR(__xludf.DUMMYFUNCTION("""COMPUTED_VALUE"""),"Kuwait")</f>
        <v>Kuwait</v>
      </c>
      <c r="H702" s="4">
        <f>IFERROR(__xludf.DUMMYFUNCTION("""COMPUTED_VALUE"""),14.2)</f>
        <v>14.2</v>
      </c>
      <c r="I702" s="3">
        <f>IFERROR(__xludf.DUMMYFUNCTION("""COMPUTED_VALUE"""),0.0)</f>
        <v>0</v>
      </c>
      <c r="J702" s="4">
        <f>IFERROR(__xludf.DUMMYFUNCTION("""COMPUTED_VALUE"""),1.42)</f>
        <v>1.42</v>
      </c>
      <c r="K702" s="2"/>
      <c r="L702" s="2" t="str">
        <f>IFERROR(__xludf.DUMMYFUNCTION("""COMPUTED_VALUE"""),"Delivered")</f>
        <v>Delivered</v>
      </c>
      <c r="M702" s="2" t="str">
        <f>IFERROR(__xludf.DUMMYFUNCTION("""COMPUTED_VALUE"""),"KD")</f>
        <v>KD</v>
      </c>
      <c r="N702" s="2" t="str">
        <f>IFERROR(__xludf.DUMMYFUNCTION("""COMPUTED_VALUE"""),"Credit, Debit, Knet")</f>
        <v>Credit, Debit, Knet</v>
      </c>
      <c r="O702" s="4">
        <f>IFERROR(__xludf.DUMMYFUNCTION("""COMPUTED_VALUE"""),0.0)</f>
        <v>0</v>
      </c>
      <c r="P702" s="2">
        <f>IFERROR(__xludf.DUMMYFUNCTION("""COMPUTED_VALUE"""),30.0)</f>
        <v>30</v>
      </c>
      <c r="Q702" s="2">
        <f>IFERROR(__xludf.DUMMYFUNCTION("""COMPUTED_VALUE"""),6.0)</f>
        <v>6</v>
      </c>
      <c r="R702" s="2">
        <f>IFERROR(__xludf.DUMMYFUNCTION("""COMPUTED_VALUE"""),2025.0)</f>
        <v>2025</v>
      </c>
      <c r="S702" s="2" t="str">
        <f>IFERROR(__xludf.DUMMYFUNCTION("""COMPUTED_VALUE"""),"Digizag")</f>
        <v>Digizag</v>
      </c>
      <c r="T702" s="2" t="str">
        <f>IFERROR(__xludf.DUMMYFUNCTION("""COMPUTED_VALUE"""),"Digizag")</f>
        <v>Digizag</v>
      </c>
      <c r="U702" s="5">
        <f>IFERROR(__xludf.DUMMYFUNCTION("""COMPUTED_VALUE"""),46.30080399999999)</f>
        <v>46.300804</v>
      </c>
      <c r="V702" s="2"/>
      <c r="W702" s="2"/>
      <c r="X702" s="2"/>
      <c r="Y702" s="2"/>
      <c r="Z702" s="2"/>
    </row>
    <row r="703">
      <c r="A703" s="6">
        <f>IFERROR(__xludf.DUMMYFUNCTION("""COMPUTED_VALUE"""),45838.67525462963)</f>
        <v>45838.67525</v>
      </c>
      <c r="B703" s="2" t="str">
        <f>IFERROR(__xludf.DUMMYFUNCTION("""COMPUTED_VALUE"""),"June")</f>
        <v>June</v>
      </c>
      <c r="C703" s="3">
        <f>IFERROR(__xludf.DUMMYFUNCTION("""COMPUTED_VALUE"""),99891.0)</f>
        <v>99891</v>
      </c>
      <c r="D703" s="2" t="str">
        <f>IFERROR(__xludf.DUMMYFUNCTION("""COMPUTED_VALUE"""),"ZM22")</f>
        <v>ZM22</v>
      </c>
      <c r="E703" s="2" t="str">
        <f>IFERROR(__xludf.DUMMYFUNCTION("""COMPUTED_VALUE"""),"Imported from file Digizag.xlsx")</f>
        <v>Imported from file Digizag.xlsx</v>
      </c>
      <c r="F703" s="2" t="str">
        <f>IFERROR(__xludf.DUMMYFUNCTION("""COMPUTED_VALUE"""),"TJL934540")</f>
        <v>TJL934540</v>
      </c>
      <c r="G703" s="2" t="str">
        <f>IFERROR(__xludf.DUMMYFUNCTION("""COMPUTED_VALUE"""),"UAE")</f>
        <v>UAE</v>
      </c>
      <c r="H703" s="4">
        <f>IFERROR(__xludf.DUMMYFUNCTION("""COMPUTED_VALUE"""),259.0)</f>
        <v>259</v>
      </c>
      <c r="I703" s="3">
        <f>IFERROR(__xludf.DUMMYFUNCTION("""COMPUTED_VALUE"""),0.0)</f>
        <v>0</v>
      </c>
      <c r="J703" s="4">
        <f>IFERROR(__xludf.DUMMYFUNCTION("""COMPUTED_VALUE"""),25.9)</f>
        <v>25.9</v>
      </c>
      <c r="K703" s="2"/>
      <c r="L703" s="2" t="str">
        <f>IFERROR(__xludf.DUMMYFUNCTION("""COMPUTED_VALUE"""),"Delivered")</f>
        <v>Delivered</v>
      </c>
      <c r="M703" s="2" t="str">
        <f>IFERROR(__xludf.DUMMYFUNCTION("""COMPUTED_VALUE"""),"")</f>
        <v></v>
      </c>
      <c r="N703" s="2" t="str">
        <f>IFERROR(__xludf.DUMMYFUNCTION("""COMPUTED_VALUE"""),"Credit, Debit , Apple Pay")</f>
        <v>Credit, Debit , Apple Pay</v>
      </c>
      <c r="O703" s="4">
        <f>IFERROR(__xludf.DUMMYFUNCTION("""COMPUTED_VALUE"""),0.0)</f>
        <v>0</v>
      </c>
      <c r="P703" s="2">
        <f>IFERROR(__xludf.DUMMYFUNCTION("""COMPUTED_VALUE"""),30.0)</f>
        <v>30</v>
      </c>
      <c r="Q703" s="2">
        <f>IFERROR(__xludf.DUMMYFUNCTION("""COMPUTED_VALUE"""),6.0)</f>
        <v>6</v>
      </c>
      <c r="R703" s="2">
        <f>IFERROR(__xludf.DUMMYFUNCTION("""COMPUTED_VALUE"""),2025.0)</f>
        <v>2025</v>
      </c>
      <c r="S703" s="2" t="str">
        <f>IFERROR(__xludf.DUMMYFUNCTION("""COMPUTED_VALUE"""),"Digizag")</f>
        <v>Digizag</v>
      </c>
      <c r="T703" s="2" t="str">
        <f>IFERROR(__xludf.DUMMYFUNCTION("""COMPUTED_VALUE"""),"Digizag")</f>
        <v>Digizag</v>
      </c>
      <c r="U703" s="5">
        <f>IFERROR(__xludf.DUMMYFUNCTION("""COMPUTED_VALUE"""),70.524166202)</f>
        <v>70.5241662</v>
      </c>
      <c r="V703" s="2"/>
      <c r="W703" s="2"/>
      <c r="X703" s="2"/>
      <c r="Y703" s="2"/>
      <c r="Z703" s="2"/>
    </row>
    <row r="704">
      <c r="A704" s="6">
        <f>IFERROR(__xludf.DUMMYFUNCTION("""COMPUTED_VALUE"""),45838.996099537035)</f>
        <v>45838.9961</v>
      </c>
      <c r="B704" s="2" t="str">
        <f>IFERROR(__xludf.DUMMYFUNCTION("""COMPUTED_VALUE"""),"June")</f>
        <v>June</v>
      </c>
      <c r="C704" s="3">
        <f>IFERROR(__xludf.DUMMYFUNCTION("""COMPUTED_VALUE"""),765663.0)</f>
        <v>765663</v>
      </c>
      <c r="D704" s="2" t="str">
        <f>IFERROR(__xludf.DUMMYFUNCTION("""COMPUTED_VALUE"""),"MNN16")</f>
        <v>MNN16</v>
      </c>
      <c r="E704" s="2" t="str">
        <f>IFERROR(__xludf.DUMMYFUNCTION("""COMPUTED_VALUE"""),"Imported from file DigiZag Codes 25Feb25.xlsx")</f>
        <v>Imported from file DigiZag Codes 25Feb25.xlsx</v>
      </c>
      <c r="F704" s="2" t="str">
        <f>IFERROR(__xludf.DUMMYFUNCTION("""COMPUTED_VALUE"""),"VVJ201907")</f>
        <v>VVJ201907</v>
      </c>
      <c r="G704" s="2" t="str">
        <f>IFERROR(__xludf.DUMMYFUNCTION("""COMPUTED_VALUE"""),"UAE")</f>
        <v>UAE</v>
      </c>
      <c r="H704" s="4">
        <f>IFERROR(__xludf.DUMMYFUNCTION("""COMPUTED_VALUE"""),26.0)</f>
        <v>26</v>
      </c>
      <c r="I704" s="3">
        <f>IFERROR(__xludf.DUMMYFUNCTION("""COMPUTED_VALUE"""),0.0)</f>
        <v>0</v>
      </c>
      <c r="J704" s="4">
        <f>IFERROR(__xludf.DUMMYFUNCTION("""COMPUTED_VALUE"""),2.6)</f>
        <v>2.6</v>
      </c>
      <c r="K704" s="2"/>
      <c r="L704" s="2" t="str">
        <f>IFERROR(__xludf.DUMMYFUNCTION("""COMPUTED_VALUE"""),"Delivered")</f>
        <v>Delivered</v>
      </c>
      <c r="M704" s="2" t="str">
        <f>IFERROR(__xludf.DUMMYFUNCTION("""COMPUTED_VALUE"""),"")</f>
        <v></v>
      </c>
      <c r="N704" s="2" t="str">
        <f>IFERROR(__xludf.DUMMYFUNCTION("""COMPUTED_VALUE"""),"Credit, Debit , Apple Pay")</f>
        <v>Credit, Debit , Apple Pay</v>
      </c>
      <c r="O704" s="4">
        <f>IFERROR(__xludf.DUMMYFUNCTION("""COMPUTED_VALUE"""),0.0)</f>
        <v>0</v>
      </c>
      <c r="P704" s="2">
        <f>IFERROR(__xludf.DUMMYFUNCTION("""COMPUTED_VALUE"""),30.0)</f>
        <v>30</v>
      </c>
      <c r="Q704" s="2">
        <f>IFERROR(__xludf.DUMMYFUNCTION("""COMPUTED_VALUE"""),6.0)</f>
        <v>6</v>
      </c>
      <c r="R704" s="2">
        <f>IFERROR(__xludf.DUMMYFUNCTION("""COMPUTED_VALUE"""),2025.0)</f>
        <v>2025</v>
      </c>
      <c r="S704" s="2" t="str">
        <f>IFERROR(__xludf.DUMMYFUNCTION("""COMPUTED_VALUE"""),"Digizag")</f>
        <v>Digizag</v>
      </c>
      <c r="T704" s="2" t="str">
        <f>IFERROR(__xludf.DUMMYFUNCTION("""COMPUTED_VALUE"""),"Digizag")</f>
        <v>Digizag</v>
      </c>
      <c r="U704" s="5">
        <f>IFERROR(__xludf.DUMMYFUNCTION("""COMPUTED_VALUE"""),7.079646028)</f>
        <v>7.079646028</v>
      </c>
      <c r="V704" s="2"/>
      <c r="W704" s="2"/>
      <c r="X704" s="2"/>
      <c r="Y704" s="2"/>
      <c r="Z704" s="2"/>
    </row>
    <row r="705">
      <c r="A705" s="6">
        <f>IFERROR(__xludf.DUMMYFUNCTION("""COMPUTED_VALUE"""),45839.22065972222)</f>
        <v>45839.22066</v>
      </c>
      <c r="B705" s="2" t="str">
        <f>IFERROR(__xludf.DUMMYFUNCTION("""COMPUTED_VALUE"""),"July")</f>
        <v>July</v>
      </c>
      <c r="C705" s="3">
        <f>IFERROR(__xludf.DUMMYFUNCTION("""COMPUTED_VALUE"""),158867.0)</f>
        <v>158867</v>
      </c>
      <c r="D705" s="2" t="str">
        <f>IFERROR(__xludf.DUMMYFUNCTION("""COMPUTED_VALUE"""),"ZM22")</f>
        <v>ZM22</v>
      </c>
      <c r="E705" s="2" t="str">
        <f>IFERROR(__xludf.DUMMYFUNCTION("""COMPUTED_VALUE"""),"Imported from file Digizag.xlsx")</f>
        <v>Imported from file Digizag.xlsx</v>
      </c>
      <c r="F705" s="2" t="str">
        <f>IFERROR(__xludf.DUMMYFUNCTION("""COMPUTED_VALUE"""),"VPK189419")</f>
        <v>VPK189419</v>
      </c>
      <c r="G705" s="2" t="str">
        <f>IFERROR(__xludf.DUMMYFUNCTION("""COMPUTED_VALUE"""),"UAE")</f>
        <v>UAE</v>
      </c>
      <c r="H705" s="4">
        <f>IFERROR(__xludf.DUMMYFUNCTION("""COMPUTED_VALUE"""),49.55)</f>
        <v>49.55</v>
      </c>
      <c r="I705" s="3">
        <f>IFERROR(__xludf.DUMMYFUNCTION("""COMPUTED_VALUE"""),0.0)</f>
        <v>0</v>
      </c>
      <c r="J705" s="4">
        <f>IFERROR(__xludf.DUMMYFUNCTION("""COMPUTED_VALUE"""),4.95)</f>
        <v>4.95</v>
      </c>
      <c r="K705" s="2"/>
      <c r="L705" s="2" t="str">
        <f>IFERROR(__xludf.DUMMYFUNCTION("""COMPUTED_VALUE"""),"Delivered")</f>
        <v>Delivered</v>
      </c>
      <c r="M705" s="2" t="str">
        <f>IFERROR(__xludf.DUMMYFUNCTION("""COMPUTED_VALUE"""),"")</f>
        <v></v>
      </c>
      <c r="N705" s="2" t="str">
        <f>IFERROR(__xludf.DUMMYFUNCTION("""COMPUTED_VALUE"""),"Cash")</f>
        <v>Cash</v>
      </c>
      <c r="O705" s="4">
        <f>IFERROR(__xludf.DUMMYFUNCTION("""COMPUTED_VALUE"""),0.0)</f>
        <v>0</v>
      </c>
      <c r="P705" s="2">
        <f>IFERROR(__xludf.DUMMYFUNCTION("""COMPUTED_VALUE"""),1.0)</f>
        <v>1</v>
      </c>
      <c r="Q705" s="2">
        <f>IFERROR(__xludf.DUMMYFUNCTION("""COMPUTED_VALUE"""),7.0)</f>
        <v>7</v>
      </c>
      <c r="R705" s="2">
        <f>IFERROR(__xludf.DUMMYFUNCTION("""COMPUTED_VALUE"""),2025.0)</f>
        <v>2025</v>
      </c>
      <c r="S705" s="2" t="str">
        <f>IFERROR(__xludf.DUMMYFUNCTION("""COMPUTED_VALUE"""),"Digizag")</f>
        <v>Digizag</v>
      </c>
      <c r="T705" s="2" t="str">
        <f>IFERROR(__xludf.DUMMYFUNCTION("""COMPUTED_VALUE"""),"Digizag")</f>
        <v>Digizag</v>
      </c>
      <c r="U705" s="5">
        <f>IFERROR(__xludf.DUMMYFUNCTION("""COMPUTED_VALUE"""),13.4921715649)</f>
        <v>13.49217156</v>
      </c>
      <c r="V705" s="2"/>
      <c r="W705" s="2"/>
      <c r="X705" s="2"/>
      <c r="Y705" s="2"/>
      <c r="Z705" s="2"/>
    </row>
    <row r="706">
      <c r="A706" s="6">
        <f>IFERROR(__xludf.DUMMYFUNCTION("""COMPUTED_VALUE"""),45839.22949074074)</f>
        <v>45839.22949</v>
      </c>
      <c r="B706" s="2" t="str">
        <f>IFERROR(__xludf.DUMMYFUNCTION("""COMPUTED_VALUE"""),"July")</f>
        <v>July</v>
      </c>
      <c r="C706" s="3">
        <f>IFERROR(__xludf.DUMMYFUNCTION("""COMPUTED_VALUE"""),488222.0)</f>
        <v>488222</v>
      </c>
      <c r="D706" s="2" t="str">
        <f>IFERROR(__xludf.DUMMYFUNCTION("""COMPUTED_VALUE"""),"JM")</f>
        <v>JM</v>
      </c>
      <c r="E706" s="2" t="str">
        <f>IFERROR(__xludf.DUMMYFUNCTION("""COMPUTED_VALUE"""),"DigiZag")</f>
        <v>DigiZag</v>
      </c>
      <c r="F706" s="2" t="str">
        <f>IFERROR(__xludf.DUMMYFUNCTION("""COMPUTED_VALUE"""),"CWT894362")</f>
        <v>CWT894362</v>
      </c>
      <c r="G706" s="2" t="str">
        <f>IFERROR(__xludf.DUMMYFUNCTION("""COMPUTED_VALUE"""),"Bahrain")</f>
        <v>Bahrain</v>
      </c>
      <c r="H706" s="4">
        <f>IFERROR(__xludf.DUMMYFUNCTION("""COMPUTED_VALUE"""),8.2)</f>
        <v>8.2</v>
      </c>
      <c r="I706" s="3">
        <f>IFERROR(__xludf.DUMMYFUNCTION("""COMPUTED_VALUE"""),0.0)</f>
        <v>0</v>
      </c>
      <c r="J706" s="4">
        <f>IFERROR(__xludf.DUMMYFUNCTION("""COMPUTED_VALUE"""),0.82)</f>
        <v>0.82</v>
      </c>
      <c r="K706" s="2"/>
      <c r="L706" s="2" t="str">
        <f>IFERROR(__xludf.DUMMYFUNCTION("""COMPUTED_VALUE"""),"Delivered")</f>
        <v>Delivered</v>
      </c>
      <c r="M706" s="2" t="str">
        <f>IFERROR(__xludf.DUMMYFUNCTION("""COMPUTED_VALUE"""),"BHD")</f>
        <v>BHD</v>
      </c>
      <c r="N706" s="2" t="str">
        <f>IFERROR(__xludf.DUMMYFUNCTION("""COMPUTED_VALUE"""),"Credit, Debit")</f>
        <v>Credit, Debit</v>
      </c>
      <c r="O706" s="4">
        <f>IFERROR(__xludf.DUMMYFUNCTION("""COMPUTED_VALUE"""),0.0)</f>
        <v>0</v>
      </c>
      <c r="P706" s="2">
        <f>IFERROR(__xludf.DUMMYFUNCTION("""COMPUTED_VALUE"""),1.0)</f>
        <v>1</v>
      </c>
      <c r="Q706" s="2">
        <f>IFERROR(__xludf.DUMMYFUNCTION("""COMPUTED_VALUE"""),7.0)</f>
        <v>7</v>
      </c>
      <c r="R706" s="2">
        <f>IFERROR(__xludf.DUMMYFUNCTION("""COMPUTED_VALUE"""),2025.0)</f>
        <v>2025</v>
      </c>
      <c r="S706" s="2" t="str">
        <f>IFERROR(__xludf.DUMMYFUNCTION("""COMPUTED_VALUE"""),"Digizag")</f>
        <v>Digizag</v>
      </c>
      <c r="T706" s="2" t="str">
        <f>IFERROR(__xludf.DUMMYFUNCTION("""COMPUTED_VALUE"""),"Digizag")</f>
        <v>Digizag</v>
      </c>
      <c r="U706" s="5">
        <f>IFERROR(__xludf.DUMMYFUNCTION("""COMPUTED_VALUE"""),21.753919399999997)</f>
        <v>21.7539194</v>
      </c>
      <c r="V706" s="2"/>
      <c r="W706" s="2"/>
      <c r="X706" s="2"/>
      <c r="Y706" s="2"/>
      <c r="Z706" s="2"/>
    </row>
    <row r="707">
      <c r="A707" s="6">
        <f>IFERROR(__xludf.DUMMYFUNCTION("""COMPUTED_VALUE"""),45839.4515162037)</f>
        <v>45839.45152</v>
      </c>
      <c r="B707" s="2" t="str">
        <f>IFERROR(__xludf.DUMMYFUNCTION("""COMPUTED_VALUE"""),"July")</f>
        <v>July</v>
      </c>
      <c r="C707" s="3">
        <f>IFERROR(__xludf.DUMMYFUNCTION("""COMPUTED_VALUE"""),395992.0)</f>
        <v>395992</v>
      </c>
      <c r="D707" s="2" t="str">
        <f>IFERROR(__xludf.DUMMYFUNCTION("""COMPUTED_VALUE"""),"ZM22")</f>
        <v>ZM22</v>
      </c>
      <c r="E707" s="2" t="str">
        <f>IFERROR(__xludf.DUMMYFUNCTION("""COMPUTED_VALUE"""),"Imported from file Digizag.xlsx")</f>
        <v>Imported from file Digizag.xlsx</v>
      </c>
      <c r="F707" s="2" t="str">
        <f>IFERROR(__xludf.DUMMYFUNCTION("""COMPUTED_VALUE"""),"AET696217")</f>
        <v>AET696217</v>
      </c>
      <c r="G707" s="2" t="str">
        <f>IFERROR(__xludf.DUMMYFUNCTION("""COMPUTED_VALUE"""),"UAE")</f>
        <v>UAE</v>
      </c>
      <c r="H707" s="4">
        <f>IFERROR(__xludf.DUMMYFUNCTION("""COMPUTED_VALUE"""),250.0)</f>
        <v>250</v>
      </c>
      <c r="I707" s="3">
        <f>IFERROR(__xludf.DUMMYFUNCTION("""COMPUTED_VALUE"""),0.0)</f>
        <v>0</v>
      </c>
      <c r="J707" s="4">
        <f>IFERROR(__xludf.DUMMYFUNCTION("""COMPUTED_VALUE"""),25.0)</f>
        <v>25</v>
      </c>
      <c r="K707" s="2"/>
      <c r="L707" s="2" t="str">
        <f>IFERROR(__xludf.DUMMYFUNCTION("""COMPUTED_VALUE"""),"Delivered")</f>
        <v>Delivered</v>
      </c>
      <c r="M707" s="2" t="str">
        <f>IFERROR(__xludf.DUMMYFUNCTION("""COMPUTED_VALUE"""),"")</f>
        <v></v>
      </c>
      <c r="N707" s="2" t="str">
        <f>IFERROR(__xludf.DUMMYFUNCTION("""COMPUTED_VALUE"""),"Credit, Debit , Apple Pay")</f>
        <v>Credit, Debit , Apple Pay</v>
      </c>
      <c r="O707" s="4">
        <f>IFERROR(__xludf.DUMMYFUNCTION("""COMPUTED_VALUE"""),0.0)</f>
        <v>0</v>
      </c>
      <c r="P707" s="2">
        <f>IFERROR(__xludf.DUMMYFUNCTION("""COMPUTED_VALUE"""),1.0)</f>
        <v>1</v>
      </c>
      <c r="Q707" s="2">
        <f>IFERROR(__xludf.DUMMYFUNCTION("""COMPUTED_VALUE"""),7.0)</f>
        <v>7</v>
      </c>
      <c r="R707" s="2">
        <f>IFERROR(__xludf.DUMMYFUNCTION("""COMPUTED_VALUE"""),2025.0)</f>
        <v>2025</v>
      </c>
      <c r="S707" s="2" t="str">
        <f>IFERROR(__xludf.DUMMYFUNCTION("""COMPUTED_VALUE"""),"Digizag")</f>
        <v>Digizag</v>
      </c>
      <c r="T707" s="2" t="str">
        <f>IFERROR(__xludf.DUMMYFUNCTION("""COMPUTED_VALUE"""),"Digizag")</f>
        <v>Digizag</v>
      </c>
      <c r="U707" s="5">
        <f>IFERROR(__xludf.DUMMYFUNCTION("""COMPUTED_VALUE"""),68.0735195)</f>
        <v>68.0735195</v>
      </c>
      <c r="V707" s="2"/>
      <c r="W707" s="2"/>
      <c r="X707" s="2"/>
      <c r="Y707" s="2"/>
      <c r="Z707" s="2"/>
    </row>
    <row r="708">
      <c r="A708" s="6">
        <f>IFERROR(__xludf.DUMMYFUNCTION("""COMPUTED_VALUE"""),45839.54574074074)</f>
        <v>45839.54574</v>
      </c>
      <c r="B708" s="2" t="str">
        <f>IFERROR(__xludf.DUMMYFUNCTION("""COMPUTED_VALUE"""),"July")</f>
        <v>July</v>
      </c>
      <c r="C708" s="3">
        <f>IFERROR(__xludf.DUMMYFUNCTION("""COMPUTED_VALUE"""),537497.0)</f>
        <v>537497</v>
      </c>
      <c r="D708" s="2" t="str">
        <f>IFERROR(__xludf.DUMMYFUNCTION("""COMPUTED_VALUE"""),"RR22")</f>
        <v>RR22</v>
      </c>
      <c r="E708" s="2" t="str">
        <f>IFERROR(__xludf.DUMMYFUNCTION("""COMPUTED_VALUE"""),"Imported from file Digizag.xlsx")</f>
        <v>Imported from file Digizag.xlsx</v>
      </c>
      <c r="F708" s="2" t="str">
        <f>IFERROR(__xludf.DUMMYFUNCTION("""COMPUTED_VALUE"""),"LKP257334")</f>
        <v>LKP257334</v>
      </c>
      <c r="G708" s="2" t="str">
        <f>IFERROR(__xludf.DUMMYFUNCTION("""COMPUTED_VALUE"""),"UAE")</f>
        <v>UAE</v>
      </c>
      <c r="H708" s="4">
        <f>IFERROR(__xludf.DUMMYFUNCTION("""COMPUTED_VALUE"""),262.5)</f>
        <v>262.5</v>
      </c>
      <c r="I708" s="3">
        <f>IFERROR(__xludf.DUMMYFUNCTION("""COMPUTED_VALUE"""),0.0)</f>
        <v>0</v>
      </c>
      <c r="J708" s="4">
        <f>IFERROR(__xludf.DUMMYFUNCTION("""COMPUTED_VALUE"""),26.25)</f>
        <v>26.25</v>
      </c>
      <c r="K708" s="2"/>
      <c r="L708" s="2" t="str">
        <f>IFERROR(__xludf.DUMMYFUNCTION("""COMPUTED_VALUE"""),"Delivered")</f>
        <v>Delivered</v>
      </c>
      <c r="M708" s="2" t="str">
        <f>IFERROR(__xludf.DUMMYFUNCTION("""COMPUTED_VALUE"""),"")</f>
        <v></v>
      </c>
      <c r="N708" s="2" t="str">
        <f>IFERROR(__xludf.DUMMYFUNCTION("""COMPUTED_VALUE"""),"Credit, Debit , Apple Pay")</f>
        <v>Credit, Debit , Apple Pay</v>
      </c>
      <c r="O708" s="4">
        <f>IFERROR(__xludf.DUMMYFUNCTION("""COMPUTED_VALUE"""),0.0)</f>
        <v>0</v>
      </c>
      <c r="P708" s="2">
        <f>IFERROR(__xludf.DUMMYFUNCTION("""COMPUTED_VALUE"""),1.0)</f>
        <v>1</v>
      </c>
      <c r="Q708" s="2">
        <f>IFERROR(__xludf.DUMMYFUNCTION("""COMPUTED_VALUE"""),7.0)</f>
        <v>7</v>
      </c>
      <c r="R708" s="2">
        <f>IFERROR(__xludf.DUMMYFUNCTION("""COMPUTED_VALUE"""),2025.0)</f>
        <v>2025</v>
      </c>
      <c r="S708" s="2" t="str">
        <f>IFERROR(__xludf.DUMMYFUNCTION("""COMPUTED_VALUE"""),"Digizag")</f>
        <v>Digizag</v>
      </c>
      <c r="T708" s="2" t="str">
        <f>IFERROR(__xludf.DUMMYFUNCTION("""COMPUTED_VALUE"""),"Digizag")</f>
        <v>Digizag</v>
      </c>
      <c r="U708" s="5">
        <f>IFERROR(__xludf.DUMMYFUNCTION("""COMPUTED_VALUE"""),71.477195475)</f>
        <v>71.47719548</v>
      </c>
      <c r="V708" s="2"/>
      <c r="W708" s="2"/>
      <c r="X708" s="2"/>
      <c r="Y708" s="2"/>
      <c r="Z708" s="2"/>
    </row>
    <row r="709">
      <c r="A709" s="6">
        <f>IFERROR(__xludf.DUMMYFUNCTION("""COMPUTED_VALUE"""),45840.52918981481)</f>
        <v>45840.52919</v>
      </c>
      <c r="B709" s="2" t="str">
        <f>IFERROR(__xludf.DUMMYFUNCTION("""COMPUTED_VALUE"""),"July")</f>
        <v>July</v>
      </c>
      <c r="C709" s="3">
        <f>IFERROR(__xludf.DUMMYFUNCTION("""COMPUTED_VALUE"""),362483.0)</f>
        <v>362483</v>
      </c>
      <c r="D709" s="2" t="str">
        <f>IFERROR(__xludf.DUMMYFUNCTION("""COMPUTED_VALUE"""),"ZM22")</f>
        <v>ZM22</v>
      </c>
      <c r="E709" s="2" t="str">
        <f>IFERROR(__xludf.DUMMYFUNCTION("""COMPUTED_VALUE"""),"Imported from file Digizag.xlsx")</f>
        <v>Imported from file Digizag.xlsx</v>
      </c>
      <c r="F709" s="2" t="str">
        <f>IFERROR(__xludf.DUMMYFUNCTION("""COMPUTED_VALUE"""),"MMQ586838")</f>
        <v>MMQ586838</v>
      </c>
      <c r="G709" s="2" t="str">
        <f>IFERROR(__xludf.DUMMYFUNCTION("""COMPUTED_VALUE"""),"Kingdom of Saudi Arabia")</f>
        <v>Kingdom of Saudi Arabia</v>
      </c>
      <c r="H709" s="4">
        <f>IFERROR(__xludf.DUMMYFUNCTION("""COMPUTED_VALUE"""),102.0)</f>
        <v>102</v>
      </c>
      <c r="I709" s="3">
        <f>IFERROR(__xludf.DUMMYFUNCTION("""COMPUTED_VALUE"""),0.0)</f>
        <v>0</v>
      </c>
      <c r="J709" s="4">
        <f>IFERROR(__xludf.DUMMYFUNCTION("""COMPUTED_VALUE"""),25.5)</f>
        <v>25.5</v>
      </c>
      <c r="K709" s="2"/>
      <c r="L709" s="2" t="str">
        <f>IFERROR(__xludf.DUMMYFUNCTION("""COMPUTED_VALUE"""),"Delivered")</f>
        <v>Delivered</v>
      </c>
      <c r="M709" s="2" t="str">
        <f>IFERROR(__xludf.DUMMYFUNCTION("""COMPUTED_VALUE"""),"")</f>
        <v></v>
      </c>
      <c r="N709" s="2" t="str">
        <f>IFERROR(__xludf.DUMMYFUNCTION("""COMPUTED_VALUE"""),"Pay in 4. No interest, no fees")</f>
        <v>Pay in 4. No interest, no fees</v>
      </c>
      <c r="O709" s="4">
        <f>IFERROR(__xludf.DUMMYFUNCTION("""COMPUTED_VALUE"""),0.0)</f>
        <v>0</v>
      </c>
      <c r="P709" s="2">
        <f>IFERROR(__xludf.DUMMYFUNCTION("""COMPUTED_VALUE"""),2.0)</f>
        <v>2</v>
      </c>
      <c r="Q709" s="2">
        <f>IFERROR(__xludf.DUMMYFUNCTION("""COMPUTED_VALUE"""),7.0)</f>
        <v>7</v>
      </c>
      <c r="R709" s="2">
        <f>IFERROR(__xludf.DUMMYFUNCTION("""COMPUTED_VALUE"""),2025.0)</f>
        <v>2025</v>
      </c>
      <c r="S709" s="2" t="str">
        <f>IFERROR(__xludf.DUMMYFUNCTION("""COMPUTED_VALUE"""),"Digizag")</f>
        <v>Digizag</v>
      </c>
      <c r="T709" s="2" t="str">
        <f>IFERROR(__xludf.DUMMYFUNCTION("""COMPUTED_VALUE"""),"Digizag")</f>
        <v>Digizag</v>
      </c>
      <c r="U709" s="5">
        <f>IFERROR(__xludf.DUMMYFUNCTION("""COMPUTED_VALUE"""),27.197896692000004)</f>
        <v>27.19789669</v>
      </c>
      <c r="V709" s="2"/>
      <c r="W709" s="2"/>
      <c r="X709" s="2"/>
      <c r="Y709" s="2"/>
      <c r="Z709" s="2"/>
    </row>
    <row r="710">
      <c r="A710" s="6">
        <f>IFERROR(__xludf.DUMMYFUNCTION("""COMPUTED_VALUE"""),45840.54728009259)</f>
        <v>45840.54728</v>
      </c>
      <c r="B710" s="2" t="str">
        <f>IFERROR(__xludf.DUMMYFUNCTION("""COMPUTED_VALUE"""),"July")</f>
        <v>July</v>
      </c>
      <c r="C710" s="3">
        <f>IFERROR(__xludf.DUMMYFUNCTION("""COMPUTED_VALUE"""),587331.0)</f>
        <v>587331</v>
      </c>
      <c r="D710" s="2" t="str">
        <f>IFERROR(__xludf.DUMMYFUNCTION("""COMPUTED_VALUE"""),"JM")</f>
        <v>JM</v>
      </c>
      <c r="E710" s="2" t="str">
        <f>IFERROR(__xludf.DUMMYFUNCTION("""COMPUTED_VALUE"""),"Digizag")</f>
        <v>Digizag</v>
      </c>
      <c r="F710" s="2" t="str">
        <f>IFERROR(__xludf.DUMMYFUNCTION("""COMPUTED_VALUE"""),"MTC717936")</f>
        <v>MTC717936</v>
      </c>
      <c r="G710" s="2" t="str">
        <f>IFERROR(__xludf.DUMMYFUNCTION("""COMPUTED_VALUE"""),"Kuwait")</f>
        <v>Kuwait</v>
      </c>
      <c r="H710" s="4">
        <f>IFERROR(__xludf.DUMMYFUNCTION("""COMPUTED_VALUE"""),43.4)</f>
        <v>43.4</v>
      </c>
      <c r="I710" s="3">
        <f>IFERROR(__xludf.DUMMYFUNCTION("""COMPUTED_VALUE"""),0.0)</f>
        <v>0</v>
      </c>
      <c r="J710" s="4">
        <f>IFERROR(__xludf.DUMMYFUNCTION("""COMPUTED_VALUE"""),4.34)</f>
        <v>4.34</v>
      </c>
      <c r="K710" s="2"/>
      <c r="L710" s="2" t="str">
        <f>IFERROR(__xludf.DUMMYFUNCTION("""COMPUTED_VALUE"""),"Delivered")</f>
        <v>Delivered</v>
      </c>
      <c r="M710" s="2" t="str">
        <f>IFERROR(__xludf.DUMMYFUNCTION("""COMPUTED_VALUE"""),"KD")</f>
        <v>KD</v>
      </c>
      <c r="N710" s="2" t="str">
        <f>IFERROR(__xludf.DUMMYFUNCTION("""COMPUTED_VALUE"""),"Credit, Debit, Knet")</f>
        <v>Credit, Debit, Knet</v>
      </c>
      <c r="O710" s="4">
        <f>IFERROR(__xludf.DUMMYFUNCTION("""COMPUTED_VALUE"""),0.0)</f>
        <v>0</v>
      </c>
      <c r="P710" s="2">
        <f>IFERROR(__xludf.DUMMYFUNCTION("""COMPUTED_VALUE"""),2.0)</f>
        <v>2</v>
      </c>
      <c r="Q710" s="2">
        <f>IFERROR(__xludf.DUMMYFUNCTION("""COMPUTED_VALUE"""),7.0)</f>
        <v>7</v>
      </c>
      <c r="R710" s="2">
        <f>IFERROR(__xludf.DUMMYFUNCTION("""COMPUTED_VALUE"""),2025.0)</f>
        <v>2025</v>
      </c>
      <c r="S710" s="2" t="str">
        <f>IFERROR(__xludf.DUMMYFUNCTION("""COMPUTED_VALUE"""),"Digizag")</f>
        <v>Digizag</v>
      </c>
      <c r="T710" s="2" t="str">
        <f>IFERROR(__xludf.DUMMYFUNCTION("""COMPUTED_VALUE"""),"Digizag")</f>
        <v>Digizag</v>
      </c>
      <c r="U710" s="5">
        <f>IFERROR(__xludf.DUMMYFUNCTION("""COMPUTED_VALUE"""),141.510908)</f>
        <v>141.510908</v>
      </c>
      <c r="V710" s="2"/>
      <c r="W710" s="2"/>
      <c r="X710" s="2"/>
      <c r="Y710" s="2"/>
      <c r="Z710" s="2"/>
    </row>
    <row r="711">
      <c r="A711" s="6">
        <f>IFERROR(__xludf.DUMMYFUNCTION("""COMPUTED_VALUE"""),45840.75834490741)</f>
        <v>45840.75834</v>
      </c>
      <c r="B711" s="2" t="str">
        <f>IFERROR(__xludf.DUMMYFUNCTION("""COMPUTED_VALUE"""),"July")</f>
        <v>July</v>
      </c>
      <c r="C711" s="3">
        <f>IFERROR(__xludf.DUMMYFUNCTION("""COMPUTED_VALUE"""),208598.0)</f>
        <v>208598</v>
      </c>
      <c r="D711" s="2" t="str">
        <f>IFERROR(__xludf.DUMMYFUNCTION("""COMPUTED_VALUE"""),"ZM22")</f>
        <v>ZM22</v>
      </c>
      <c r="E711" s="2" t="str">
        <f>IFERROR(__xludf.DUMMYFUNCTION("""COMPUTED_VALUE"""),"Imported from file Digizag.xlsx")</f>
        <v>Imported from file Digizag.xlsx</v>
      </c>
      <c r="F711" s="2" t="str">
        <f>IFERROR(__xludf.DUMMYFUNCTION("""COMPUTED_VALUE"""),"QPG845400")</f>
        <v>QPG845400</v>
      </c>
      <c r="G711" s="2" t="str">
        <f>IFERROR(__xludf.DUMMYFUNCTION("""COMPUTED_VALUE"""),"UAE")</f>
        <v>UAE</v>
      </c>
      <c r="H711" s="4">
        <f>IFERROR(__xludf.DUMMYFUNCTION("""COMPUTED_VALUE"""),154.0)</f>
        <v>154</v>
      </c>
      <c r="I711" s="3">
        <f>IFERROR(__xludf.DUMMYFUNCTION("""COMPUTED_VALUE"""),0.0)</f>
        <v>0</v>
      </c>
      <c r="J711" s="4">
        <f>IFERROR(__xludf.DUMMYFUNCTION("""COMPUTED_VALUE"""),15.4)</f>
        <v>15.4</v>
      </c>
      <c r="K711" s="2"/>
      <c r="L711" s="2" t="str">
        <f>IFERROR(__xludf.DUMMYFUNCTION("""COMPUTED_VALUE"""),"Delivered")</f>
        <v>Delivered</v>
      </c>
      <c r="M711" s="2" t="str">
        <f>IFERROR(__xludf.DUMMYFUNCTION("""COMPUTED_VALUE"""),"")</f>
        <v></v>
      </c>
      <c r="N711" s="2" t="str">
        <f>IFERROR(__xludf.DUMMYFUNCTION("""COMPUTED_VALUE"""),"Credit, Debit , Apple Pay")</f>
        <v>Credit, Debit , Apple Pay</v>
      </c>
      <c r="O711" s="4">
        <f>IFERROR(__xludf.DUMMYFUNCTION("""COMPUTED_VALUE"""),0.0)</f>
        <v>0</v>
      </c>
      <c r="P711" s="2">
        <f>IFERROR(__xludf.DUMMYFUNCTION("""COMPUTED_VALUE"""),2.0)</f>
        <v>2</v>
      </c>
      <c r="Q711" s="2">
        <f>IFERROR(__xludf.DUMMYFUNCTION("""COMPUTED_VALUE"""),7.0)</f>
        <v>7</v>
      </c>
      <c r="R711" s="2">
        <f>IFERROR(__xludf.DUMMYFUNCTION("""COMPUTED_VALUE"""),2025.0)</f>
        <v>2025</v>
      </c>
      <c r="S711" s="2" t="str">
        <f>IFERROR(__xludf.DUMMYFUNCTION("""COMPUTED_VALUE"""),"Digizag")</f>
        <v>Digizag</v>
      </c>
      <c r="T711" s="2" t="str">
        <f>IFERROR(__xludf.DUMMYFUNCTION("""COMPUTED_VALUE"""),"Digizag")</f>
        <v>Digizag</v>
      </c>
      <c r="U711" s="5">
        <f>IFERROR(__xludf.DUMMYFUNCTION("""COMPUTED_VALUE"""),41.933288012)</f>
        <v>41.93328801</v>
      </c>
      <c r="V711" s="2"/>
      <c r="W711" s="2"/>
      <c r="X711" s="2"/>
      <c r="Y711" s="2"/>
      <c r="Z711" s="2"/>
    </row>
    <row r="712">
      <c r="A712" s="6">
        <f>IFERROR(__xludf.DUMMYFUNCTION("""COMPUTED_VALUE"""),45841.27239583333)</f>
        <v>45841.2724</v>
      </c>
      <c r="B712" s="2" t="str">
        <f>IFERROR(__xludf.DUMMYFUNCTION("""COMPUTED_VALUE"""),"July")</f>
        <v>July</v>
      </c>
      <c r="C712" s="3">
        <f>IFERROR(__xludf.DUMMYFUNCTION("""COMPUTED_VALUE"""),766784.0)</f>
        <v>766784</v>
      </c>
      <c r="D712" s="2" t="str">
        <f>IFERROR(__xludf.DUMMYFUNCTION("""COMPUTED_VALUE"""),"MNN16")</f>
        <v>MNN16</v>
      </c>
      <c r="E712" s="2" t="str">
        <f>IFERROR(__xludf.DUMMYFUNCTION("""COMPUTED_VALUE"""),"Imported from file DigiZag Bidding Codes.xlsx")</f>
        <v>Imported from file DigiZag Bidding Codes.xlsx</v>
      </c>
      <c r="F712" s="2" t="str">
        <f>IFERROR(__xludf.DUMMYFUNCTION("""COMPUTED_VALUE"""),"DSJ796229")</f>
        <v>DSJ796229</v>
      </c>
      <c r="G712" s="2" t="str">
        <f>IFERROR(__xludf.DUMMYFUNCTION("""COMPUTED_VALUE"""),"Kingdom of Saudi Arabia")</f>
        <v>Kingdom of Saudi Arabia</v>
      </c>
      <c r="H712" s="4">
        <f>IFERROR(__xludf.DUMMYFUNCTION("""COMPUTED_VALUE"""),104.02)</f>
        <v>104.02</v>
      </c>
      <c r="I712" s="3">
        <f>IFERROR(__xludf.DUMMYFUNCTION("""COMPUTED_VALUE"""),0.0)</f>
        <v>0</v>
      </c>
      <c r="J712" s="4">
        <f>IFERROR(__xludf.DUMMYFUNCTION("""COMPUTED_VALUE"""),26.0)</f>
        <v>26</v>
      </c>
      <c r="K712" s="2"/>
      <c r="L712" s="2" t="str">
        <f>IFERROR(__xludf.DUMMYFUNCTION("""COMPUTED_VALUE"""),"Delivered")</f>
        <v>Delivered</v>
      </c>
      <c r="M712" s="2" t="str">
        <f>IFERROR(__xludf.DUMMYFUNCTION("""COMPUTED_VALUE"""),"")</f>
        <v></v>
      </c>
      <c r="N712" s="2" t="str">
        <f>IFERROR(__xludf.DUMMYFUNCTION("""COMPUTED_VALUE"""),"Credit, Debit, Apple Pay")</f>
        <v>Credit, Debit, Apple Pay</v>
      </c>
      <c r="O712" s="4">
        <f>IFERROR(__xludf.DUMMYFUNCTION("""COMPUTED_VALUE"""),0.0)</f>
        <v>0</v>
      </c>
      <c r="P712" s="2">
        <f>IFERROR(__xludf.DUMMYFUNCTION("""COMPUTED_VALUE"""),3.0)</f>
        <v>3</v>
      </c>
      <c r="Q712" s="2">
        <f>IFERROR(__xludf.DUMMYFUNCTION("""COMPUTED_VALUE"""),7.0)</f>
        <v>7</v>
      </c>
      <c r="R712" s="2">
        <f>IFERROR(__xludf.DUMMYFUNCTION("""COMPUTED_VALUE"""),2025.0)</f>
        <v>2025</v>
      </c>
      <c r="S712" s="2" t="str">
        <f>IFERROR(__xludf.DUMMYFUNCTION("""COMPUTED_VALUE"""),"Digizag")</f>
        <v>Digizag</v>
      </c>
      <c r="T712" s="2" t="str">
        <f>IFERROR(__xludf.DUMMYFUNCTION("""COMPUTED_VALUE"""),"Digizag")</f>
        <v>Digizag</v>
      </c>
      <c r="U712" s="5">
        <f>IFERROR(__xludf.DUMMYFUNCTION("""COMPUTED_VALUE"""),27.73652170492)</f>
        <v>27.7365217</v>
      </c>
      <c r="V712" s="2"/>
      <c r="W712" s="2"/>
      <c r="X712" s="2"/>
      <c r="Y712" s="2"/>
      <c r="Z712" s="2"/>
    </row>
    <row r="713">
      <c r="A713" s="6">
        <f>IFERROR(__xludf.DUMMYFUNCTION("""COMPUTED_VALUE"""),45841.62275462963)</f>
        <v>45841.62275</v>
      </c>
      <c r="B713" s="2" t="str">
        <f>IFERROR(__xludf.DUMMYFUNCTION("""COMPUTED_VALUE"""),"July")</f>
        <v>July</v>
      </c>
      <c r="C713" s="3">
        <f>IFERROR(__xludf.DUMMYFUNCTION("""COMPUTED_VALUE"""),13147.0)</f>
        <v>13147</v>
      </c>
      <c r="D713" s="2" t="str">
        <f>IFERROR(__xludf.DUMMYFUNCTION("""COMPUTED_VALUE"""),"MNN27")</f>
        <v>MNN27</v>
      </c>
      <c r="E713" s="2" t="str">
        <f>IFERROR(__xludf.DUMMYFUNCTION("""COMPUTED_VALUE"""),"Imported from file DigiZag Bidding Codes.xlsx")</f>
        <v>Imported from file DigiZag Bidding Codes.xlsx</v>
      </c>
      <c r="F713" s="2" t="str">
        <f>IFERROR(__xludf.DUMMYFUNCTION("""COMPUTED_VALUE"""),"VTW906629")</f>
        <v>VTW906629</v>
      </c>
      <c r="G713" s="2" t="str">
        <f>IFERROR(__xludf.DUMMYFUNCTION("""COMPUTED_VALUE"""),"Kingdom of Saudi Arabia")</f>
        <v>Kingdom of Saudi Arabia</v>
      </c>
      <c r="H713" s="4">
        <f>IFERROR(__xludf.DUMMYFUNCTION("""COMPUTED_VALUE"""),107.6)</f>
        <v>107.6</v>
      </c>
      <c r="I713" s="3">
        <f>IFERROR(__xludf.DUMMYFUNCTION("""COMPUTED_VALUE"""),0.0)</f>
        <v>0</v>
      </c>
      <c r="J713" s="4">
        <f>IFERROR(__xludf.DUMMYFUNCTION("""COMPUTED_VALUE"""),26.9)</f>
        <v>26.9</v>
      </c>
      <c r="K713" s="2"/>
      <c r="L713" s="2" t="str">
        <f>IFERROR(__xludf.DUMMYFUNCTION("""COMPUTED_VALUE"""),"Delivered")</f>
        <v>Delivered</v>
      </c>
      <c r="M713" s="2" t="str">
        <f>IFERROR(__xludf.DUMMYFUNCTION("""COMPUTED_VALUE"""),"")</f>
        <v></v>
      </c>
      <c r="N713" s="2" t="str">
        <f>IFERROR(__xludf.DUMMYFUNCTION("""COMPUTED_VALUE"""),"Credit, Debit, Apple Pay")</f>
        <v>Credit, Debit, Apple Pay</v>
      </c>
      <c r="O713" s="4">
        <f>IFERROR(__xludf.DUMMYFUNCTION("""COMPUTED_VALUE"""),0.0)</f>
        <v>0</v>
      </c>
      <c r="P713" s="2">
        <f>IFERROR(__xludf.DUMMYFUNCTION("""COMPUTED_VALUE"""),3.0)</f>
        <v>3</v>
      </c>
      <c r="Q713" s="2">
        <f>IFERROR(__xludf.DUMMYFUNCTION("""COMPUTED_VALUE"""),7.0)</f>
        <v>7</v>
      </c>
      <c r="R713" s="2">
        <f>IFERROR(__xludf.DUMMYFUNCTION("""COMPUTED_VALUE"""),2025.0)</f>
        <v>2025</v>
      </c>
      <c r="S713" s="2" t="str">
        <f>IFERROR(__xludf.DUMMYFUNCTION("""COMPUTED_VALUE"""),"Digizag")</f>
        <v>Digizag</v>
      </c>
      <c r="T713" s="2" t="str">
        <f>IFERROR(__xludf.DUMMYFUNCTION("""COMPUTED_VALUE"""),"Digizag")</f>
        <v>Digizag</v>
      </c>
      <c r="U713" s="5">
        <f>IFERROR(__xludf.DUMMYFUNCTION("""COMPUTED_VALUE"""),28.6911145496)</f>
        <v>28.69111455</v>
      </c>
      <c r="V713" s="2"/>
      <c r="W713" s="2"/>
      <c r="X713" s="2"/>
      <c r="Y713" s="2"/>
      <c r="Z713" s="2"/>
    </row>
    <row r="714">
      <c r="A714" s="6">
        <f>IFERROR(__xludf.DUMMYFUNCTION("""COMPUTED_VALUE"""),45841.62287037037)</f>
        <v>45841.62287</v>
      </c>
      <c r="B714" s="2" t="str">
        <f>IFERROR(__xludf.DUMMYFUNCTION("""COMPUTED_VALUE"""),"July")</f>
        <v>July</v>
      </c>
      <c r="C714" s="3">
        <f>IFERROR(__xludf.DUMMYFUNCTION("""COMPUTED_VALUE"""),767034.0)</f>
        <v>767034</v>
      </c>
      <c r="D714" s="2" t="str">
        <f>IFERROR(__xludf.DUMMYFUNCTION("""COMPUTED_VALUE"""),"DB1")</f>
        <v>DB1</v>
      </c>
      <c r="E714" s="2" t="str">
        <f>IFERROR(__xludf.DUMMYFUNCTION("""COMPUTED_VALUE"""),"Imported from file Digizag.xlsx")</f>
        <v>Imported from file Digizag.xlsx</v>
      </c>
      <c r="F714" s="2" t="str">
        <f>IFERROR(__xludf.DUMMYFUNCTION("""COMPUTED_VALUE"""),"MKD179533")</f>
        <v>MKD179533</v>
      </c>
      <c r="G714" s="2" t="str">
        <f>IFERROR(__xludf.DUMMYFUNCTION("""COMPUTED_VALUE"""),"Kingdom of Saudi Arabia")</f>
        <v>Kingdom of Saudi Arabia</v>
      </c>
      <c r="H714" s="4">
        <f>IFERROR(__xludf.DUMMYFUNCTION("""COMPUTED_VALUE"""),138.0)</f>
        <v>138</v>
      </c>
      <c r="I714" s="3">
        <f>IFERROR(__xludf.DUMMYFUNCTION("""COMPUTED_VALUE"""),0.0)</f>
        <v>0</v>
      </c>
      <c r="J714" s="4">
        <f>IFERROR(__xludf.DUMMYFUNCTION("""COMPUTED_VALUE"""),30.0)</f>
        <v>30</v>
      </c>
      <c r="K714" s="2"/>
      <c r="L714" s="2" t="str">
        <f>IFERROR(__xludf.DUMMYFUNCTION("""COMPUTED_VALUE"""),"Delivered")</f>
        <v>Delivered</v>
      </c>
      <c r="M714" s="2" t="str">
        <f>IFERROR(__xludf.DUMMYFUNCTION("""COMPUTED_VALUE"""),"")</f>
        <v></v>
      </c>
      <c r="N714" s="2" t="str">
        <f>IFERROR(__xludf.DUMMYFUNCTION("""COMPUTED_VALUE"""),"Credit, Debit, Apple Pay")</f>
        <v>Credit, Debit, Apple Pay</v>
      </c>
      <c r="O714" s="4">
        <f>IFERROR(__xludf.DUMMYFUNCTION("""COMPUTED_VALUE"""),0.0)</f>
        <v>0</v>
      </c>
      <c r="P714" s="2">
        <f>IFERROR(__xludf.DUMMYFUNCTION("""COMPUTED_VALUE"""),3.0)</f>
        <v>3</v>
      </c>
      <c r="Q714" s="2">
        <f>IFERROR(__xludf.DUMMYFUNCTION("""COMPUTED_VALUE"""),7.0)</f>
        <v>7</v>
      </c>
      <c r="R714" s="2">
        <f>IFERROR(__xludf.DUMMYFUNCTION("""COMPUTED_VALUE"""),2025.0)</f>
        <v>2025</v>
      </c>
      <c r="S714" s="2" t="str">
        <f>IFERROR(__xludf.DUMMYFUNCTION("""COMPUTED_VALUE"""),"Digizag")</f>
        <v>Digizag</v>
      </c>
      <c r="T714" s="2" t="str">
        <f>IFERROR(__xludf.DUMMYFUNCTION("""COMPUTED_VALUE"""),"Digizag")</f>
        <v>Digizag</v>
      </c>
      <c r="U714" s="5">
        <f>IFERROR(__xludf.DUMMYFUNCTION("""COMPUTED_VALUE"""),36.79715434800001)</f>
        <v>36.79715435</v>
      </c>
      <c r="V714" s="2"/>
      <c r="W714" s="2"/>
      <c r="X714" s="2"/>
      <c r="Y714" s="2"/>
      <c r="Z714" s="2"/>
    </row>
    <row r="715">
      <c r="A715" s="6">
        <f>IFERROR(__xludf.DUMMYFUNCTION("""COMPUTED_VALUE"""),45841.68907407407)</f>
        <v>45841.68907</v>
      </c>
      <c r="B715" s="2" t="str">
        <f>IFERROR(__xludf.DUMMYFUNCTION("""COMPUTED_VALUE"""),"July")</f>
        <v>July</v>
      </c>
      <c r="C715" s="3">
        <f>IFERROR(__xludf.DUMMYFUNCTION("""COMPUTED_VALUE"""),767087.0)</f>
        <v>767087</v>
      </c>
      <c r="D715" s="2" t="str">
        <f>IFERROR(__xludf.DUMMYFUNCTION("""COMPUTED_VALUE"""),"DB1")</f>
        <v>DB1</v>
      </c>
      <c r="E715" s="2" t="str">
        <f>IFERROR(__xludf.DUMMYFUNCTION("""COMPUTED_VALUE"""),"Imported from file Digizag.xlsx")</f>
        <v>Imported from file Digizag.xlsx</v>
      </c>
      <c r="F715" s="2" t="str">
        <f>IFERROR(__xludf.DUMMYFUNCTION("""COMPUTED_VALUE"""),"YUN696247")</f>
        <v>YUN696247</v>
      </c>
      <c r="G715" s="2" t="str">
        <f>IFERROR(__xludf.DUMMYFUNCTION("""COMPUTED_VALUE"""),"UAE")</f>
        <v>UAE</v>
      </c>
      <c r="H715" s="4">
        <f>IFERROR(__xludf.DUMMYFUNCTION("""COMPUTED_VALUE"""),162.0)</f>
        <v>162</v>
      </c>
      <c r="I715" s="3">
        <f>IFERROR(__xludf.DUMMYFUNCTION("""COMPUTED_VALUE"""),0.0)</f>
        <v>0</v>
      </c>
      <c r="J715" s="4">
        <f>IFERROR(__xludf.DUMMYFUNCTION("""COMPUTED_VALUE"""),16.2)</f>
        <v>16.2</v>
      </c>
      <c r="K715" s="2"/>
      <c r="L715" s="2" t="str">
        <f>IFERROR(__xludf.DUMMYFUNCTION("""COMPUTED_VALUE"""),"Delivered")</f>
        <v>Delivered</v>
      </c>
      <c r="M715" s="2" t="str">
        <f>IFERROR(__xludf.DUMMYFUNCTION("""COMPUTED_VALUE"""),"")</f>
        <v></v>
      </c>
      <c r="N715" s="2" t="str">
        <f>IFERROR(__xludf.DUMMYFUNCTION("""COMPUTED_VALUE"""),"Cash")</f>
        <v>Cash</v>
      </c>
      <c r="O715" s="4">
        <f>IFERROR(__xludf.DUMMYFUNCTION("""COMPUTED_VALUE"""),0.0)</f>
        <v>0</v>
      </c>
      <c r="P715" s="2">
        <f>IFERROR(__xludf.DUMMYFUNCTION("""COMPUTED_VALUE"""),3.0)</f>
        <v>3</v>
      </c>
      <c r="Q715" s="2">
        <f>IFERROR(__xludf.DUMMYFUNCTION("""COMPUTED_VALUE"""),7.0)</f>
        <v>7</v>
      </c>
      <c r="R715" s="2">
        <f>IFERROR(__xludf.DUMMYFUNCTION("""COMPUTED_VALUE"""),2025.0)</f>
        <v>2025</v>
      </c>
      <c r="S715" s="2" t="str">
        <f>IFERROR(__xludf.DUMMYFUNCTION("""COMPUTED_VALUE"""),"Digizag")</f>
        <v>Digizag</v>
      </c>
      <c r="T715" s="2" t="str">
        <f>IFERROR(__xludf.DUMMYFUNCTION("""COMPUTED_VALUE"""),"Digizag")</f>
        <v>Digizag</v>
      </c>
      <c r="U715" s="5">
        <f>IFERROR(__xludf.DUMMYFUNCTION("""COMPUTED_VALUE"""),44.111640636)</f>
        <v>44.11164064</v>
      </c>
      <c r="V715" s="2"/>
      <c r="W715" s="2"/>
      <c r="X715" s="2"/>
      <c r="Y715" s="2"/>
      <c r="Z715" s="2"/>
    </row>
    <row r="716">
      <c r="A716" s="6">
        <f>IFERROR(__xludf.DUMMYFUNCTION("""COMPUTED_VALUE"""),45841.85630787037)</f>
        <v>45841.85631</v>
      </c>
      <c r="B716" s="2" t="str">
        <f>IFERROR(__xludf.DUMMYFUNCTION("""COMPUTED_VALUE"""),"July")</f>
        <v>July</v>
      </c>
      <c r="C716" s="3">
        <f>IFERROR(__xludf.DUMMYFUNCTION("""COMPUTED_VALUE"""),153720.0)</f>
        <v>153720</v>
      </c>
      <c r="D716" s="2" t="str">
        <f>IFERROR(__xludf.DUMMYFUNCTION("""COMPUTED_VALUE"""),"ZM22")</f>
        <v>ZM22</v>
      </c>
      <c r="E716" s="2" t="str">
        <f>IFERROR(__xludf.DUMMYFUNCTION("""COMPUTED_VALUE"""),"Imported from file Digizag.xlsx")</f>
        <v>Imported from file Digizag.xlsx</v>
      </c>
      <c r="F716" s="2" t="str">
        <f>IFERROR(__xludf.DUMMYFUNCTION("""COMPUTED_VALUE"""),"GYC782464")</f>
        <v>GYC782464</v>
      </c>
      <c r="G716" s="2" t="str">
        <f>IFERROR(__xludf.DUMMYFUNCTION("""COMPUTED_VALUE"""),"UAE")</f>
        <v>UAE</v>
      </c>
      <c r="H716" s="4">
        <f>IFERROR(__xludf.DUMMYFUNCTION("""COMPUTED_VALUE"""),313.19)</f>
        <v>313.19</v>
      </c>
      <c r="I716" s="3">
        <f>IFERROR(__xludf.DUMMYFUNCTION("""COMPUTED_VALUE"""),0.0)</f>
        <v>0</v>
      </c>
      <c r="J716" s="4">
        <f>IFERROR(__xludf.DUMMYFUNCTION("""COMPUTED_VALUE"""),31.31)</f>
        <v>31.31</v>
      </c>
      <c r="K716" s="2"/>
      <c r="L716" s="2" t="str">
        <f>IFERROR(__xludf.DUMMYFUNCTION("""COMPUTED_VALUE"""),"Delivered")</f>
        <v>Delivered</v>
      </c>
      <c r="M716" s="2" t="str">
        <f>IFERROR(__xludf.DUMMYFUNCTION("""COMPUTED_VALUE"""),"")</f>
        <v></v>
      </c>
      <c r="N716" s="2" t="str">
        <f>IFERROR(__xludf.DUMMYFUNCTION("""COMPUTED_VALUE"""),"Credit, Debit , Apple Pay")</f>
        <v>Credit, Debit , Apple Pay</v>
      </c>
      <c r="O716" s="4">
        <f>IFERROR(__xludf.DUMMYFUNCTION("""COMPUTED_VALUE"""),0.0)</f>
        <v>0</v>
      </c>
      <c r="P716" s="2">
        <f>IFERROR(__xludf.DUMMYFUNCTION("""COMPUTED_VALUE"""),3.0)</f>
        <v>3</v>
      </c>
      <c r="Q716" s="2">
        <f>IFERROR(__xludf.DUMMYFUNCTION("""COMPUTED_VALUE"""),7.0)</f>
        <v>7</v>
      </c>
      <c r="R716" s="2">
        <f>IFERROR(__xludf.DUMMYFUNCTION("""COMPUTED_VALUE"""),2025.0)</f>
        <v>2025</v>
      </c>
      <c r="S716" s="2" t="str">
        <f>IFERROR(__xludf.DUMMYFUNCTION("""COMPUTED_VALUE"""),"Digizag")</f>
        <v>Digizag</v>
      </c>
      <c r="T716" s="2" t="str">
        <f>IFERROR(__xludf.DUMMYFUNCTION("""COMPUTED_VALUE"""),"Digizag")</f>
        <v>Digizag</v>
      </c>
      <c r="U716" s="5">
        <f>IFERROR(__xludf.DUMMYFUNCTION("""COMPUTED_VALUE"""),85.27978228882)</f>
        <v>85.27978229</v>
      </c>
      <c r="V716" s="2"/>
      <c r="W716" s="2"/>
      <c r="X716" s="2"/>
      <c r="Y716" s="2"/>
      <c r="Z716" s="2"/>
    </row>
    <row r="717">
      <c r="A717" s="6">
        <f>IFERROR(__xludf.DUMMYFUNCTION("""COMPUTED_VALUE"""),45842.41106481481)</f>
        <v>45842.41106</v>
      </c>
      <c r="B717" s="2" t="str">
        <f>IFERROR(__xludf.DUMMYFUNCTION("""COMPUTED_VALUE"""),"July")</f>
        <v>July</v>
      </c>
      <c r="C717" s="3">
        <f>IFERROR(__xludf.DUMMYFUNCTION("""COMPUTED_VALUE"""),767386.0)</f>
        <v>767386</v>
      </c>
      <c r="D717" s="2" t="str">
        <f>IFERROR(__xludf.DUMMYFUNCTION("""COMPUTED_VALUE"""),"DB33")</f>
        <v>DB33</v>
      </c>
      <c r="E717" s="2" t="str">
        <f>IFERROR(__xludf.DUMMYFUNCTION("""COMPUTED_VALUE"""),"Imported from file Digizag.xlsx")</f>
        <v>Imported from file Digizag.xlsx</v>
      </c>
      <c r="F717" s="2" t="str">
        <f>IFERROR(__xludf.DUMMYFUNCTION("""COMPUTED_VALUE"""),"ZAM204131")</f>
        <v>ZAM204131</v>
      </c>
      <c r="G717" s="2" t="str">
        <f>IFERROR(__xludf.DUMMYFUNCTION("""COMPUTED_VALUE"""),"UAE")</f>
        <v>UAE</v>
      </c>
      <c r="H717" s="4">
        <f>IFERROR(__xludf.DUMMYFUNCTION("""COMPUTED_VALUE"""),424.47)</f>
        <v>424.47</v>
      </c>
      <c r="I717" s="3">
        <f>IFERROR(__xludf.DUMMYFUNCTION("""COMPUTED_VALUE"""),0.0)</f>
        <v>0</v>
      </c>
      <c r="J717" s="4">
        <f>IFERROR(__xludf.DUMMYFUNCTION("""COMPUTED_VALUE"""),42.43)</f>
        <v>42.43</v>
      </c>
      <c r="K717" s="2"/>
      <c r="L717" s="2" t="str">
        <f>IFERROR(__xludf.DUMMYFUNCTION("""COMPUTED_VALUE"""),"Delivered")</f>
        <v>Delivered</v>
      </c>
      <c r="M717" s="2" t="str">
        <f>IFERROR(__xludf.DUMMYFUNCTION("""COMPUTED_VALUE"""),"")</f>
        <v></v>
      </c>
      <c r="N717" s="2" t="str">
        <f>IFERROR(__xludf.DUMMYFUNCTION("""COMPUTED_VALUE"""),"Credit, Debit , Apple Pay")</f>
        <v>Credit, Debit , Apple Pay</v>
      </c>
      <c r="O717" s="4">
        <f>IFERROR(__xludf.DUMMYFUNCTION("""COMPUTED_VALUE"""),0.0)</f>
        <v>0</v>
      </c>
      <c r="P717" s="2">
        <f>IFERROR(__xludf.DUMMYFUNCTION("""COMPUTED_VALUE"""),4.0)</f>
        <v>4</v>
      </c>
      <c r="Q717" s="2">
        <f>IFERROR(__xludf.DUMMYFUNCTION("""COMPUTED_VALUE"""),7.0)</f>
        <v>7</v>
      </c>
      <c r="R717" s="2">
        <f>IFERROR(__xludf.DUMMYFUNCTION("""COMPUTED_VALUE"""),2025.0)</f>
        <v>2025</v>
      </c>
      <c r="S717" s="2" t="str">
        <f>IFERROR(__xludf.DUMMYFUNCTION("""COMPUTED_VALUE"""),"Digizag")</f>
        <v>Digizag</v>
      </c>
      <c r="T717" s="2" t="str">
        <f>IFERROR(__xludf.DUMMYFUNCTION("""COMPUTED_VALUE"""),"Digizag")</f>
        <v>Digizag</v>
      </c>
      <c r="U717" s="5">
        <f>IFERROR(__xludf.DUMMYFUNCTION("""COMPUTED_VALUE"""),115.58066728866001)</f>
        <v>115.5806673</v>
      </c>
      <c r="V717" s="2"/>
      <c r="W717" s="2"/>
      <c r="X717" s="2"/>
      <c r="Y717" s="2"/>
      <c r="Z717" s="2"/>
    </row>
    <row r="718">
      <c r="A718" s="6">
        <f>IFERROR(__xludf.DUMMYFUNCTION("""COMPUTED_VALUE"""),45842.47293981481)</f>
        <v>45842.47294</v>
      </c>
      <c r="B718" s="2" t="str">
        <f>IFERROR(__xludf.DUMMYFUNCTION("""COMPUTED_VALUE"""),"July")</f>
        <v>July</v>
      </c>
      <c r="C718" s="3">
        <f>IFERROR(__xludf.DUMMYFUNCTION("""COMPUTED_VALUE"""),691788.0)</f>
        <v>691788</v>
      </c>
      <c r="D718" s="2" t="str">
        <f>IFERROR(__xludf.DUMMYFUNCTION("""COMPUTED_VALUE"""),"JM")</f>
        <v>JM</v>
      </c>
      <c r="E718" s="2" t="str">
        <f>IFERROR(__xludf.DUMMYFUNCTION("""COMPUTED_VALUE"""),"Digizag")</f>
        <v>Digizag</v>
      </c>
      <c r="F718" s="2" t="str">
        <f>IFERROR(__xludf.DUMMYFUNCTION("""COMPUTED_VALUE"""),"UUY937916")</f>
        <v>UUY937916</v>
      </c>
      <c r="G718" s="2" t="str">
        <f>IFERROR(__xludf.DUMMYFUNCTION("""COMPUTED_VALUE"""),"Kuwait")</f>
        <v>Kuwait</v>
      </c>
      <c r="H718" s="4">
        <f>IFERROR(__xludf.DUMMYFUNCTION("""COMPUTED_VALUE"""),11.9)</f>
        <v>11.9</v>
      </c>
      <c r="I718" s="3">
        <f>IFERROR(__xludf.DUMMYFUNCTION("""COMPUTED_VALUE"""),0.0)</f>
        <v>0</v>
      </c>
      <c r="J718" s="4">
        <f>IFERROR(__xludf.DUMMYFUNCTION("""COMPUTED_VALUE"""),1.19)</f>
        <v>1.19</v>
      </c>
      <c r="K718" s="2"/>
      <c r="L718" s="2" t="str">
        <f>IFERROR(__xludf.DUMMYFUNCTION("""COMPUTED_VALUE"""),"Delivered")</f>
        <v>Delivered</v>
      </c>
      <c r="M718" s="2" t="str">
        <f>IFERROR(__xludf.DUMMYFUNCTION("""COMPUTED_VALUE"""),"KD")</f>
        <v>KD</v>
      </c>
      <c r="N718" s="2" t="str">
        <f>IFERROR(__xludf.DUMMYFUNCTION("""COMPUTED_VALUE"""),"Credit, Debit, Knet")</f>
        <v>Credit, Debit, Knet</v>
      </c>
      <c r="O718" s="4">
        <f>IFERROR(__xludf.DUMMYFUNCTION("""COMPUTED_VALUE"""),0.0)</f>
        <v>0</v>
      </c>
      <c r="P718" s="2">
        <f>IFERROR(__xludf.DUMMYFUNCTION("""COMPUTED_VALUE"""),4.0)</f>
        <v>4</v>
      </c>
      <c r="Q718" s="2">
        <f>IFERROR(__xludf.DUMMYFUNCTION("""COMPUTED_VALUE"""),7.0)</f>
        <v>7</v>
      </c>
      <c r="R718" s="2">
        <f>IFERROR(__xludf.DUMMYFUNCTION("""COMPUTED_VALUE"""),2025.0)</f>
        <v>2025</v>
      </c>
      <c r="S718" s="2" t="str">
        <f>IFERROR(__xludf.DUMMYFUNCTION("""COMPUTED_VALUE"""),"Digizag")</f>
        <v>Digizag</v>
      </c>
      <c r="T718" s="2" t="str">
        <f>IFERROR(__xludf.DUMMYFUNCTION("""COMPUTED_VALUE"""),"Digizag")</f>
        <v>Digizag</v>
      </c>
      <c r="U718" s="5">
        <f>IFERROR(__xludf.DUMMYFUNCTION("""COMPUTED_VALUE"""),38.801378)</f>
        <v>38.801378</v>
      </c>
      <c r="V718" s="2"/>
      <c r="W718" s="2"/>
      <c r="X718" s="2"/>
      <c r="Y718" s="2"/>
      <c r="Z718" s="2"/>
    </row>
    <row r="719">
      <c r="A719" s="6">
        <f>IFERROR(__xludf.DUMMYFUNCTION("""COMPUTED_VALUE"""),45842.5405787037)</f>
        <v>45842.54058</v>
      </c>
      <c r="B719" s="2" t="str">
        <f>IFERROR(__xludf.DUMMYFUNCTION("""COMPUTED_VALUE"""),"July")</f>
        <v>July</v>
      </c>
      <c r="C719" s="3">
        <f>IFERROR(__xludf.DUMMYFUNCTION("""COMPUTED_VALUE"""),126438.0)</f>
        <v>126438</v>
      </c>
      <c r="D719" s="2" t="str">
        <f>IFERROR(__xludf.DUMMYFUNCTION("""COMPUTED_VALUE"""),"ZM22")</f>
        <v>ZM22</v>
      </c>
      <c r="E719" s="2" t="str">
        <f>IFERROR(__xludf.DUMMYFUNCTION("""COMPUTED_VALUE"""),"Imported from file Digizag.xlsx")</f>
        <v>Imported from file Digizag.xlsx</v>
      </c>
      <c r="F719" s="2" t="str">
        <f>IFERROR(__xludf.DUMMYFUNCTION("""COMPUTED_VALUE"""),"LYA922650")</f>
        <v>LYA922650</v>
      </c>
      <c r="G719" s="2" t="str">
        <f>IFERROR(__xludf.DUMMYFUNCTION("""COMPUTED_VALUE"""),"UAE")</f>
        <v>UAE</v>
      </c>
      <c r="H719" s="4">
        <f>IFERROR(__xludf.DUMMYFUNCTION("""COMPUTED_VALUE"""),240.0)</f>
        <v>240</v>
      </c>
      <c r="I719" s="3">
        <f>IFERROR(__xludf.DUMMYFUNCTION("""COMPUTED_VALUE"""),0.0)</f>
        <v>0</v>
      </c>
      <c r="J719" s="4">
        <f>IFERROR(__xludf.DUMMYFUNCTION("""COMPUTED_VALUE"""),24.0)</f>
        <v>24</v>
      </c>
      <c r="K719" s="2"/>
      <c r="L719" s="2" t="str">
        <f>IFERROR(__xludf.DUMMYFUNCTION("""COMPUTED_VALUE"""),"Delivered")</f>
        <v>Delivered</v>
      </c>
      <c r="M719" s="2" t="str">
        <f>IFERROR(__xludf.DUMMYFUNCTION("""COMPUTED_VALUE"""),"")</f>
        <v></v>
      </c>
      <c r="N719" s="2" t="str">
        <f>IFERROR(__xludf.DUMMYFUNCTION("""COMPUTED_VALUE"""),"Credit, Debit , Apple Pay")</f>
        <v>Credit, Debit , Apple Pay</v>
      </c>
      <c r="O719" s="4">
        <f>IFERROR(__xludf.DUMMYFUNCTION("""COMPUTED_VALUE"""),0.0)</f>
        <v>0</v>
      </c>
      <c r="P719" s="2">
        <f>IFERROR(__xludf.DUMMYFUNCTION("""COMPUTED_VALUE"""),4.0)</f>
        <v>4</v>
      </c>
      <c r="Q719" s="2">
        <f>IFERROR(__xludf.DUMMYFUNCTION("""COMPUTED_VALUE"""),7.0)</f>
        <v>7</v>
      </c>
      <c r="R719" s="2">
        <f>IFERROR(__xludf.DUMMYFUNCTION("""COMPUTED_VALUE"""),2025.0)</f>
        <v>2025</v>
      </c>
      <c r="S719" s="2" t="str">
        <f>IFERROR(__xludf.DUMMYFUNCTION("""COMPUTED_VALUE"""),"Digizag")</f>
        <v>Digizag</v>
      </c>
      <c r="T719" s="2" t="str">
        <f>IFERROR(__xludf.DUMMYFUNCTION("""COMPUTED_VALUE"""),"Digizag")</f>
        <v>Digizag</v>
      </c>
      <c r="U719" s="5">
        <f>IFERROR(__xludf.DUMMYFUNCTION("""COMPUTED_VALUE"""),65.35057872)</f>
        <v>65.35057872</v>
      </c>
      <c r="V719" s="2"/>
      <c r="W719" s="2"/>
      <c r="X719" s="2"/>
      <c r="Y719" s="2"/>
      <c r="Z719" s="2"/>
    </row>
    <row r="720">
      <c r="A720" s="6">
        <f>IFERROR(__xludf.DUMMYFUNCTION("""COMPUTED_VALUE"""),45842.58857638889)</f>
        <v>45842.58858</v>
      </c>
      <c r="B720" s="2" t="str">
        <f>IFERROR(__xludf.DUMMYFUNCTION("""COMPUTED_VALUE"""),"July")</f>
        <v>July</v>
      </c>
      <c r="C720" s="3">
        <f>IFERROR(__xludf.DUMMYFUNCTION("""COMPUTED_VALUE"""),378702.0)</f>
        <v>378702</v>
      </c>
      <c r="D720" s="2" t="str">
        <f>IFERROR(__xludf.DUMMYFUNCTION("""COMPUTED_VALUE"""),"MNN27")</f>
        <v>MNN27</v>
      </c>
      <c r="E720" s="2" t="str">
        <f>IFERROR(__xludf.DUMMYFUNCTION("""COMPUTED_VALUE"""),"Imported from file DigiZag Codes 25Feb25.xlsx")</f>
        <v>Imported from file DigiZag Codes 25Feb25.xlsx</v>
      </c>
      <c r="F720" s="2" t="str">
        <f>IFERROR(__xludf.DUMMYFUNCTION("""COMPUTED_VALUE"""),"PMX973004")</f>
        <v>PMX973004</v>
      </c>
      <c r="G720" s="2" t="str">
        <f>IFERROR(__xludf.DUMMYFUNCTION("""COMPUTED_VALUE"""),"Bahrain")</f>
        <v>Bahrain</v>
      </c>
      <c r="H720" s="4">
        <f>IFERROR(__xludf.DUMMYFUNCTION("""COMPUTED_VALUE"""),20.88)</f>
        <v>20.88</v>
      </c>
      <c r="I720" s="3">
        <f>IFERROR(__xludf.DUMMYFUNCTION("""COMPUTED_VALUE"""),0.0)</f>
        <v>0</v>
      </c>
      <c r="J720" s="4">
        <f>IFERROR(__xludf.DUMMYFUNCTION("""COMPUTED_VALUE"""),2.07)</f>
        <v>2.07</v>
      </c>
      <c r="K720" s="2"/>
      <c r="L720" s="2" t="str">
        <f>IFERROR(__xludf.DUMMYFUNCTION("""COMPUTED_VALUE"""),"Delivered")</f>
        <v>Delivered</v>
      </c>
      <c r="M720" s="2" t="str">
        <f>IFERROR(__xludf.DUMMYFUNCTION("""COMPUTED_VALUE"""),"BHD")</f>
        <v>BHD</v>
      </c>
      <c r="N720" s="2" t="str">
        <f>IFERROR(__xludf.DUMMYFUNCTION("""COMPUTED_VALUE"""),"Cash")</f>
        <v>Cash</v>
      </c>
      <c r="O720" s="4">
        <f>IFERROR(__xludf.DUMMYFUNCTION("""COMPUTED_VALUE"""),0.0)</f>
        <v>0</v>
      </c>
      <c r="P720" s="2">
        <f>IFERROR(__xludf.DUMMYFUNCTION("""COMPUTED_VALUE"""),4.0)</f>
        <v>4</v>
      </c>
      <c r="Q720" s="2">
        <f>IFERROR(__xludf.DUMMYFUNCTION("""COMPUTED_VALUE"""),7.0)</f>
        <v>7</v>
      </c>
      <c r="R720" s="2">
        <f>IFERROR(__xludf.DUMMYFUNCTION("""COMPUTED_VALUE"""),2025.0)</f>
        <v>2025</v>
      </c>
      <c r="S720" s="2" t="str">
        <f>IFERROR(__xludf.DUMMYFUNCTION("""COMPUTED_VALUE"""),"Digizag")</f>
        <v>Digizag</v>
      </c>
      <c r="T720" s="2" t="str">
        <f>IFERROR(__xludf.DUMMYFUNCTION("""COMPUTED_VALUE"""),"Digizag")</f>
        <v>Digizag</v>
      </c>
      <c r="U720" s="5">
        <f>IFERROR(__xludf.DUMMYFUNCTION("""COMPUTED_VALUE"""),55.39290696)</f>
        <v>55.39290696</v>
      </c>
      <c r="V720" s="2"/>
      <c r="W720" s="2"/>
      <c r="X720" s="2"/>
      <c r="Y720" s="2"/>
      <c r="Z720" s="2"/>
    </row>
    <row r="721">
      <c r="A721" s="6">
        <f>IFERROR(__xludf.DUMMYFUNCTION("""COMPUTED_VALUE"""),45842.72803240741)</f>
        <v>45842.72803</v>
      </c>
      <c r="B721" s="2" t="str">
        <f>IFERROR(__xludf.DUMMYFUNCTION("""COMPUTED_VALUE"""),"July")</f>
        <v>July</v>
      </c>
      <c r="C721" s="3">
        <f>IFERROR(__xludf.DUMMYFUNCTION("""COMPUTED_VALUE"""),467481.0)</f>
        <v>467481</v>
      </c>
      <c r="D721" s="2" t="str">
        <f>IFERROR(__xludf.DUMMYFUNCTION("""COMPUTED_VALUE"""),"ZM22")</f>
        <v>ZM22</v>
      </c>
      <c r="E721" s="2" t="str">
        <f>IFERROR(__xludf.DUMMYFUNCTION("""COMPUTED_VALUE"""),"Imported from file Digizag.xlsx")</f>
        <v>Imported from file Digizag.xlsx</v>
      </c>
      <c r="F721" s="2" t="str">
        <f>IFERROR(__xludf.DUMMYFUNCTION("""COMPUTED_VALUE"""),"ZDD742368")</f>
        <v>ZDD742368</v>
      </c>
      <c r="G721" s="2" t="str">
        <f>IFERROR(__xludf.DUMMYFUNCTION("""COMPUTED_VALUE"""),"UAE")</f>
        <v>UAE</v>
      </c>
      <c r="H721" s="4">
        <f>IFERROR(__xludf.DUMMYFUNCTION("""COMPUTED_VALUE"""),335.0)</f>
        <v>335</v>
      </c>
      <c r="I721" s="3">
        <f>IFERROR(__xludf.DUMMYFUNCTION("""COMPUTED_VALUE"""),0.0)</f>
        <v>0</v>
      </c>
      <c r="J721" s="4">
        <f>IFERROR(__xludf.DUMMYFUNCTION("""COMPUTED_VALUE"""),33.5)</f>
        <v>33.5</v>
      </c>
      <c r="K721" s="2"/>
      <c r="L721" s="2" t="str">
        <f>IFERROR(__xludf.DUMMYFUNCTION("""COMPUTED_VALUE"""),"Delivered")</f>
        <v>Delivered</v>
      </c>
      <c r="M721" s="2" t="str">
        <f>IFERROR(__xludf.DUMMYFUNCTION("""COMPUTED_VALUE"""),"")</f>
        <v></v>
      </c>
      <c r="N721" s="2" t="str">
        <f>IFERROR(__xludf.DUMMYFUNCTION("""COMPUTED_VALUE"""),"Credit, Debit , Apple Pay")</f>
        <v>Credit, Debit , Apple Pay</v>
      </c>
      <c r="O721" s="4">
        <f>IFERROR(__xludf.DUMMYFUNCTION("""COMPUTED_VALUE"""),0.0)</f>
        <v>0</v>
      </c>
      <c r="P721" s="2">
        <f>IFERROR(__xludf.DUMMYFUNCTION("""COMPUTED_VALUE"""),4.0)</f>
        <v>4</v>
      </c>
      <c r="Q721" s="2">
        <f>IFERROR(__xludf.DUMMYFUNCTION("""COMPUTED_VALUE"""),7.0)</f>
        <v>7</v>
      </c>
      <c r="R721" s="2">
        <f>IFERROR(__xludf.DUMMYFUNCTION("""COMPUTED_VALUE"""),2025.0)</f>
        <v>2025</v>
      </c>
      <c r="S721" s="2" t="str">
        <f>IFERROR(__xludf.DUMMYFUNCTION("""COMPUTED_VALUE"""),"Digizag")</f>
        <v>Digizag</v>
      </c>
      <c r="T721" s="2" t="str">
        <f>IFERROR(__xludf.DUMMYFUNCTION("""COMPUTED_VALUE"""),"Digizag")</f>
        <v>Digizag</v>
      </c>
      <c r="U721" s="5">
        <f>IFERROR(__xludf.DUMMYFUNCTION("""COMPUTED_VALUE"""),91.21851613)</f>
        <v>91.21851613</v>
      </c>
      <c r="V721" s="2"/>
      <c r="W721" s="2"/>
      <c r="X721" s="2"/>
      <c r="Y721" s="2"/>
      <c r="Z721" s="2"/>
    </row>
    <row r="722">
      <c r="A722" s="6">
        <f>IFERROR(__xludf.DUMMYFUNCTION("""COMPUTED_VALUE"""),45842.84355324074)</f>
        <v>45842.84355</v>
      </c>
      <c r="B722" s="2" t="str">
        <f>IFERROR(__xludf.DUMMYFUNCTION("""COMPUTED_VALUE"""),"July")</f>
        <v>July</v>
      </c>
      <c r="C722" s="3">
        <f>IFERROR(__xludf.DUMMYFUNCTION("""COMPUTED_VALUE"""),569712.0)</f>
        <v>569712</v>
      </c>
      <c r="D722" s="2" t="str">
        <f>IFERROR(__xludf.DUMMYFUNCTION("""COMPUTED_VALUE"""),"MNN27")</f>
        <v>MNN27</v>
      </c>
      <c r="E722" s="2" t="str">
        <f>IFERROR(__xludf.DUMMYFUNCTION("""COMPUTED_VALUE"""),"Imported from file DigiZag Codes 25Feb25.xlsx")</f>
        <v>Imported from file DigiZag Codes 25Feb25.xlsx</v>
      </c>
      <c r="F722" s="2" t="str">
        <f>IFERROR(__xludf.DUMMYFUNCTION("""COMPUTED_VALUE"""),"RPT980078")</f>
        <v>RPT980078</v>
      </c>
      <c r="G722" s="2" t="str">
        <f>IFERROR(__xludf.DUMMYFUNCTION("""COMPUTED_VALUE"""),"Kuwait")</f>
        <v>Kuwait</v>
      </c>
      <c r="H722" s="4">
        <f>IFERROR(__xludf.DUMMYFUNCTION("""COMPUTED_VALUE"""),5.5)</f>
        <v>5.5</v>
      </c>
      <c r="I722" s="3">
        <f>IFERROR(__xludf.DUMMYFUNCTION("""COMPUTED_VALUE"""),0.0)</f>
        <v>0</v>
      </c>
      <c r="J722" s="4">
        <f>IFERROR(__xludf.DUMMYFUNCTION("""COMPUTED_VALUE"""),0.55)</f>
        <v>0.55</v>
      </c>
      <c r="K722" s="2"/>
      <c r="L722" s="2" t="str">
        <f>IFERROR(__xludf.DUMMYFUNCTION("""COMPUTED_VALUE"""),"Delivered")</f>
        <v>Delivered</v>
      </c>
      <c r="M722" s="2" t="str">
        <f>IFERROR(__xludf.DUMMYFUNCTION("""COMPUTED_VALUE"""),"KD")</f>
        <v>KD</v>
      </c>
      <c r="N722" s="2" t="str">
        <f>IFERROR(__xludf.DUMMYFUNCTION("""COMPUTED_VALUE"""),"Credit, Debit, Knet")</f>
        <v>Credit, Debit, Knet</v>
      </c>
      <c r="O722" s="4">
        <f>IFERROR(__xludf.DUMMYFUNCTION("""COMPUTED_VALUE"""),0.0)</f>
        <v>0</v>
      </c>
      <c r="P722" s="2">
        <f>IFERROR(__xludf.DUMMYFUNCTION("""COMPUTED_VALUE"""),4.0)</f>
        <v>4</v>
      </c>
      <c r="Q722" s="2">
        <f>IFERROR(__xludf.DUMMYFUNCTION("""COMPUTED_VALUE"""),7.0)</f>
        <v>7</v>
      </c>
      <c r="R722" s="2">
        <f>IFERROR(__xludf.DUMMYFUNCTION("""COMPUTED_VALUE"""),2025.0)</f>
        <v>2025</v>
      </c>
      <c r="S722" s="2" t="str">
        <f>IFERROR(__xludf.DUMMYFUNCTION("""COMPUTED_VALUE"""),"Digizag")</f>
        <v>Digizag</v>
      </c>
      <c r="T722" s="2" t="str">
        <f>IFERROR(__xludf.DUMMYFUNCTION("""COMPUTED_VALUE"""),"Digizag")</f>
        <v>Digizag</v>
      </c>
      <c r="U722" s="5">
        <f>IFERROR(__xludf.DUMMYFUNCTION("""COMPUTED_VALUE"""),17.93341)</f>
        <v>17.93341</v>
      </c>
      <c r="V722" s="2"/>
      <c r="W722" s="2"/>
      <c r="X722" s="2"/>
      <c r="Y722" s="2"/>
      <c r="Z722" s="2"/>
    </row>
    <row r="723">
      <c r="A723" s="6">
        <f>IFERROR(__xludf.DUMMYFUNCTION("""COMPUTED_VALUE"""),45842.87858796296)</f>
        <v>45842.87859</v>
      </c>
      <c r="B723" s="2" t="str">
        <f>IFERROR(__xludf.DUMMYFUNCTION("""COMPUTED_VALUE"""),"July")</f>
        <v>July</v>
      </c>
      <c r="C723" s="3">
        <f>IFERROR(__xludf.DUMMYFUNCTION("""COMPUTED_VALUE"""),744612.0)</f>
        <v>744612</v>
      </c>
      <c r="D723" s="2" t="str">
        <f>IFERROR(__xludf.DUMMYFUNCTION("""COMPUTED_VALUE"""),"DB1")</f>
        <v>DB1</v>
      </c>
      <c r="E723" s="2" t="str">
        <f>IFERROR(__xludf.DUMMYFUNCTION("""COMPUTED_VALUE"""),"Imported from file Digizag.xlsx")</f>
        <v>Imported from file Digizag.xlsx</v>
      </c>
      <c r="F723" s="2" t="str">
        <f>IFERROR(__xludf.DUMMYFUNCTION("""COMPUTED_VALUE"""),"SSU173923")</f>
        <v>SSU173923</v>
      </c>
      <c r="G723" s="2" t="str">
        <f>IFERROR(__xludf.DUMMYFUNCTION("""COMPUTED_VALUE"""),"Kuwait")</f>
        <v>Kuwait</v>
      </c>
      <c r="H723" s="4">
        <f>IFERROR(__xludf.DUMMYFUNCTION("""COMPUTED_VALUE"""),8.7)</f>
        <v>8.7</v>
      </c>
      <c r="I723" s="3">
        <f>IFERROR(__xludf.DUMMYFUNCTION("""COMPUTED_VALUE"""),0.0)</f>
        <v>0</v>
      </c>
      <c r="J723" s="4">
        <f>IFERROR(__xludf.DUMMYFUNCTION("""COMPUTED_VALUE"""),0.87)</f>
        <v>0.87</v>
      </c>
      <c r="K723" s="2"/>
      <c r="L723" s="2" t="str">
        <f>IFERROR(__xludf.DUMMYFUNCTION("""COMPUTED_VALUE"""),"Delivered")</f>
        <v>Delivered</v>
      </c>
      <c r="M723" s="2" t="str">
        <f>IFERROR(__xludf.DUMMYFUNCTION("""COMPUTED_VALUE"""),"KD")</f>
        <v>KD</v>
      </c>
      <c r="N723" s="2" t="str">
        <f>IFERROR(__xludf.DUMMYFUNCTION("""COMPUTED_VALUE"""),"Cash")</f>
        <v>Cash</v>
      </c>
      <c r="O723" s="4">
        <f>IFERROR(__xludf.DUMMYFUNCTION("""COMPUTED_VALUE"""),0.0)</f>
        <v>0</v>
      </c>
      <c r="P723" s="2">
        <f>IFERROR(__xludf.DUMMYFUNCTION("""COMPUTED_VALUE"""),4.0)</f>
        <v>4</v>
      </c>
      <c r="Q723" s="2">
        <f>IFERROR(__xludf.DUMMYFUNCTION("""COMPUTED_VALUE"""),7.0)</f>
        <v>7</v>
      </c>
      <c r="R723" s="2">
        <f>IFERROR(__xludf.DUMMYFUNCTION("""COMPUTED_VALUE"""),2025.0)</f>
        <v>2025</v>
      </c>
      <c r="S723" s="2" t="str">
        <f>IFERROR(__xludf.DUMMYFUNCTION("""COMPUTED_VALUE"""),"Digizag")</f>
        <v>Digizag</v>
      </c>
      <c r="T723" s="2" t="str">
        <f>IFERROR(__xludf.DUMMYFUNCTION("""COMPUTED_VALUE"""),"Digizag")</f>
        <v>Digizag</v>
      </c>
      <c r="U723" s="5">
        <f>IFERROR(__xludf.DUMMYFUNCTION("""COMPUTED_VALUE"""),28.367393999999997)</f>
        <v>28.367394</v>
      </c>
      <c r="V723" s="2"/>
      <c r="W723" s="2"/>
      <c r="X723" s="2"/>
      <c r="Y723" s="2"/>
      <c r="Z723" s="2"/>
    </row>
    <row r="724">
      <c r="A724" s="6">
        <f>IFERROR(__xludf.DUMMYFUNCTION("""COMPUTED_VALUE"""),45843.09805555555)</f>
        <v>45843.09806</v>
      </c>
      <c r="B724" s="2" t="str">
        <f>IFERROR(__xludf.DUMMYFUNCTION("""COMPUTED_VALUE"""),"July")</f>
        <v>July</v>
      </c>
      <c r="C724" s="3">
        <f>IFERROR(__xludf.DUMMYFUNCTION("""COMPUTED_VALUE"""),22734.0)</f>
        <v>22734</v>
      </c>
      <c r="D724" s="2" t="str">
        <f>IFERROR(__xludf.DUMMYFUNCTION("""COMPUTED_VALUE"""),"DB1")</f>
        <v>DB1</v>
      </c>
      <c r="E724" s="2" t="str">
        <f>IFERROR(__xludf.DUMMYFUNCTION("""COMPUTED_VALUE"""),"Imported from file Digizag.xlsx")</f>
        <v>Imported from file Digizag.xlsx</v>
      </c>
      <c r="F724" s="2" t="str">
        <f>IFERROR(__xludf.DUMMYFUNCTION("""COMPUTED_VALUE"""),"WUX937826")</f>
        <v>WUX937826</v>
      </c>
      <c r="G724" s="2" t="str">
        <f>IFERROR(__xludf.DUMMYFUNCTION("""COMPUTED_VALUE"""),"Kuwait")</f>
        <v>Kuwait</v>
      </c>
      <c r="H724" s="4">
        <f>IFERROR(__xludf.DUMMYFUNCTION("""COMPUTED_VALUE"""),26.95)</f>
        <v>26.95</v>
      </c>
      <c r="I724" s="3">
        <f>IFERROR(__xludf.DUMMYFUNCTION("""COMPUTED_VALUE"""),0.0)</f>
        <v>0</v>
      </c>
      <c r="J724" s="4">
        <f>IFERROR(__xludf.DUMMYFUNCTION("""COMPUTED_VALUE"""),2.695)</f>
        <v>2.695</v>
      </c>
      <c r="K724" s="2"/>
      <c r="L724" s="2" t="str">
        <f>IFERROR(__xludf.DUMMYFUNCTION("""COMPUTED_VALUE"""),"Delivered")</f>
        <v>Delivered</v>
      </c>
      <c r="M724" s="2" t="str">
        <f>IFERROR(__xludf.DUMMYFUNCTION("""COMPUTED_VALUE"""),"KD")</f>
        <v>KD</v>
      </c>
      <c r="N724" s="2" t="str">
        <f>IFERROR(__xludf.DUMMYFUNCTION("""COMPUTED_VALUE"""),"Credit, Debit, Knet")</f>
        <v>Credit, Debit, Knet</v>
      </c>
      <c r="O724" s="4">
        <f>IFERROR(__xludf.DUMMYFUNCTION("""COMPUTED_VALUE"""),0.0)</f>
        <v>0</v>
      </c>
      <c r="P724" s="2">
        <f>IFERROR(__xludf.DUMMYFUNCTION("""COMPUTED_VALUE"""),5.0)</f>
        <v>5</v>
      </c>
      <c r="Q724" s="2">
        <f>IFERROR(__xludf.DUMMYFUNCTION("""COMPUTED_VALUE"""),7.0)</f>
        <v>7</v>
      </c>
      <c r="R724" s="2">
        <f>IFERROR(__xludf.DUMMYFUNCTION("""COMPUTED_VALUE"""),2025.0)</f>
        <v>2025</v>
      </c>
      <c r="S724" s="2" t="str">
        <f>IFERROR(__xludf.DUMMYFUNCTION("""COMPUTED_VALUE"""),"Digizag")</f>
        <v>Digizag</v>
      </c>
      <c r="T724" s="2" t="str">
        <f>IFERROR(__xludf.DUMMYFUNCTION("""COMPUTED_VALUE"""),"Digizag")</f>
        <v>Digizag</v>
      </c>
      <c r="U724" s="5">
        <f>IFERROR(__xludf.DUMMYFUNCTION("""COMPUTED_VALUE"""),87.87370899999999)</f>
        <v>87.873709</v>
      </c>
      <c r="V724" s="2"/>
      <c r="W724" s="2"/>
      <c r="X724" s="2"/>
      <c r="Y724" s="2"/>
      <c r="Z724" s="2"/>
    </row>
    <row r="725">
      <c r="A725" s="6">
        <f>IFERROR(__xludf.DUMMYFUNCTION("""COMPUTED_VALUE"""),45843.16694444444)</f>
        <v>45843.16694</v>
      </c>
      <c r="B725" s="2" t="str">
        <f>IFERROR(__xludf.DUMMYFUNCTION("""COMPUTED_VALUE"""),"July")</f>
        <v>July</v>
      </c>
      <c r="C725" s="3">
        <f>IFERROR(__xludf.DUMMYFUNCTION("""COMPUTED_VALUE"""),124509.0)</f>
        <v>124509</v>
      </c>
      <c r="D725" s="2" t="str">
        <f>IFERROR(__xludf.DUMMYFUNCTION("""COMPUTED_VALUE"""),"ZM22")</f>
        <v>ZM22</v>
      </c>
      <c r="E725" s="2" t="str">
        <f>IFERROR(__xludf.DUMMYFUNCTION("""COMPUTED_VALUE"""),"Imported from file Digizag.xlsx")</f>
        <v>Imported from file Digizag.xlsx</v>
      </c>
      <c r="F725" s="2" t="str">
        <f>IFERROR(__xludf.DUMMYFUNCTION("""COMPUTED_VALUE"""),"VWL881767")</f>
        <v>VWL881767</v>
      </c>
      <c r="G725" s="2" t="str">
        <f>IFERROR(__xludf.DUMMYFUNCTION("""COMPUTED_VALUE"""),"UAE")</f>
        <v>UAE</v>
      </c>
      <c r="H725" s="4">
        <f>IFERROR(__xludf.DUMMYFUNCTION("""COMPUTED_VALUE"""),516.0)</f>
        <v>516</v>
      </c>
      <c r="I725" s="3">
        <f>IFERROR(__xludf.DUMMYFUNCTION("""COMPUTED_VALUE"""),0.0)</f>
        <v>0</v>
      </c>
      <c r="J725" s="4">
        <f>IFERROR(__xludf.DUMMYFUNCTION("""COMPUTED_VALUE"""),51.6)</f>
        <v>51.6</v>
      </c>
      <c r="K725" s="2"/>
      <c r="L725" s="2" t="str">
        <f>IFERROR(__xludf.DUMMYFUNCTION("""COMPUTED_VALUE"""),"Delivered")</f>
        <v>Delivered</v>
      </c>
      <c r="M725" s="2" t="str">
        <f>IFERROR(__xludf.DUMMYFUNCTION("""COMPUTED_VALUE"""),"")</f>
        <v></v>
      </c>
      <c r="N725" s="2" t="str">
        <f>IFERROR(__xludf.DUMMYFUNCTION("""COMPUTED_VALUE"""),"Credit, Debit , Apple Pay")</f>
        <v>Credit, Debit , Apple Pay</v>
      </c>
      <c r="O725" s="4">
        <f>IFERROR(__xludf.DUMMYFUNCTION("""COMPUTED_VALUE"""),0.0)</f>
        <v>0</v>
      </c>
      <c r="P725" s="2">
        <f>IFERROR(__xludf.DUMMYFUNCTION("""COMPUTED_VALUE"""),5.0)</f>
        <v>5</v>
      </c>
      <c r="Q725" s="2">
        <f>IFERROR(__xludf.DUMMYFUNCTION("""COMPUTED_VALUE"""),7.0)</f>
        <v>7</v>
      </c>
      <c r="R725" s="2">
        <f>IFERROR(__xludf.DUMMYFUNCTION("""COMPUTED_VALUE"""),2025.0)</f>
        <v>2025</v>
      </c>
      <c r="S725" s="2" t="str">
        <f>IFERROR(__xludf.DUMMYFUNCTION("""COMPUTED_VALUE"""),"Digizag")</f>
        <v>Digizag</v>
      </c>
      <c r="T725" s="2" t="str">
        <f>IFERROR(__xludf.DUMMYFUNCTION("""COMPUTED_VALUE"""),"Digizag")</f>
        <v>Digizag</v>
      </c>
      <c r="U725" s="5">
        <f>IFERROR(__xludf.DUMMYFUNCTION("""COMPUTED_VALUE"""),140.503744248)</f>
        <v>140.5037442</v>
      </c>
      <c r="V725" s="2"/>
      <c r="W725" s="2"/>
      <c r="X725" s="2"/>
      <c r="Y725" s="2"/>
      <c r="Z725" s="2"/>
    </row>
    <row r="726">
      <c r="A726" s="6">
        <f>IFERROR(__xludf.DUMMYFUNCTION("""COMPUTED_VALUE"""),45843.319143518514)</f>
        <v>45843.31914</v>
      </c>
      <c r="B726" s="2" t="str">
        <f>IFERROR(__xludf.DUMMYFUNCTION("""COMPUTED_VALUE"""),"July")</f>
        <v>July</v>
      </c>
      <c r="C726" s="3">
        <f>IFERROR(__xludf.DUMMYFUNCTION("""COMPUTED_VALUE"""),24870.0)</f>
        <v>24870</v>
      </c>
      <c r="D726" s="2" t="str">
        <f>IFERROR(__xludf.DUMMYFUNCTION("""COMPUTED_VALUE"""),"RR22")</f>
        <v>RR22</v>
      </c>
      <c r="E726" s="2" t="str">
        <f>IFERROR(__xludf.DUMMYFUNCTION("""COMPUTED_VALUE"""),"Imported from file Digizag.xlsx")</f>
        <v>Imported from file Digizag.xlsx</v>
      </c>
      <c r="F726" s="2" t="str">
        <f>IFERROR(__xludf.DUMMYFUNCTION("""COMPUTED_VALUE"""),"BWN433815")</f>
        <v>BWN433815</v>
      </c>
      <c r="G726" s="2" t="str">
        <f>IFERROR(__xludf.DUMMYFUNCTION("""COMPUTED_VALUE"""),"UAE")</f>
        <v>UAE</v>
      </c>
      <c r="H726" s="4">
        <f>IFERROR(__xludf.DUMMYFUNCTION("""COMPUTED_VALUE"""),225.0)</f>
        <v>225</v>
      </c>
      <c r="I726" s="3">
        <f>IFERROR(__xludf.DUMMYFUNCTION("""COMPUTED_VALUE"""),0.0)</f>
        <v>0</v>
      </c>
      <c r="J726" s="4">
        <f>IFERROR(__xludf.DUMMYFUNCTION("""COMPUTED_VALUE"""),22.5)</f>
        <v>22.5</v>
      </c>
      <c r="K726" s="2"/>
      <c r="L726" s="2" t="str">
        <f>IFERROR(__xludf.DUMMYFUNCTION("""COMPUTED_VALUE"""),"Delivered")</f>
        <v>Delivered</v>
      </c>
      <c r="M726" s="2" t="str">
        <f>IFERROR(__xludf.DUMMYFUNCTION("""COMPUTED_VALUE"""),"")</f>
        <v></v>
      </c>
      <c r="N726" s="2" t="str">
        <f>IFERROR(__xludf.DUMMYFUNCTION("""COMPUTED_VALUE"""),"Credit, Debit , Apple Pay")</f>
        <v>Credit, Debit , Apple Pay</v>
      </c>
      <c r="O726" s="4">
        <f>IFERROR(__xludf.DUMMYFUNCTION("""COMPUTED_VALUE"""),0.0)</f>
        <v>0</v>
      </c>
      <c r="P726" s="2">
        <f>IFERROR(__xludf.DUMMYFUNCTION("""COMPUTED_VALUE"""),5.0)</f>
        <v>5</v>
      </c>
      <c r="Q726" s="2">
        <f>IFERROR(__xludf.DUMMYFUNCTION("""COMPUTED_VALUE"""),7.0)</f>
        <v>7</v>
      </c>
      <c r="R726" s="2">
        <f>IFERROR(__xludf.DUMMYFUNCTION("""COMPUTED_VALUE"""),2025.0)</f>
        <v>2025</v>
      </c>
      <c r="S726" s="2" t="str">
        <f>IFERROR(__xludf.DUMMYFUNCTION("""COMPUTED_VALUE"""),"Digizag")</f>
        <v>Digizag</v>
      </c>
      <c r="T726" s="2" t="str">
        <f>IFERROR(__xludf.DUMMYFUNCTION("""COMPUTED_VALUE"""),"Digizag")</f>
        <v>Digizag</v>
      </c>
      <c r="U726" s="5">
        <f>IFERROR(__xludf.DUMMYFUNCTION("""COMPUTED_VALUE"""),61.26616755)</f>
        <v>61.26616755</v>
      </c>
      <c r="V726" s="2"/>
      <c r="W726" s="2"/>
      <c r="X726" s="2"/>
      <c r="Y726" s="2"/>
      <c r="Z726" s="2"/>
    </row>
    <row r="727">
      <c r="A727" s="6">
        <f>IFERROR(__xludf.DUMMYFUNCTION("""COMPUTED_VALUE"""),45843.36027777778)</f>
        <v>45843.36028</v>
      </c>
      <c r="B727" s="2" t="str">
        <f>IFERROR(__xludf.DUMMYFUNCTION("""COMPUTED_VALUE"""),"July")</f>
        <v>July</v>
      </c>
      <c r="C727" s="3">
        <f>IFERROR(__xludf.DUMMYFUNCTION("""COMPUTED_VALUE"""),30154.0)</f>
        <v>30154</v>
      </c>
      <c r="D727" s="2" t="str">
        <f>IFERROR(__xludf.DUMMYFUNCTION("""COMPUTED_VALUE"""),"MNN27")</f>
        <v>MNN27</v>
      </c>
      <c r="E727" s="2" t="str">
        <f>IFERROR(__xludf.DUMMYFUNCTION("""COMPUTED_VALUE"""),"Imported from file DigiZag Bidding Codes.xlsx")</f>
        <v>Imported from file DigiZag Bidding Codes.xlsx</v>
      </c>
      <c r="F727" s="2" t="str">
        <f>IFERROR(__xludf.DUMMYFUNCTION("""COMPUTED_VALUE"""),"HCC316745")</f>
        <v>HCC316745</v>
      </c>
      <c r="G727" s="2" t="str">
        <f>IFERROR(__xludf.DUMMYFUNCTION("""COMPUTED_VALUE"""),"Kingdom of Saudi Arabia")</f>
        <v>Kingdom of Saudi Arabia</v>
      </c>
      <c r="H727" s="4">
        <f>IFERROR(__xludf.DUMMYFUNCTION("""COMPUTED_VALUE"""),263.59)</f>
        <v>263.59</v>
      </c>
      <c r="I727" s="3">
        <f>IFERROR(__xludf.DUMMYFUNCTION("""COMPUTED_VALUE"""),0.0)</f>
        <v>0</v>
      </c>
      <c r="J727" s="4">
        <f>IFERROR(__xludf.DUMMYFUNCTION("""COMPUTED_VALUE"""),30.0)</f>
        <v>30</v>
      </c>
      <c r="K727" s="2"/>
      <c r="L727" s="2" t="str">
        <f>IFERROR(__xludf.DUMMYFUNCTION("""COMPUTED_VALUE"""),"Delivered")</f>
        <v>Delivered</v>
      </c>
      <c r="M727" s="2" t="str">
        <f>IFERROR(__xludf.DUMMYFUNCTION("""COMPUTED_VALUE"""),"")</f>
        <v></v>
      </c>
      <c r="N727" s="2" t="str">
        <f>IFERROR(__xludf.DUMMYFUNCTION("""COMPUTED_VALUE"""),"Credit, Debit, Apple Pay")</f>
        <v>Credit, Debit, Apple Pay</v>
      </c>
      <c r="O727" s="4">
        <f>IFERROR(__xludf.DUMMYFUNCTION("""COMPUTED_VALUE"""),0.0)</f>
        <v>0</v>
      </c>
      <c r="P727" s="2">
        <f>IFERROR(__xludf.DUMMYFUNCTION("""COMPUTED_VALUE"""),5.0)</f>
        <v>5</v>
      </c>
      <c r="Q727" s="2">
        <f>IFERROR(__xludf.DUMMYFUNCTION("""COMPUTED_VALUE"""),7.0)</f>
        <v>7</v>
      </c>
      <c r="R727" s="2">
        <f>IFERROR(__xludf.DUMMYFUNCTION("""COMPUTED_VALUE"""),2025.0)</f>
        <v>2025</v>
      </c>
      <c r="S727" s="2" t="str">
        <f>IFERROR(__xludf.DUMMYFUNCTION("""COMPUTED_VALUE"""),"Digizag")</f>
        <v>Digizag</v>
      </c>
      <c r="T727" s="2" t="str">
        <f>IFERROR(__xludf.DUMMYFUNCTION("""COMPUTED_VALUE"""),"Digizag")</f>
        <v>Digizag</v>
      </c>
      <c r="U727" s="5">
        <f>IFERROR(__xludf.DUMMYFUNCTION("""COMPUTED_VALUE"""),70.28523126514)</f>
        <v>70.28523127</v>
      </c>
      <c r="V727" s="2"/>
      <c r="W727" s="2"/>
      <c r="X727" s="2"/>
      <c r="Y727" s="2"/>
      <c r="Z727" s="2"/>
    </row>
    <row r="728">
      <c r="A728" s="6">
        <f>IFERROR(__xludf.DUMMYFUNCTION("""COMPUTED_VALUE"""),45843.73226851851)</f>
        <v>45843.73227</v>
      </c>
      <c r="B728" s="2" t="str">
        <f>IFERROR(__xludf.DUMMYFUNCTION("""COMPUTED_VALUE"""),"July")</f>
        <v>July</v>
      </c>
      <c r="C728" s="3">
        <f>IFERROR(__xludf.DUMMYFUNCTION("""COMPUTED_VALUE"""),768058.0)</f>
        <v>768058</v>
      </c>
      <c r="D728" s="2" t="str">
        <f>IFERROR(__xludf.DUMMYFUNCTION("""COMPUTED_VALUE"""),"DB1")</f>
        <v>DB1</v>
      </c>
      <c r="E728" s="2" t="str">
        <f>IFERROR(__xludf.DUMMYFUNCTION("""COMPUTED_VALUE"""),"Imported from file Digizag.xlsx")</f>
        <v>Imported from file Digizag.xlsx</v>
      </c>
      <c r="F728" s="2" t="str">
        <f>IFERROR(__xludf.DUMMYFUNCTION("""COMPUTED_VALUE"""),"JWL220467")</f>
        <v>JWL220467</v>
      </c>
      <c r="G728" s="2" t="str">
        <f>IFERROR(__xludf.DUMMYFUNCTION("""COMPUTED_VALUE"""),"Kingdom of Saudi Arabia")</f>
        <v>Kingdom of Saudi Arabia</v>
      </c>
      <c r="H728" s="4">
        <f>IFERROR(__xludf.DUMMYFUNCTION("""COMPUTED_VALUE"""),353.3)</f>
        <v>353.3</v>
      </c>
      <c r="I728" s="3">
        <f>IFERROR(__xludf.DUMMYFUNCTION("""COMPUTED_VALUE"""),0.0)</f>
        <v>0</v>
      </c>
      <c r="J728" s="4">
        <f>IFERROR(__xludf.DUMMYFUNCTION("""COMPUTED_VALUE"""),30.0)</f>
        <v>30</v>
      </c>
      <c r="K728" s="2"/>
      <c r="L728" s="2" t="str">
        <f>IFERROR(__xludf.DUMMYFUNCTION("""COMPUTED_VALUE"""),"Delivered")</f>
        <v>Delivered</v>
      </c>
      <c r="M728" s="2" t="str">
        <f>IFERROR(__xludf.DUMMYFUNCTION("""COMPUTED_VALUE"""),"")</f>
        <v></v>
      </c>
      <c r="N728" s="2" t="str">
        <f>IFERROR(__xludf.DUMMYFUNCTION("""COMPUTED_VALUE"""),"Credit, Debit, Apple Pay")</f>
        <v>Credit, Debit, Apple Pay</v>
      </c>
      <c r="O728" s="4">
        <f>IFERROR(__xludf.DUMMYFUNCTION("""COMPUTED_VALUE"""),0.0)</f>
        <v>0</v>
      </c>
      <c r="P728" s="2">
        <f>IFERROR(__xludf.DUMMYFUNCTION("""COMPUTED_VALUE"""),5.0)</f>
        <v>5</v>
      </c>
      <c r="Q728" s="2">
        <f>IFERROR(__xludf.DUMMYFUNCTION("""COMPUTED_VALUE"""),7.0)</f>
        <v>7</v>
      </c>
      <c r="R728" s="2">
        <f>IFERROR(__xludf.DUMMYFUNCTION("""COMPUTED_VALUE"""),2025.0)</f>
        <v>2025</v>
      </c>
      <c r="S728" s="2" t="str">
        <f>IFERROR(__xludf.DUMMYFUNCTION("""COMPUTED_VALUE"""),"Digizag")</f>
        <v>Digizag</v>
      </c>
      <c r="T728" s="2" t="str">
        <f>IFERROR(__xludf.DUMMYFUNCTION("""COMPUTED_VALUE"""),"Digizag")</f>
        <v>Digizag</v>
      </c>
      <c r="U728" s="5">
        <f>IFERROR(__xludf.DUMMYFUNCTION("""COMPUTED_VALUE"""),94.20604805180001)</f>
        <v>94.20604805</v>
      </c>
      <c r="V728" s="2"/>
      <c r="W728" s="2"/>
      <c r="X728" s="2"/>
      <c r="Y728" s="2"/>
      <c r="Z728" s="2"/>
    </row>
    <row r="729">
      <c r="A729" s="6">
        <f>IFERROR(__xludf.DUMMYFUNCTION("""COMPUTED_VALUE"""),45843.76709490741)</f>
        <v>45843.76709</v>
      </c>
      <c r="B729" s="2" t="str">
        <f>IFERROR(__xludf.DUMMYFUNCTION("""COMPUTED_VALUE"""),"July")</f>
        <v>July</v>
      </c>
      <c r="C729" s="3">
        <f>IFERROR(__xludf.DUMMYFUNCTION("""COMPUTED_VALUE"""),187614.0)</f>
        <v>187614</v>
      </c>
      <c r="D729" s="2" t="str">
        <f>IFERROR(__xludf.DUMMYFUNCTION("""COMPUTED_VALUE"""),"ZM22")</f>
        <v>ZM22</v>
      </c>
      <c r="E729" s="2" t="str">
        <f>IFERROR(__xludf.DUMMYFUNCTION("""COMPUTED_VALUE"""),"Imported from file Digizag.xlsx")</f>
        <v>Imported from file Digizag.xlsx</v>
      </c>
      <c r="F729" s="2" t="str">
        <f>IFERROR(__xludf.DUMMYFUNCTION("""COMPUTED_VALUE"""),"TWH184495")</f>
        <v>TWH184495</v>
      </c>
      <c r="G729" s="2" t="str">
        <f>IFERROR(__xludf.DUMMYFUNCTION("""COMPUTED_VALUE"""),"UAE")</f>
        <v>UAE</v>
      </c>
      <c r="H729" s="4">
        <f>IFERROR(__xludf.DUMMYFUNCTION("""COMPUTED_VALUE"""),306.24)</f>
        <v>306.24</v>
      </c>
      <c r="I729" s="3">
        <f>IFERROR(__xludf.DUMMYFUNCTION("""COMPUTED_VALUE"""),0.0)</f>
        <v>0</v>
      </c>
      <c r="J729" s="4">
        <f>IFERROR(__xludf.DUMMYFUNCTION("""COMPUTED_VALUE"""),30.62)</f>
        <v>30.62</v>
      </c>
      <c r="K729" s="2"/>
      <c r="L729" s="2" t="str">
        <f>IFERROR(__xludf.DUMMYFUNCTION("""COMPUTED_VALUE"""),"Delivered")</f>
        <v>Delivered</v>
      </c>
      <c r="M729" s="2" t="str">
        <f>IFERROR(__xludf.DUMMYFUNCTION("""COMPUTED_VALUE"""),"")</f>
        <v></v>
      </c>
      <c r="N729" s="2" t="str">
        <f>IFERROR(__xludf.DUMMYFUNCTION("""COMPUTED_VALUE"""),"Credit, Debit , Apple Pay")</f>
        <v>Credit, Debit , Apple Pay</v>
      </c>
      <c r="O729" s="4">
        <f>IFERROR(__xludf.DUMMYFUNCTION("""COMPUTED_VALUE"""),0.0)</f>
        <v>0</v>
      </c>
      <c r="P729" s="2">
        <f>IFERROR(__xludf.DUMMYFUNCTION("""COMPUTED_VALUE"""),5.0)</f>
        <v>5</v>
      </c>
      <c r="Q729" s="2">
        <f>IFERROR(__xludf.DUMMYFUNCTION("""COMPUTED_VALUE"""),7.0)</f>
        <v>7</v>
      </c>
      <c r="R729" s="2">
        <f>IFERROR(__xludf.DUMMYFUNCTION("""COMPUTED_VALUE"""),2025.0)</f>
        <v>2025</v>
      </c>
      <c r="S729" s="2" t="str">
        <f>IFERROR(__xludf.DUMMYFUNCTION("""COMPUTED_VALUE"""),"Digizag")</f>
        <v>Digizag</v>
      </c>
      <c r="T729" s="2" t="str">
        <f>IFERROR(__xludf.DUMMYFUNCTION("""COMPUTED_VALUE"""),"Digizag")</f>
        <v>Digizag</v>
      </c>
      <c r="U729" s="5">
        <f>IFERROR(__xludf.DUMMYFUNCTION("""COMPUTED_VALUE"""),83.38733844672)</f>
        <v>83.38733845</v>
      </c>
      <c r="V729" s="2"/>
      <c r="W729" s="2"/>
      <c r="X729" s="2"/>
      <c r="Y729" s="2"/>
      <c r="Z729" s="2"/>
    </row>
    <row r="730">
      <c r="A730" s="6">
        <f>IFERROR(__xludf.DUMMYFUNCTION("""COMPUTED_VALUE"""),45844.44459490741)</f>
        <v>45844.44459</v>
      </c>
      <c r="B730" s="2" t="str">
        <f>IFERROR(__xludf.DUMMYFUNCTION("""COMPUTED_VALUE"""),"July")</f>
        <v>July</v>
      </c>
      <c r="C730" s="3">
        <f>IFERROR(__xludf.DUMMYFUNCTION("""COMPUTED_VALUE"""),768342.0)</f>
        <v>768342</v>
      </c>
      <c r="D730" s="2" t="str">
        <f>IFERROR(__xludf.DUMMYFUNCTION("""COMPUTED_VALUE"""),"ZM22")</f>
        <v>ZM22</v>
      </c>
      <c r="E730" s="2" t="str">
        <f>IFERROR(__xludf.DUMMYFUNCTION("""COMPUTED_VALUE"""),"Imported from file Digizag.xlsx")</f>
        <v>Imported from file Digizag.xlsx</v>
      </c>
      <c r="F730" s="2" t="str">
        <f>IFERROR(__xludf.DUMMYFUNCTION("""COMPUTED_VALUE"""),"LNY386892")</f>
        <v>LNY386892</v>
      </c>
      <c r="G730" s="2" t="str">
        <f>IFERROR(__xludf.DUMMYFUNCTION("""COMPUTED_VALUE"""),"Kuwait")</f>
        <v>Kuwait</v>
      </c>
      <c r="H730" s="4">
        <f>IFERROR(__xludf.DUMMYFUNCTION("""COMPUTED_VALUE"""),12.5)</f>
        <v>12.5</v>
      </c>
      <c r="I730" s="3">
        <f>IFERROR(__xludf.DUMMYFUNCTION("""COMPUTED_VALUE"""),0.0)</f>
        <v>0</v>
      </c>
      <c r="J730" s="4">
        <f>IFERROR(__xludf.DUMMYFUNCTION("""COMPUTED_VALUE"""),1.25)</f>
        <v>1.25</v>
      </c>
      <c r="K730" s="2"/>
      <c r="L730" s="2" t="str">
        <f>IFERROR(__xludf.DUMMYFUNCTION("""COMPUTED_VALUE"""),"Delivered")</f>
        <v>Delivered</v>
      </c>
      <c r="M730" s="2" t="str">
        <f>IFERROR(__xludf.DUMMYFUNCTION("""COMPUTED_VALUE"""),"KD")</f>
        <v>KD</v>
      </c>
      <c r="N730" s="2" t="str">
        <f>IFERROR(__xludf.DUMMYFUNCTION("""COMPUTED_VALUE"""),"Credit, Debit, Knet")</f>
        <v>Credit, Debit, Knet</v>
      </c>
      <c r="O730" s="4">
        <f>IFERROR(__xludf.DUMMYFUNCTION("""COMPUTED_VALUE"""),0.0)</f>
        <v>0</v>
      </c>
      <c r="P730" s="2">
        <f>IFERROR(__xludf.DUMMYFUNCTION("""COMPUTED_VALUE"""),6.0)</f>
        <v>6</v>
      </c>
      <c r="Q730" s="2">
        <f>IFERROR(__xludf.DUMMYFUNCTION("""COMPUTED_VALUE"""),7.0)</f>
        <v>7</v>
      </c>
      <c r="R730" s="2">
        <f>IFERROR(__xludf.DUMMYFUNCTION("""COMPUTED_VALUE"""),2025.0)</f>
        <v>2025</v>
      </c>
      <c r="S730" s="2" t="str">
        <f>IFERROR(__xludf.DUMMYFUNCTION("""COMPUTED_VALUE"""),"Digizag")</f>
        <v>Digizag</v>
      </c>
      <c r="T730" s="2" t="str">
        <f>IFERROR(__xludf.DUMMYFUNCTION("""COMPUTED_VALUE"""),"Digizag")</f>
        <v>Digizag</v>
      </c>
      <c r="U730" s="5">
        <f>IFERROR(__xludf.DUMMYFUNCTION("""COMPUTED_VALUE"""),40.75775)</f>
        <v>40.75775</v>
      </c>
      <c r="V730" s="2"/>
      <c r="W730" s="2"/>
      <c r="X730" s="2"/>
      <c r="Y730" s="2"/>
      <c r="Z730" s="2"/>
    </row>
    <row r="731">
      <c r="A731" s="6">
        <f>IFERROR(__xludf.DUMMYFUNCTION("""COMPUTED_VALUE"""),45844.59364583333)</f>
        <v>45844.59365</v>
      </c>
      <c r="B731" s="2" t="str">
        <f>IFERROR(__xludf.DUMMYFUNCTION("""COMPUTED_VALUE"""),"July")</f>
        <v>July</v>
      </c>
      <c r="C731" s="3">
        <f>IFERROR(__xludf.DUMMYFUNCTION("""COMPUTED_VALUE"""),24593.0)</f>
        <v>24593</v>
      </c>
      <c r="D731" s="2" t="str">
        <f>IFERROR(__xludf.DUMMYFUNCTION("""COMPUTED_VALUE"""),"ZM22")</f>
        <v>ZM22</v>
      </c>
      <c r="E731" s="2" t="str">
        <f>IFERROR(__xludf.DUMMYFUNCTION("""COMPUTED_VALUE"""),"Imported from file Digizag.xlsx")</f>
        <v>Imported from file Digizag.xlsx</v>
      </c>
      <c r="F731" s="2" t="str">
        <f>IFERROR(__xludf.DUMMYFUNCTION("""COMPUTED_VALUE"""),"DJS274500")</f>
        <v>DJS274500</v>
      </c>
      <c r="G731" s="2" t="str">
        <f>IFERROR(__xludf.DUMMYFUNCTION("""COMPUTED_VALUE"""),"UAE")</f>
        <v>UAE</v>
      </c>
      <c r="H731" s="4">
        <f>IFERROR(__xludf.DUMMYFUNCTION("""COMPUTED_VALUE"""),150.82)</f>
        <v>150.82</v>
      </c>
      <c r="I731" s="3">
        <f>IFERROR(__xludf.DUMMYFUNCTION("""COMPUTED_VALUE"""),0.0)</f>
        <v>0</v>
      </c>
      <c r="J731" s="4">
        <f>IFERROR(__xludf.DUMMYFUNCTION("""COMPUTED_VALUE"""),15.08)</f>
        <v>15.08</v>
      </c>
      <c r="K731" s="2"/>
      <c r="L731" s="2" t="str">
        <f>IFERROR(__xludf.DUMMYFUNCTION("""COMPUTED_VALUE"""),"Delivered")</f>
        <v>Delivered</v>
      </c>
      <c r="M731" s="2" t="str">
        <f>IFERROR(__xludf.DUMMYFUNCTION("""COMPUTED_VALUE"""),"")</f>
        <v></v>
      </c>
      <c r="N731" s="2" t="str">
        <f>IFERROR(__xludf.DUMMYFUNCTION("""COMPUTED_VALUE"""),"Credit, Debit , Apple Pay")</f>
        <v>Credit, Debit , Apple Pay</v>
      </c>
      <c r="O731" s="4">
        <f>IFERROR(__xludf.DUMMYFUNCTION("""COMPUTED_VALUE"""),0.0)</f>
        <v>0</v>
      </c>
      <c r="P731" s="2">
        <f>IFERROR(__xludf.DUMMYFUNCTION("""COMPUTED_VALUE"""),6.0)</f>
        <v>6</v>
      </c>
      <c r="Q731" s="2">
        <f>IFERROR(__xludf.DUMMYFUNCTION("""COMPUTED_VALUE"""),7.0)</f>
        <v>7</v>
      </c>
      <c r="R731" s="2">
        <f>IFERROR(__xludf.DUMMYFUNCTION("""COMPUTED_VALUE"""),2025.0)</f>
        <v>2025</v>
      </c>
      <c r="S731" s="2" t="str">
        <f>IFERROR(__xludf.DUMMYFUNCTION("""COMPUTED_VALUE"""),"Digizag")</f>
        <v>Digizag</v>
      </c>
      <c r="T731" s="2" t="str">
        <f>IFERROR(__xludf.DUMMYFUNCTION("""COMPUTED_VALUE"""),"Digizag")</f>
        <v>Digizag</v>
      </c>
      <c r="U731" s="5">
        <f>IFERROR(__xludf.DUMMYFUNCTION("""COMPUTED_VALUE"""),41.06739284396)</f>
        <v>41.06739284</v>
      </c>
      <c r="V731" s="2"/>
      <c r="W731" s="2"/>
      <c r="X731" s="2"/>
      <c r="Y731" s="2"/>
      <c r="Z731" s="2"/>
    </row>
    <row r="732">
      <c r="A732" s="6">
        <f>IFERROR(__xludf.DUMMYFUNCTION("""COMPUTED_VALUE"""),45844.73962962963)</f>
        <v>45844.73963</v>
      </c>
      <c r="B732" s="2" t="str">
        <f>IFERROR(__xludf.DUMMYFUNCTION("""COMPUTED_VALUE"""),"July")</f>
        <v>July</v>
      </c>
      <c r="C732" s="3">
        <f>IFERROR(__xludf.DUMMYFUNCTION("""COMPUTED_VALUE"""),537497.0)</f>
        <v>537497</v>
      </c>
      <c r="D732" s="2" t="str">
        <f>IFERROR(__xludf.DUMMYFUNCTION("""COMPUTED_VALUE"""),"RR22")</f>
        <v>RR22</v>
      </c>
      <c r="E732" s="2" t="str">
        <f>IFERROR(__xludf.DUMMYFUNCTION("""COMPUTED_VALUE"""),"Imported from file Digizag.xlsx")</f>
        <v>Imported from file Digizag.xlsx</v>
      </c>
      <c r="F732" s="2" t="str">
        <f>IFERROR(__xludf.DUMMYFUNCTION("""COMPUTED_VALUE"""),"LAC239312")</f>
        <v>LAC239312</v>
      </c>
      <c r="G732" s="2" t="str">
        <f>IFERROR(__xludf.DUMMYFUNCTION("""COMPUTED_VALUE"""),"UAE")</f>
        <v>UAE</v>
      </c>
      <c r="H732" s="4">
        <f>IFERROR(__xludf.DUMMYFUNCTION("""COMPUTED_VALUE"""),55.0)</f>
        <v>55</v>
      </c>
      <c r="I732" s="3">
        <f>IFERROR(__xludf.DUMMYFUNCTION("""COMPUTED_VALUE"""),0.0)</f>
        <v>0</v>
      </c>
      <c r="J732" s="4">
        <f>IFERROR(__xludf.DUMMYFUNCTION("""COMPUTED_VALUE"""),5.5)</f>
        <v>5.5</v>
      </c>
      <c r="K732" s="2"/>
      <c r="L732" s="2" t="str">
        <f>IFERROR(__xludf.DUMMYFUNCTION("""COMPUTED_VALUE"""),"Delivered")</f>
        <v>Delivered</v>
      </c>
      <c r="M732" s="2" t="str">
        <f>IFERROR(__xludf.DUMMYFUNCTION("""COMPUTED_VALUE"""),"")</f>
        <v></v>
      </c>
      <c r="N732" s="2" t="str">
        <f>IFERROR(__xludf.DUMMYFUNCTION("""COMPUTED_VALUE"""),"Credit, Debit , Apple Pay")</f>
        <v>Credit, Debit , Apple Pay</v>
      </c>
      <c r="O732" s="4">
        <f>IFERROR(__xludf.DUMMYFUNCTION("""COMPUTED_VALUE"""),0.0)</f>
        <v>0</v>
      </c>
      <c r="P732" s="2">
        <f>IFERROR(__xludf.DUMMYFUNCTION("""COMPUTED_VALUE"""),6.0)</f>
        <v>6</v>
      </c>
      <c r="Q732" s="2">
        <f>IFERROR(__xludf.DUMMYFUNCTION("""COMPUTED_VALUE"""),7.0)</f>
        <v>7</v>
      </c>
      <c r="R732" s="2">
        <f>IFERROR(__xludf.DUMMYFUNCTION("""COMPUTED_VALUE"""),2025.0)</f>
        <v>2025</v>
      </c>
      <c r="S732" s="2" t="str">
        <f>IFERROR(__xludf.DUMMYFUNCTION("""COMPUTED_VALUE"""),"Digizag")</f>
        <v>Digizag</v>
      </c>
      <c r="T732" s="2" t="str">
        <f>IFERROR(__xludf.DUMMYFUNCTION("""COMPUTED_VALUE"""),"Digizag")</f>
        <v>Digizag</v>
      </c>
      <c r="U732" s="5">
        <f>IFERROR(__xludf.DUMMYFUNCTION("""COMPUTED_VALUE"""),14.97617429)</f>
        <v>14.97617429</v>
      </c>
      <c r="V732" s="2"/>
      <c r="W732" s="2"/>
      <c r="X732" s="2"/>
      <c r="Y732" s="2"/>
      <c r="Z732" s="2"/>
    </row>
    <row r="733">
      <c r="A733" s="6">
        <f>IFERROR(__xludf.DUMMYFUNCTION("""COMPUTED_VALUE"""),45844.74685185185)</f>
        <v>45844.74685</v>
      </c>
      <c r="B733" s="2" t="str">
        <f>IFERROR(__xludf.DUMMYFUNCTION("""COMPUTED_VALUE"""),"July")</f>
        <v>July</v>
      </c>
      <c r="C733" s="3">
        <f>IFERROR(__xludf.DUMMYFUNCTION("""COMPUTED_VALUE"""),261248.0)</f>
        <v>261248</v>
      </c>
      <c r="D733" s="2" t="str">
        <f>IFERROR(__xludf.DUMMYFUNCTION("""COMPUTED_VALUE"""),"MNN27")</f>
        <v>MNN27</v>
      </c>
      <c r="E733" s="2" t="str">
        <f>IFERROR(__xludf.DUMMYFUNCTION("""COMPUTED_VALUE"""),"Imported from file DigiZag Bidding Codes.xlsx")</f>
        <v>Imported from file DigiZag Bidding Codes.xlsx</v>
      </c>
      <c r="F733" s="2" t="str">
        <f>IFERROR(__xludf.DUMMYFUNCTION("""COMPUTED_VALUE"""),"DCE460510")</f>
        <v>DCE460510</v>
      </c>
      <c r="G733" s="2" t="str">
        <f>IFERROR(__xludf.DUMMYFUNCTION("""COMPUTED_VALUE"""),"Kingdom of Saudi Arabia")</f>
        <v>Kingdom of Saudi Arabia</v>
      </c>
      <c r="H733" s="4">
        <f>IFERROR(__xludf.DUMMYFUNCTION("""COMPUTED_VALUE"""),71.43)</f>
        <v>71.43</v>
      </c>
      <c r="I733" s="3">
        <f>IFERROR(__xludf.DUMMYFUNCTION("""COMPUTED_VALUE"""),0.0)</f>
        <v>0</v>
      </c>
      <c r="J733" s="4">
        <f>IFERROR(__xludf.DUMMYFUNCTION("""COMPUTED_VALUE"""),17.85)</f>
        <v>17.85</v>
      </c>
      <c r="K733" s="2"/>
      <c r="L733" s="2" t="str">
        <f>IFERROR(__xludf.DUMMYFUNCTION("""COMPUTED_VALUE"""),"Delivered")</f>
        <v>Delivered</v>
      </c>
      <c r="M733" s="2" t="str">
        <f>IFERROR(__xludf.DUMMYFUNCTION("""COMPUTED_VALUE"""),"")</f>
        <v></v>
      </c>
      <c r="N733" s="2" t="str">
        <f>IFERROR(__xludf.DUMMYFUNCTION("""COMPUTED_VALUE"""),"Credit, Debit, Apple Pay")</f>
        <v>Credit, Debit, Apple Pay</v>
      </c>
      <c r="O733" s="4">
        <f>IFERROR(__xludf.DUMMYFUNCTION("""COMPUTED_VALUE"""),0.0)</f>
        <v>0</v>
      </c>
      <c r="P733" s="2">
        <f>IFERROR(__xludf.DUMMYFUNCTION("""COMPUTED_VALUE"""),6.0)</f>
        <v>6</v>
      </c>
      <c r="Q733" s="2">
        <f>IFERROR(__xludf.DUMMYFUNCTION("""COMPUTED_VALUE"""),7.0)</f>
        <v>7</v>
      </c>
      <c r="R733" s="2">
        <f>IFERROR(__xludf.DUMMYFUNCTION("""COMPUTED_VALUE"""),2025.0)</f>
        <v>2025</v>
      </c>
      <c r="S733" s="2" t="str">
        <f>IFERROR(__xludf.DUMMYFUNCTION("""COMPUTED_VALUE"""),"Digizag")</f>
        <v>Digizag</v>
      </c>
      <c r="T733" s="2" t="str">
        <f>IFERROR(__xludf.DUMMYFUNCTION("""COMPUTED_VALUE"""),"Digizag")</f>
        <v>Digizag</v>
      </c>
      <c r="U733" s="5">
        <f>IFERROR(__xludf.DUMMYFUNCTION("""COMPUTED_VALUE"""),19.046527065780005)</f>
        <v>19.04652707</v>
      </c>
      <c r="V733" s="2"/>
      <c r="W733" s="2"/>
      <c r="X733" s="2"/>
      <c r="Y733" s="2"/>
      <c r="Z733" s="2"/>
    </row>
    <row r="734">
      <c r="A734" s="6">
        <f>IFERROR(__xludf.DUMMYFUNCTION("""COMPUTED_VALUE"""),45845.205729166664)</f>
        <v>45845.20573</v>
      </c>
      <c r="B734" s="2" t="str">
        <f>IFERROR(__xludf.DUMMYFUNCTION("""COMPUTED_VALUE"""),"July")</f>
        <v>July</v>
      </c>
      <c r="C734" s="3">
        <f>IFERROR(__xludf.DUMMYFUNCTION("""COMPUTED_VALUE"""),179086.0)</f>
        <v>179086</v>
      </c>
      <c r="D734" s="2" t="str">
        <f>IFERROR(__xludf.DUMMYFUNCTION("""COMPUTED_VALUE"""),"MNN27")</f>
        <v>MNN27</v>
      </c>
      <c r="E734" s="2" t="str">
        <f>IFERROR(__xludf.DUMMYFUNCTION("""COMPUTED_VALUE"""),"Imported from file DigiZag Codes 25Feb25.xlsx")</f>
        <v>Imported from file DigiZag Codes 25Feb25.xlsx</v>
      </c>
      <c r="F734" s="2" t="str">
        <f>IFERROR(__xludf.DUMMYFUNCTION("""COMPUTED_VALUE"""),"RXP230760")</f>
        <v>RXP230760</v>
      </c>
      <c r="G734" s="2" t="str">
        <f>IFERROR(__xludf.DUMMYFUNCTION("""COMPUTED_VALUE"""),"UAE")</f>
        <v>UAE</v>
      </c>
      <c r="H734" s="4">
        <f>IFERROR(__xludf.DUMMYFUNCTION("""COMPUTED_VALUE"""),130.0)</f>
        <v>130</v>
      </c>
      <c r="I734" s="3">
        <f>IFERROR(__xludf.DUMMYFUNCTION("""COMPUTED_VALUE"""),0.0)</f>
        <v>0</v>
      </c>
      <c r="J734" s="4">
        <f>IFERROR(__xludf.DUMMYFUNCTION("""COMPUTED_VALUE"""),13.0)</f>
        <v>13</v>
      </c>
      <c r="K734" s="2"/>
      <c r="L734" s="2" t="str">
        <f>IFERROR(__xludf.DUMMYFUNCTION("""COMPUTED_VALUE"""),"Delivered")</f>
        <v>Delivered</v>
      </c>
      <c r="M734" s="2" t="str">
        <f>IFERROR(__xludf.DUMMYFUNCTION("""COMPUTED_VALUE"""),"")</f>
        <v></v>
      </c>
      <c r="N734" s="2" t="str">
        <f>IFERROR(__xludf.DUMMYFUNCTION("""COMPUTED_VALUE"""),"Credit, Debit , Apple Pay")</f>
        <v>Credit, Debit , Apple Pay</v>
      </c>
      <c r="O734" s="4">
        <f>IFERROR(__xludf.DUMMYFUNCTION("""COMPUTED_VALUE"""),0.0)</f>
        <v>0</v>
      </c>
      <c r="P734" s="2">
        <f>IFERROR(__xludf.DUMMYFUNCTION("""COMPUTED_VALUE"""),7.0)</f>
        <v>7</v>
      </c>
      <c r="Q734" s="2">
        <f>IFERROR(__xludf.DUMMYFUNCTION("""COMPUTED_VALUE"""),7.0)</f>
        <v>7</v>
      </c>
      <c r="R734" s="2">
        <f>IFERROR(__xludf.DUMMYFUNCTION("""COMPUTED_VALUE"""),2025.0)</f>
        <v>2025</v>
      </c>
      <c r="S734" s="2" t="str">
        <f>IFERROR(__xludf.DUMMYFUNCTION("""COMPUTED_VALUE"""),"Digizag")</f>
        <v>Digizag</v>
      </c>
      <c r="T734" s="2" t="str">
        <f>IFERROR(__xludf.DUMMYFUNCTION("""COMPUTED_VALUE"""),"Digizag")</f>
        <v>Digizag</v>
      </c>
      <c r="U734" s="5">
        <f>IFERROR(__xludf.DUMMYFUNCTION("""COMPUTED_VALUE"""),35.39823014)</f>
        <v>35.39823014</v>
      </c>
      <c r="V734" s="2"/>
      <c r="W734" s="2"/>
      <c r="X734" s="2"/>
      <c r="Y734" s="2"/>
      <c r="Z734" s="2"/>
    </row>
    <row r="735">
      <c r="A735" s="6">
        <f>IFERROR(__xludf.DUMMYFUNCTION("""COMPUTED_VALUE"""),45845.48106481481)</f>
        <v>45845.48106</v>
      </c>
      <c r="B735" s="2" t="str">
        <f>IFERROR(__xludf.DUMMYFUNCTION("""COMPUTED_VALUE"""),"July")</f>
        <v>July</v>
      </c>
      <c r="C735" s="3">
        <f>IFERROR(__xludf.DUMMYFUNCTION("""COMPUTED_VALUE"""),513583.0)</f>
        <v>513583</v>
      </c>
      <c r="D735" s="2" t="str">
        <f>IFERROR(__xludf.DUMMYFUNCTION("""COMPUTED_VALUE"""),"MNN27")</f>
        <v>MNN27</v>
      </c>
      <c r="E735" s="2" t="str">
        <f>IFERROR(__xludf.DUMMYFUNCTION("""COMPUTED_VALUE"""),"Imported from file DigiZag Codes 25Feb25.xlsx")</f>
        <v>Imported from file DigiZag Codes 25Feb25.xlsx</v>
      </c>
      <c r="F735" s="2" t="str">
        <f>IFERROR(__xludf.DUMMYFUNCTION("""COMPUTED_VALUE"""),"BNN542602")</f>
        <v>BNN542602</v>
      </c>
      <c r="G735" s="2" t="str">
        <f>IFERROR(__xludf.DUMMYFUNCTION("""COMPUTED_VALUE"""),"UAE")</f>
        <v>UAE</v>
      </c>
      <c r="H735" s="4">
        <f>IFERROR(__xludf.DUMMYFUNCTION("""COMPUTED_VALUE"""),150.0)</f>
        <v>150</v>
      </c>
      <c r="I735" s="3">
        <f>IFERROR(__xludf.DUMMYFUNCTION("""COMPUTED_VALUE"""),0.0)</f>
        <v>0</v>
      </c>
      <c r="J735" s="4">
        <f>IFERROR(__xludf.DUMMYFUNCTION("""COMPUTED_VALUE"""),15.0)</f>
        <v>15</v>
      </c>
      <c r="K735" s="2"/>
      <c r="L735" s="2" t="str">
        <f>IFERROR(__xludf.DUMMYFUNCTION("""COMPUTED_VALUE"""),"Delivered")</f>
        <v>Delivered</v>
      </c>
      <c r="M735" s="2" t="str">
        <f>IFERROR(__xludf.DUMMYFUNCTION("""COMPUTED_VALUE"""),"")</f>
        <v></v>
      </c>
      <c r="N735" s="2" t="str">
        <f>IFERROR(__xludf.DUMMYFUNCTION("""COMPUTED_VALUE"""),"Credit, Debit , Apple Pay")</f>
        <v>Credit, Debit , Apple Pay</v>
      </c>
      <c r="O735" s="4">
        <f>IFERROR(__xludf.DUMMYFUNCTION("""COMPUTED_VALUE"""),0.0)</f>
        <v>0</v>
      </c>
      <c r="P735" s="2">
        <f>IFERROR(__xludf.DUMMYFUNCTION("""COMPUTED_VALUE"""),7.0)</f>
        <v>7</v>
      </c>
      <c r="Q735" s="2">
        <f>IFERROR(__xludf.DUMMYFUNCTION("""COMPUTED_VALUE"""),7.0)</f>
        <v>7</v>
      </c>
      <c r="R735" s="2">
        <f>IFERROR(__xludf.DUMMYFUNCTION("""COMPUTED_VALUE"""),2025.0)</f>
        <v>2025</v>
      </c>
      <c r="S735" s="2" t="str">
        <f>IFERROR(__xludf.DUMMYFUNCTION("""COMPUTED_VALUE"""),"Digizag")</f>
        <v>Digizag</v>
      </c>
      <c r="T735" s="2" t="str">
        <f>IFERROR(__xludf.DUMMYFUNCTION("""COMPUTED_VALUE"""),"Digizag")</f>
        <v>Digizag</v>
      </c>
      <c r="U735" s="5">
        <f>IFERROR(__xludf.DUMMYFUNCTION("""COMPUTED_VALUE"""),40.8441117)</f>
        <v>40.8441117</v>
      </c>
      <c r="V735" s="2"/>
      <c r="W735" s="2"/>
      <c r="X735" s="2"/>
      <c r="Y735" s="2"/>
      <c r="Z735" s="2"/>
    </row>
    <row r="736">
      <c r="A736" s="6">
        <f>IFERROR(__xludf.DUMMYFUNCTION("""COMPUTED_VALUE"""),45845.59916666667)</f>
        <v>45845.59917</v>
      </c>
      <c r="B736" s="2" t="str">
        <f>IFERROR(__xludf.DUMMYFUNCTION("""COMPUTED_VALUE"""),"July")</f>
        <v>July</v>
      </c>
      <c r="C736" s="3">
        <f>IFERROR(__xludf.DUMMYFUNCTION("""COMPUTED_VALUE"""),436444.0)</f>
        <v>436444</v>
      </c>
      <c r="D736" s="2" t="str">
        <f>IFERROR(__xludf.DUMMYFUNCTION("""COMPUTED_VALUE"""),"MNN27")</f>
        <v>MNN27</v>
      </c>
      <c r="E736" s="2" t="str">
        <f>IFERROR(__xludf.DUMMYFUNCTION("""COMPUTED_VALUE"""),"Imported from file DigiZag Codes 25Feb25.xlsx")</f>
        <v>Imported from file DigiZag Codes 25Feb25.xlsx</v>
      </c>
      <c r="F736" s="2" t="str">
        <f>IFERROR(__xludf.DUMMYFUNCTION("""COMPUTED_VALUE"""),"CUS334723")</f>
        <v>CUS334723</v>
      </c>
      <c r="G736" s="2" t="str">
        <f>IFERROR(__xludf.DUMMYFUNCTION("""COMPUTED_VALUE"""),"UAE")</f>
        <v>UAE</v>
      </c>
      <c r="H736" s="4">
        <f>IFERROR(__xludf.DUMMYFUNCTION("""COMPUTED_VALUE"""),180.0)</f>
        <v>180</v>
      </c>
      <c r="I736" s="3">
        <f>IFERROR(__xludf.DUMMYFUNCTION("""COMPUTED_VALUE"""),0.0)</f>
        <v>0</v>
      </c>
      <c r="J736" s="4">
        <f>IFERROR(__xludf.DUMMYFUNCTION("""COMPUTED_VALUE"""),18.0)</f>
        <v>18</v>
      </c>
      <c r="K736" s="2"/>
      <c r="L736" s="2" t="str">
        <f>IFERROR(__xludf.DUMMYFUNCTION("""COMPUTED_VALUE"""),"Delivered")</f>
        <v>Delivered</v>
      </c>
      <c r="M736" s="2" t="str">
        <f>IFERROR(__xludf.DUMMYFUNCTION("""COMPUTED_VALUE"""),"")</f>
        <v></v>
      </c>
      <c r="N736" s="2" t="str">
        <f>IFERROR(__xludf.DUMMYFUNCTION("""COMPUTED_VALUE"""),"Credit, Debit , Apple Pay")</f>
        <v>Credit, Debit , Apple Pay</v>
      </c>
      <c r="O736" s="4">
        <f>IFERROR(__xludf.DUMMYFUNCTION("""COMPUTED_VALUE"""),0.0)</f>
        <v>0</v>
      </c>
      <c r="P736" s="2">
        <f>IFERROR(__xludf.DUMMYFUNCTION("""COMPUTED_VALUE"""),7.0)</f>
        <v>7</v>
      </c>
      <c r="Q736" s="2">
        <f>IFERROR(__xludf.DUMMYFUNCTION("""COMPUTED_VALUE"""),7.0)</f>
        <v>7</v>
      </c>
      <c r="R736" s="2">
        <f>IFERROR(__xludf.DUMMYFUNCTION("""COMPUTED_VALUE"""),2025.0)</f>
        <v>2025</v>
      </c>
      <c r="S736" s="2" t="str">
        <f>IFERROR(__xludf.DUMMYFUNCTION("""COMPUTED_VALUE"""),"Digizag")</f>
        <v>Digizag</v>
      </c>
      <c r="T736" s="2" t="str">
        <f>IFERROR(__xludf.DUMMYFUNCTION("""COMPUTED_VALUE"""),"Digizag")</f>
        <v>Digizag</v>
      </c>
      <c r="U736" s="5">
        <f>IFERROR(__xludf.DUMMYFUNCTION("""COMPUTED_VALUE"""),49.01293404)</f>
        <v>49.01293404</v>
      </c>
      <c r="V736" s="2"/>
      <c r="W736" s="2"/>
      <c r="X736" s="2"/>
      <c r="Y736" s="2"/>
      <c r="Z736" s="2"/>
    </row>
    <row r="737">
      <c r="A737" s="6">
        <f>IFERROR(__xludf.DUMMYFUNCTION("""COMPUTED_VALUE"""),45845.64636574074)</f>
        <v>45845.64637</v>
      </c>
      <c r="B737" s="2" t="str">
        <f>IFERROR(__xludf.DUMMYFUNCTION("""COMPUTED_VALUE"""),"July")</f>
        <v>July</v>
      </c>
      <c r="C737" s="3">
        <f>IFERROR(__xludf.DUMMYFUNCTION("""COMPUTED_VALUE"""),638394.0)</f>
        <v>638394</v>
      </c>
      <c r="D737" s="2" t="str">
        <f>IFERROR(__xludf.DUMMYFUNCTION("""COMPUTED_VALUE"""),"WFR")</f>
        <v>WFR</v>
      </c>
      <c r="E737" s="2" t="str">
        <f>IFERROR(__xludf.DUMMYFUNCTION("""COMPUTED_VALUE"""),"Imported from file Digizag.xlsx")</f>
        <v>Imported from file Digizag.xlsx</v>
      </c>
      <c r="F737" s="2" t="str">
        <f>IFERROR(__xludf.DUMMYFUNCTION("""COMPUTED_VALUE"""),"EPZ237689")</f>
        <v>EPZ237689</v>
      </c>
      <c r="G737" s="2" t="str">
        <f>IFERROR(__xludf.DUMMYFUNCTION("""COMPUTED_VALUE"""),"Kuwait")</f>
        <v>Kuwait</v>
      </c>
      <c r="H737" s="4">
        <f>IFERROR(__xludf.DUMMYFUNCTION("""COMPUTED_VALUE"""),24.35)</f>
        <v>24.35</v>
      </c>
      <c r="I737" s="3">
        <f>IFERROR(__xludf.DUMMYFUNCTION("""COMPUTED_VALUE"""),1.0)</f>
        <v>1</v>
      </c>
      <c r="J737" s="4">
        <f>IFERROR(__xludf.DUMMYFUNCTION("""COMPUTED_VALUE"""),2.435)</f>
        <v>2.435</v>
      </c>
      <c r="K737" s="2"/>
      <c r="L737" s="2" t="str">
        <f>IFERROR(__xludf.DUMMYFUNCTION("""COMPUTED_VALUE"""),"Cancelled")</f>
        <v>Cancelled</v>
      </c>
      <c r="M737" s="2" t="str">
        <f>IFERROR(__xludf.DUMMYFUNCTION("""COMPUTED_VALUE"""),"KD")</f>
        <v>KD</v>
      </c>
      <c r="N737" s="2" t="str">
        <f>IFERROR(__xludf.DUMMYFUNCTION("""COMPUTED_VALUE"""),"Cash")</f>
        <v>Cash</v>
      </c>
      <c r="O737" s="4">
        <f>IFERROR(__xludf.DUMMYFUNCTION("""COMPUTED_VALUE"""),21.915)</f>
        <v>21.915</v>
      </c>
      <c r="P737" s="2">
        <f>IFERROR(__xludf.DUMMYFUNCTION("""COMPUTED_VALUE"""),7.0)</f>
        <v>7</v>
      </c>
      <c r="Q737" s="2">
        <f>IFERROR(__xludf.DUMMYFUNCTION("""COMPUTED_VALUE"""),7.0)</f>
        <v>7</v>
      </c>
      <c r="R737" s="2">
        <f>IFERROR(__xludf.DUMMYFUNCTION("""COMPUTED_VALUE"""),2025.0)</f>
        <v>2025</v>
      </c>
      <c r="S737" s="2" t="str">
        <f>IFERROR(__xludf.DUMMYFUNCTION("""COMPUTED_VALUE"""),"Digizag")</f>
        <v>Digizag</v>
      </c>
      <c r="T737" s="2" t="str">
        <f>IFERROR(__xludf.DUMMYFUNCTION("""COMPUTED_VALUE"""),"Digizag")</f>
        <v>Digizag</v>
      </c>
      <c r="U737" s="5">
        <f>IFERROR(__xludf.DUMMYFUNCTION("""COMPUTED_VALUE"""),79.396097)</f>
        <v>79.396097</v>
      </c>
      <c r="V737" s="2"/>
      <c r="W737" s="2"/>
      <c r="X737" s="2"/>
      <c r="Y737" s="2"/>
      <c r="Z737" s="2"/>
    </row>
    <row r="738">
      <c r="A738" s="6">
        <f>IFERROR(__xludf.DUMMYFUNCTION("""COMPUTED_VALUE"""),45845.88554398148)</f>
        <v>45845.88554</v>
      </c>
      <c r="B738" s="2" t="str">
        <f>IFERROR(__xludf.DUMMYFUNCTION("""COMPUTED_VALUE"""),"July")</f>
        <v>July</v>
      </c>
      <c r="C738" s="3">
        <f>IFERROR(__xludf.DUMMYFUNCTION("""COMPUTED_VALUE"""),389556.0)</f>
        <v>389556</v>
      </c>
      <c r="D738" s="2" t="str">
        <f>IFERROR(__xludf.DUMMYFUNCTION("""COMPUTED_VALUE"""),"DB33")</f>
        <v>DB33</v>
      </c>
      <c r="E738" s="2" t="str">
        <f>IFERROR(__xludf.DUMMYFUNCTION("""COMPUTED_VALUE"""),"Imported from file Digizag.xlsx")</f>
        <v>Imported from file Digizag.xlsx</v>
      </c>
      <c r="F738" s="2" t="str">
        <f>IFERROR(__xludf.DUMMYFUNCTION("""COMPUTED_VALUE"""),"WNG314164")</f>
        <v>WNG314164</v>
      </c>
      <c r="G738" s="2" t="str">
        <f>IFERROR(__xludf.DUMMYFUNCTION("""COMPUTED_VALUE"""),"Kingdom of Saudi Arabia")</f>
        <v>Kingdom of Saudi Arabia</v>
      </c>
      <c r="H738" s="4">
        <f>IFERROR(__xludf.DUMMYFUNCTION("""COMPUTED_VALUE"""),203.68)</f>
        <v>203.68</v>
      </c>
      <c r="I738" s="3">
        <f>IFERROR(__xludf.DUMMYFUNCTION("""COMPUTED_VALUE"""),0.0)</f>
        <v>0</v>
      </c>
      <c r="J738" s="4">
        <f>IFERROR(__xludf.DUMMYFUNCTION("""COMPUTED_VALUE"""),30.0)</f>
        <v>30</v>
      </c>
      <c r="K738" s="2"/>
      <c r="L738" s="2" t="str">
        <f>IFERROR(__xludf.DUMMYFUNCTION("""COMPUTED_VALUE"""),"Delivered")</f>
        <v>Delivered</v>
      </c>
      <c r="M738" s="2" t="str">
        <f>IFERROR(__xludf.DUMMYFUNCTION("""COMPUTED_VALUE"""),"")</f>
        <v></v>
      </c>
      <c r="N738" s="2" t="str">
        <f>IFERROR(__xludf.DUMMYFUNCTION("""COMPUTED_VALUE"""),"Pay in 4. No interest, no fees")</f>
        <v>Pay in 4. No interest, no fees</v>
      </c>
      <c r="O738" s="4">
        <f>IFERROR(__xludf.DUMMYFUNCTION("""COMPUTED_VALUE"""),0.0)</f>
        <v>0</v>
      </c>
      <c r="P738" s="2">
        <f>IFERROR(__xludf.DUMMYFUNCTION("""COMPUTED_VALUE"""),7.0)</f>
        <v>7</v>
      </c>
      <c r="Q738" s="2">
        <f>IFERROR(__xludf.DUMMYFUNCTION("""COMPUTED_VALUE"""),7.0)</f>
        <v>7</v>
      </c>
      <c r="R738" s="2">
        <f>IFERROR(__xludf.DUMMYFUNCTION("""COMPUTED_VALUE"""),2025.0)</f>
        <v>2025</v>
      </c>
      <c r="S738" s="2" t="str">
        <f>IFERROR(__xludf.DUMMYFUNCTION("""COMPUTED_VALUE"""),"Digizag")</f>
        <v>Digizag</v>
      </c>
      <c r="T738" s="2" t="str">
        <f>IFERROR(__xludf.DUMMYFUNCTION("""COMPUTED_VALUE"""),"Digizag")</f>
        <v>Digizag</v>
      </c>
      <c r="U738" s="5">
        <f>IFERROR(__xludf.DUMMYFUNCTION("""COMPUTED_VALUE"""),54.31046664928001)</f>
        <v>54.31046665</v>
      </c>
      <c r="V738" s="2"/>
      <c r="W738" s="2"/>
      <c r="X738" s="2"/>
      <c r="Y738" s="2"/>
      <c r="Z738" s="2"/>
    </row>
    <row r="739">
      <c r="A739" s="6">
        <f>IFERROR(__xludf.DUMMYFUNCTION("""COMPUTED_VALUE"""),45846.24480324074)</f>
        <v>45846.2448</v>
      </c>
      <c r="B739" s="2" t="str">
        <f>IFERROR(__xludf.DUMMYFUNCTION("""COMPUTED_VALUE"""),"July")</f>
        <v>July</v>
      </c>
      <c r="C739" s="3">
        <f>IFERROR(__xludf.DUMMYFUNCTION("""COMPUTED_VALUE"""),760504.0)</f>
        <v>760504</v>
      </c>
      <c r="D739" s="2" t="str">
        <f>IFERROR(__xludf.DUMMYFUNCTION("""COMPUTED_VALUE"""),"ZM22")</f>
        <v>ZM22</v>
      </c>
      <c r="E739" s="2" t="str">
        <f>IFERROR(__xludf.DUMMYFUNCTION("""COMPUTED_VALUE"""),"Imported from file Digizag.xlsx")</f>
        <v>Imported from file Digizag.xlsx</v>
      </c>
      <c r="F739" s="2" t="str">
        <f>IFERROR(__xludf.DUMMYFUNCTION("""COMPUTED_VALUE"""),"MYM587227")</f>
        <v>MYM587227</v>
      </c>
      <c r="G739" s="2" t="str">
        <f>IFERROR(__xludf.DUMMYFUNCTION("""COMPUTED_VALUE"""),"UAE")</f>
        <v>UAE</v>
      </c>
      <c r="H739" s="4">
        <f>IFERROR(__xludf.DUMMYFUNCTION("""COMPUTED_VALUE"""),312.6)</f>
        <v>312.6</v>
      </c>
      <c r="I739" s="3">
        <f>IFERROR(__xludf.DUMMYFUNCTION("""COMPUTED_VALUE"""),0.0)</f>
        <v>0</v>
      </c>
      <c r="J739" s="4">
        <f>IFERROR(__xludf.DUMMYFUNCTION("""COMPUTED_VALUE"""),31.26)</f>
        <v>31.26</v>
      </c>
      <c r="K739" s="2"/>
      <c r="L739" s="2" t="str">
        <f>IFERROR(__xludf.DUMMYFUNCTION("""COMPUTED_VALUE"""),"Delivered")</f>
        <v>Delivered</v>
      </c>
      <c r="M739" s="2" t="str">
        <f>IFERROR(__xludf.DUMMYFUNCTION("""COMPUTED_VALUE"""),"")</f>
        <v></v>
      </c>
      <c r="N739" s="2" t="str">
        <f>IFERROR(__xludf.DUMMYFUNCTION("""COMPUTED_VALUE"""),"Credit, Debit , Apple Pay")</f>
        <v>Credit, Debit , Apple Pay</v>
      </c>
      <c r="O739" s="4">
        <f>IFERROR(__xludf.DUMMYFUNCTION("""COMPUTED_VALUE"""),0.0)</f>
        <v>0</v>
      </c>
      <c r="P739" s="2">
        <f>IFERROR(__xludf.DUMMYFUNCTION("""COMPUTED_VALUE"""),8.0)</f>
        <v>8</v>
      </c>
      <c r="Q739" s="2">
        <f>IFERROR(__xludf.DUMMYFUNCTION("""COMPUTED_VALUE"""),7.0)</f>
        <v>7</v>
      </c>
      <c r="R739" s="2">
        <f>IFERROR(__xludf.DUMMYFUNCTION("""COMPUTED_VALUE"""),2025.0)</f>
        <v>2025</v>
      </c>
      <c r="S739" s="2" t="str">
        <f>IFERROR(__xludf.DUMMYFUNCTION("""COMPUTED_VALUE"""),"Digizag")</f>
        <v>Digizag</v>
      </c>
      <c r="T739" s="2" t="str">
        <f>IFERROR(__xludf.DUMMYFUNCTION("""COMPUTED_VALUE"""),"Digizag")</f>
        <v>Digizag</v>
      </c>
      <c r="U739" s="5">
        <f>IFERROR(__xludf.DUMMYFUNCTION("""COMPUTED_VALUE"""),85.1191287828)</f>
        <v>85.11912878</v>
      </c>
      <c r="V739" s="2"/>
      <c r="W739" s="2"/>
      <c r="X739" s="2"/>
      <c r="Y739" s="2"/>
      <c r="Z739" s="2"/>
    </row>
    <row r="740">
      <c r="A740" s="6">
        <f>IFERROR(__xludf.DUMMYFUNCTION("""COMPUTED_VALUE"""),45846.51846064815)</f>
        <v>45846.51846</v>
      </c>
      <c r="B740" s="2" t="str">
        <f>IFERROR(__xludf.DUMMYFUNCTION("""COMPUTED_VALUE"""),"July")</f>
        <v>July</v>
      </c>
      <c r="C740" s="3">
        <f>IFERROR(__xludf.DUMMYFUNCTION("""COMPUTED_VALUE"""),638394.0)</f>
        <v>638394</v>
      </c>
      <c r="D740" s="2" t="str">
        <f>IFERROR(__xludf.DUMMYFUNCTION("""COMPUTED_VALUE"""),"WFR")</f>
        <v>WFR</v>
      </c>
      <c r="E740" s="2" t="str">
        <f>IFERROR(__xludf.DUMMYFUNCTION("""COMPUTED_VALUE"""),"Imported from file Digizag.xlsx")</f>
        <v>Imported from file Digizag.xlsx</v>
      </c>
      <c r="F740" s="2" t="str">
        <f>IFERROR(__xludf.DUMMYFUNCTION("""COMPUTED_VALUE"""),"VXP694738")</f>
        <v>VXP694738</v>
      </c>
      <c r="G740" s="2" t="str">
        <f>IFERROR(__xludf.DUMMYFUNCTION("""COMPUTED_VALUE"""),"Kuwait")</f>
        <v>Kuwait</v>
      </c>
      <c r="H740" s="4">
        <f>IFERROR(__xludf.DUMMYFUNCTION("""COMPUTED_VALUE"""),24.35)</f>
        <v>24.35</v>
      </c>
      <c r="I740" s="3">
        <f>IFERROR(__xludf.DUMMYFUNCTION("""COMPUTED_VALUE"""),0.0)</f>
        <v>0</v>
      </c>
      <c r="J740" s="4">
        <f>IFERROR(__xludf.DUMMYFUNCTION("""COMPUTED_VALUE"""),2.435)</f>
        <v>2.435</v>
      </c>
      <c r="K740" s="2"/>
      <c r="L740" s="2" t="str">
        <f>IFERROR(__xludf.DUMMYFUNCTION("""COMPUTED_VALUE"""),"Delivered")</f>
        <v>Delivered</v>
      </c>
      <c r="M740" s="2" t="str">
        <f>IFERROR(__xludf.DUMMYFUNCTION("""COMPUTED_VALUE"""),"KD")</f>
        <v>KD</v>
      </c>
      <c r="N740" s="2" t="str">
        <f>IFERROR(__xludf.DUMMYFUNCTION("""COMPUTED_VALUE"""),"Cash")</f>
        <v>Cash</v>
      </c>
      <c r="O740" s="4">
        <f>IFERROR(__xludf.DUMMYFUNCTION("""COMPUTED_VALUE"""),0.0)</f>
        <v>0</v>
      </c>
      <c r="P740" s="2">
        <f>IFERROR(__xludf.DUMMYFUNCTION("""COMPUTED_VALUE"""),8.0)</f>
        <v>8</v>
      </c>
      <c r="Q740" s="2">
        <f>IFERROR(__xludf.DUMMYFUNCTION("""COMPUTED_VALUE"""),7.0)</f>
        <v>7</v>
      </c>
      <c r="R740" s="2">
        <f>IFERROR(__xludf.DUMMYFUNCTION("""COMPUTED_VALUE"""),2025.0)</f>
        <v>2025</v>
      </c>
      <c r="S740" s="2" t="str">
        <f>IFERROR(__xludf.DUMMYFUNCTION("""COMPUTED_VALUE"""),"Digizag")</f>
        <v>Digizag</v>
      </c>
      <c r="T740" s="2" t="str">
        <f>IFERROR(__xludf.DUMMYFUNCTION("""COMPUTED_VALUE"""),"Digizag")</f>
        <v>Digizag</v>
      </c>
      <c r="U740" s="5">
        <f>IFERROR(__xludf.DUMMYFUNCTION("""COMPUTED_VALUE"""),79.396097)</f>
        <v>79.396097</v>
      </c>
      <c r="V740" s="2"/>
      <c r="W740" s="2"/>
      <c r="X740" s="2"/>
      <c r="Y740" s="2"/>
      <c r="Z740" s="2"/>
    </row>
    <row r="741">
      <c r="A741" s="6">
        <f>IFERROR(__xludf.DUMMYFUNCTION("""COMPUTED_VALUE"""),45846.64090277778)</f>
        <v>45846.6409</v>
      </c>
      <c r="B741" s="2" t="str">
        <f>IFERROR(__xludf.DUMMYFUNCTION("""COMPUTED_VALUE"""),"July")</f>
        <v>July</v>
      </c>
      <c r="C741" s="3">
        <f>IFERROR(__xludf.DUMMYFUNCTION("""COMPUTED_VALUE"""),492567.0)</f>
        <v>492567</v>
      </c>
      <c r="D741" s="2" t="str">
        <f>IFERROR(__xludf.DUMMYFUNCTION("""COMPUTED_VALUE"""),"ZM22")</f>
        <v>ZM22</v>
      </c>
      <c r="E741" s="2" t="str">
        <f>IFERROR(__xludf.DUMMYFUNCTION("""COMPUTED_VALUE"""),"Imported from file Digizag.xlsx")</f>
        <v>Imported from file Digizag.xlsx</v>
      </c>
      <c r="F741" s="2" t="str">
        <f>IFERROR(__xludf.DUMMYFUNCTION("""COMPUTED_VALUE"""),"JXV690912")</f>
        <v>JXV690912</v>
      </c>
      <c r="G741" s="2" t="str">
        <f>IFERROR(__xludf.DUMMYFUNCTION("""COMPUTED_VALUE"""),"Kuwait")</f>
        <v>Kuwait</v>
      </c>
      <c r="H741" s="4">
        <f>IFERROR(__xludf.DUMMYFUNCTION("""COMPUTED_VALUE"""),11.95)</f>
        <v>11.95</v>
      </c>
      <c r="I741" s="3">
        <f>IFERROR(__xludf.DUMMYFUNCTION("""COMPUTED_VALUE"""),0.0)</f>
        <v>0</v>
      </c>
      <c r="J741" s="4">
        <f>IFERROR(__xludf.DUMMYFUNCTION("""COMPUTED_VALUE"""),1.195)</f>
        <v>1.195</v>
      </c>
      <c r="K741" s="2"/>
      <c r="L741" s="2" t="str">
        <f>IFERROR(__xludf.DUMMYFUNCTION("""COMPUTED_VALUE"""),"Delivered")</f>
        <v>Delivered</v>
      </c>
      <c r="M741" s="2" t="str">
        <f>IFERROR(__xludf.DUMMYFUNCTION("""COMPUTED_VALUE"""),"KD")</f>
        <v>KD</v>
      </c>
      <c r="N741" s="2" t="str">
        <f>IFERROR(__xludf.DUMMYFUNCTION("""COMPUTED_VALUE"""),"Credit, Debit, Knet")</f>
        <v>Credit, Debit, Knet</v>
      </c>
      <c r="O741" s="4">
        <f>IFERROR(__xludf.DUMMYFUNCTION("""COMPUTED_VALUE"""),0.0)</f>
        <v>0</v>
      </c>
      <c r="P741" s="2">
        <f>IFERROR(__xludf.DUMMYFUNCTION("""COMPUTED_VALUE"""),8.0)</f>
        <v>8</v>
      </c>
      <c r="Q741" s="2">
        <f>IFERROR(__xludf.DUMMYFUNCTION("""COMPUTED_VALUE"""),7.0)</f>
        <v>7</v>
      </c>
      <c r="R741" s="2">
        <f>IFERROR(__xludf.DUMMYFUNCTION("""COMPUTED_VALUE"""),2025.0)</f>
        <v>2025</v>
      </c>
      <c r="S741" s="2" t="str">
        <f>IFERROR(__xludf.DUMMYFUNCTION("""COMPUTED_VALUE"""),"Digizag")</f>
        <v>Digizag</v>
      </c>
      <c r="T741" s="2" t="str">
        <f>IFERROR(__xludf.DUMMYFUNCTION("""COMPUTED_VALUE"""),"Digizag")</f>
        <v>Digizag</v>
      </c>
      <c r="U741" s="5">
        <f>IFERROR(__xludf.DUMMYFUNCTION("""COMPUTED_VALUE"""),38.964408999999996)</f>
        <v>38.964409</v>
      </c>
      <c r="V741" s="2"/>
      <c r="W741" s="2"/>
      <c r="X741" s="2"/>
      <c r="Y741" s="2"/>
      <c r="Z741" s="2"/>
    </row>
    <row r="742">
      <c r="A742" s="6">
        <f>IFERROR(__xludf.DUMMYFUNCTION("""COMPUTED_VALUE"""),45846.77228009259)</f>
        <v>45846.77228</v>
      </c>
      <c r="B742" s="2" t="str">
        <f>IFERROR(__xludf.DUMMYFUNCTION("""COMPUTED_VALUE"""),"July")</f>
        <v>July</v>
      </c>
      <c r="C742" s="3">
        <f>IFERROR(__xludf.DUMMYFUNCTION("""COMPUTED_VALUE"""),437376.0)</f>
        <v>437376</v>
      </c>
      <c r="D742" s="2" t="str">
        <f>IFERROR(__xludf.DUMMYFUNCTION("""COMPUTED_VALUE"""),"DB1")</f>
        <v>DB1</v>
      </c>
      <c r="E742" s="2" t="str">
        <f>IFERROR(__xludf.DUMMYFUNCTION("""COMPUTED_VALUE"""),"Imported from file Digizag.xlsx")</f>
        <v>Imported from file Digizag.xlsx</v>
      </c>
      <c r="F742" s="2" t="str">
        <f>IFERROR(__xludf.DUMMYFUNCTION("""COMPUTED_VALUE"""),"BLU663510")</f>
        <v>BLU663510</v>
      </c>
      <c r="G742" s="2" t="str">
        <f>IFERROR(__xludf.DUMMYFUNCTION("""COMPUTED_VALUE"""),"Kuwait")</f>
        <v>Kuwait</v>
      </c>
      <c r="H742" s="4">
        <f>IFERROR(__xludf.DUMMYFUNCTION("""COMPUTED_VALUE"""),11.0)</f>
        <v>11</v>
      </c>
      <c r="I742" s="3">
        <f>IFERROR(__xludf.DUMMYFUNCTION("""COMPUTED_VALUE"""),0.0)</f>
        <v>0</v>
      </c>
      <c r="J742" s="4">
        <f>IFERROR(__xludf.DUMMYFUNCTION("""COMPUTED_VALUE"""),1.1)</f>
        <v>1.1</v>
      </c>
      <c r="K742" s="2"/>
      <c r="L742" s="2" t="str">
        <f>IFERROR(__xludf.DUMMYFUNCTION("""COMPUTED_VALUE"""),"Delivered")</f>
        <v>Delivered</v>
      </c>
      <c r="M742" s="2" t="str">
        <f>IFERROR(__xludf.DUMMYFUNCTION("""COMPUTED_VALUE"""),"KD")</f>
        <v>KD</v>
      </c>
      <c r="N742" s="2" t="str">
        <f>IFERROR(__xludf.DUMMYFUNCTION("""COMPUTED_VALUE"""),"Credit, Debit, Knet")</f>
        <v>Credit, Debit, Knet</v>
      </c>
      <c r="O742" s="4">
        <f>IFERROR(__xludf.DUMMYFUNCTION("""COMPUTED_VALUE"""),0.0)</f>
        <v>0</v>
      </c>
      <c r="P742" s="2">
        <f>IFERROR(__xludf.DUMMYFUNCTION("""COMPUTED_VALUE"""),8.0)</f>
        <v>8</v>
      </c>
      <c r="Q742" s="2">
        <f>IFERROR(__xludf.DUMMYFUNCTION("""COMPUTED_VALUE"""),7.0)</f>
        <v>7</v>
      </c>
      <c r="R742" s="2">
        <f>IFERROR(__xludf.DUMMYFUNCTION("""COMPUTED_VALUE"""),2025.0)</f>
        <v>2025</v>
      </c>
      <c r="S742" s="2" t="str">
        <f>IFERROR(__xludf.DUMMYFUNCTION("""COMPUTED_VALUE"""),"Digizag")</f>
        <v>Digizag</v>
      </c>
      <c r="T742" s="2" t="str">
        <f>IFERROR(__xludf.DUMMYFUNCTION("""COMPUTED_VALUE"""),"Digizag")</f>
        <v>Digizag</v>
      </c>
      <c r="U742" s="5">
        <f>IFERROR(__xludf.DUMMYFUNCTION("""COMPUTED_VALUE"""),35.86682)</f>
        <v>35.86682</v>
      </c>
      <c r="V742" s="2"/>
      <c r="W742" s="2"/>
      <c r="X742" s="2"/>
      <c r="Y742" s="2"/>
      <c r="Z742" s="2"/>
    </row>
    <row r="743">
      <c r="A743" s="6">
        <f>IFERROR(__xludf.DUMMYFUNCTION("""COMPUTED_VALUE"""),45847.5030324074)</f>
        <v>45847.50303</v>
      </c>
      <c r="B743" s="2" t="str">
        <f>IFERROR(__xludf.DUMMYFUNCTION("""COMPUTED_VALUE"""),"July")</f>
        <v>July</v>
      </c>
      <c r="C743" s="3">
        <f>IFERROR(__xludf.DUMMYFUNCTION("""COMPUTED_VALUE"""),635577.0)</f>
        <v>635577</v>
      </c>
      <c r="D743" s="2" t="str">
        <f>IFERROR(__xludf.DUMMYFUNCTION("""COMPUTED_VALUE"""),"JM")</f>
        <v>JM</v>
      </c>
      <c r="E743" s="2" t="str">
        <f>IFERROR(__xludf.DUMMYFUNCTION("""COMPUTED_VALUE"""),"Digizag")</f>
        <v>Digizag</v>
      </c>
      <c r="F743" s="2" t="str">
        <f>IFERROR(__xludf.DUMMYFUNCTION("""COMPUTED_VALUE"""),"SRW644972")</f>
        <v>SRW644972</v>
      </c>
      <c r="G743" s="2" t="str">
        <f>IFERROR(__xludf.DUMMYFUNCTION("""COMPUTED_VALUE"""),"Kuwait")</f>
        <v>Kuwait</v>
      </c>
      <c r="H743" s="4">
        <f>IFERROR(__xludf.DUMMYFUNCTION("""COMPUTED_VALUE"""),12.2)</f>
        <v>12.2</v>
      </c>
      <c r="I743" s="3">
        <f>IFERROR(__xludf.DUMMYFUNCTION("""COMPUTED_VALUE"""),0.0)</f>
        <v>0</v>
      </c>
      <c r="J743" s="4">
        <f>IFERROR(__xludf.DUMMYFUNCTION("""COMPUTED_VALUE"""),1.22)</f>
        <v>1.22</v>
      </c>
      <c r="K743" s="2"/>
      <c r="L743" s="2" t="str">
        <f>IFERROR(__xludf.DUMMYFUNCTION("""COMPUTED_VALUE"""),"Delivered")</f>
        <v>Delivered</v>
      </c>
      <c r="M743" s="2" t="str">
        <f>IFERROR(__xludf.DUMMYFUNCTION("""COMPUTED_VALUE"""),"KD")</f>
        <v>KD</v>
      </c>
      <c r="N743" s="2" t="str">
        <f>IFERROR(__xludf.DUMMYFUNCTION("""COMPUTED_VALUE"""),"Credit, Debit, Knet")</f>
        <v>Credit, Debit, Knet</v>
      </c>
      <c r="O743" s="4">
        <f>IFERROR(__xludf.DUMMYFUNCTION("""COMPUTED_VALUE"""),0.0)</f>
        <v>0</v>
      </c>
      <c r="P743" s="2">
        <f>IFERROR(__xludf.DUMMYFUNCTION("""COMPUTED_VALUE"""),9.0)</f>
        <v>9</v>
      </c>
      <c r="Q743" s="2">
        <f>IFERROR(__xludf.DUMMYFUNCTION("""COMPUTED_VALUE"""),7.0)</f>
        <v>7</v>
      </c>
      <c r="R743" s="2">
        <f>IFERROR(__xludf.DUMMYFUNCTION("""COMPUTED_VALUE"""),2025.0)</f>
        <v>2025</v>
      </c>
      <c r="S743" s="2" t="str">
        <f>IFERROR(__xludf.DUMMYFUNCTION("""COMPUTED_VALUE"""),"Digizag")</f>
        <v>Digizag</v>
      </c>
      <c r="T743" s="2" t="str">
        <f>IFERROR(__xludf.DUMMYFUNCTION("""COMPUTED_VALUE"""),"Digizag")</f>
        <v>Digizag</v>
      </c>
      <c r="U743" s="5">
        <f>IFERROR(__xludf.DUMMYFUNCTION("""COMPUTED_VALUE"""),39.77956399999999)</f>
        <v>39.779564</v>
      </c>
      <c r="V743" s="2"/>
      <c r="W743" s="2"/>
      <c r="X743" s="2"/>
      <c r="Y743" s="2"/>
      <c r="Z743" s="2"/>
    </row>
    <row r="744">
      <c r="A744" s="6">
        <f>IFERROR(__xludf.DUMMYFUNCTION("""COMPUTED_VALUE"""),45847.57677083333)</f>
        <v>45847.57677</v>
      </c>
      <c r="B744" s="2" t="str">
        <f>IFERROR(__xludf.DUMMYFUNCTION("""COMPUTED_VALUE"""),"July")</f>
        <v>July</v>
      </c>
      <c r="C744" s="3">
        <f>IFERROR(__xludf.DUMMYFUNCTION("""COMPUTED_VALUE"""),27737.0)</f>
        <v>27737</v>
      </c>
      <c r="D744" s="2" t="str">
        <f>IFERROR(__xludf.DUMMYFUNCTION("""COMPUTED_VALUE"""),"ZM22")</f>
        <v>ZM22</v>
      </c>
      <c r="E744" s="2" t="str">
        <f>IFERROR(__xludf.DUMMYFUNCTION("""COMPUTED_VALUE"""),"Imported from file Digizag.xlsx")</f>
        <v>Imported from file Digizag.xlsx</v>
      </c>
      <c r="F744" s="2" t="str">
        <f>IFERROR(__xludf.DUMMYFUNCTION("""COMPUTED_VALUE"""),"ZYL960032")</f>
        <v>ZYL960032</v>
      </c>
      <c r="G744" s="2" t="str">
        <f>IFERROR(__xludf.DUMMYFUNCTION("""COMPUTED_VALUE"""),"UAE")</f>
        <v>UAE</v>
      </c>
      <c r="H744" s="4">
        <f>IFERROR(__xludf.DUMMYFUNCTION("""COMPUTED_VALUE"""),289.0)</f>
        <v>289</v>
      </c>
      <c r="I744" s="3">
        <f>IFERROR(__xludf.DUMMYFUNCTION("""COMPUTED_VALUE"""),0.0)</f>
        <v>0</v>
      </c>
      <c r="J744" s="4">
        <f>IFERROR(__xludf.DUMMYFUNCTION("""COMPUTED_VALUE"""),28.9)</f>
        <v>28.9</v>
      </c>
      <c r="K744" s="2"/>
      <c r="L744" s="2" t="str">
        <f>IFERROR(__xludf.DUMMYFUNCTION("""COMPUTED_VALUE"""),"Delivered")</f>
        <v>Delivered</v>
      </c>
      <c r="M744" s="2" t="str">
        <f>IFERROR(__xludf.DUMMYFUNCTION("""COMPUTED_VALUE"""),"")</f>
        <v></v>
      </c>
      <c r="N744" s="2" t="str">
        <f>IFERROR(__xludf.DUMMYFUNCTION("""COMPUTED_VALUE"""),"Tamara: split in 3, interest-free")</f>
        <v>Tamara: split in 3, interest-free</v>
      </c>
      <c r="O744" s="4">
        <f>IFERROR(__xludf.DUMMYFUNCTION("""COMPUTED_VALUE"""),0.0)</f>
        <v>0</v>
      </c>
      <c r="P744" s="2">
        <f>IFERROR(__xludf.DUMMYFUNCTION("""COMPUTED_VALUE"""),9.0)</f>
        <v>9</v>
      </c>
      <c r="Q744" s="2">
        <f>IFERROR(__xludf.DUMMYFUNCTION("""COMPUTED_VALUE"""),7.0)</f>
        <v>7</v>
      </c>
      <c r="R744" s="2">
        <f>IFERROR(__xludf.DUMMYFUNCTION("""COMPUTED_VALUE"""),2025.0)</f>
        <v>2025</v>
      </c>
      <c r="S744" s="2" t="str">
        <f>IFERROR(__xludf.DUMMYFUNCTION("""COMPUTED_VALUE"""),"Digizag")</f>
        <v>Digizag</v>
      </c>
      <c r="T744" s="2" t="str">
        <f>IFERROR(__xludf.DUMMYFUNCTION("""COMPUTED_VALUE"""),"Digizag")</f>
        <v>Digizag</v>
      </c>
      <c r="U744" s="5">
        <f>IFERROR(__xludf.DUMMYFUNCTION("""COMPUTED_VALUE"""),78.692988542)</f>
        <v>78.69298854</v>
      </c>
      <c r="V744" s="2"/>
      <c r="W744" s="2"/>
      <c r="X744" s="2"/>
      <c r="Y744" s="2"/>
      <c r="Z744" s="2"/>
    </row>
    <row r="745">
      <c r="A745" s="6">
        <f>IFERROR(__xludf.DUMMYFUNCTION("""COMPUTED_VALUE"""),45848.053715277776)</f>
        <v>45848.05372</v>
      </c>
      <c r="B745" s="2" t="str">
        <f>IFERROR(__xludf.DUMMYFUNCTION("""COMPUTED_VALUE"""),"July")</f>
        <v>July</v>
      </c>
      <c r="C745" s="3">
        <f>IFERROR(__xludf.DUMMYFUNCTION("""COMPUTED_VALUE"""),545696.0)</f>
        <v>545696</v>
      </c>
      <c r="D745" s="2" t="str">
        <f>IFERROR(__xludf.DUMMYFUNCTION("""COMPUTED_VALUE"""),"FROZ")</f>
        <v>FROZ</v>
      </c>
      <c r="E745" s="2" t="str">
        <f>IFERROR(__xludf.DUMMYFUNCTION("""COMPUTED_VALUE"""),"Imported from file Digizag.xlsx")</f>
        <v>Imported from file Digizag.xlsx</v>
      </c>
      <c r="F745" s="2" t="str">
        <f>IFERROR(__xludf.DUMMYFUNCTION("""COMPUTED_VALUE"""),"RLE403526")</f>
        <v>RLE403526</v>
      </c>
      <c r="G745" s="2" t="str">
        <f>IFERROR(__xludf.DUMMYFUNCTION("""COMPUTED_VALUE"""),"Kuwait")</f>
        <v>Kuwait</v>
      </c>
      <c r="H745" s="4">
        <f>IFERROR(__xludf.DUMMYFUNCTION("""COMPUTED_VALUE"""),7.99)</f>
        <v>7.99</v>
      </c>
      <c r="I745" s="3">
        <f>IFERROR(__xludf.DUMMYFUNCTION("""COMPUTED_VALUE"""),0.0)</f>
        <v>0</v>
      </c>
      <c r="J745" s="4">
        <f>IFERROR(__xludf.DUMMYFUNCTION("""COMPUTED_VALUE"""),0.799)</f>
        <v>0.799</v>
      </c>
      <c r="K745" s="2"/>
      <c r="L745" s="2" t="str">
        <f>IFERROR(__xludf.DUMMYFUNCTION("""COMPUTED_VALUE"""),"Delivered")</f>
        <v>Delivered</v>
      </c>
      <c r="M745" s="2" t="str">
        <f>IFERROR(__xludf.DUMMYFUNCTION("""COMPUTED_VALUE"""),"KD")</f>
        <v>KD</v>
      </c>
      <c r="N745" s="2" t="str">
        <f>IFERROR(__xludf.DUMMYFUNCTION("""COMPUTED_VALUE"""),"Cash")</f>
        <v>Cash</v>
      </c>
      <c r="O745" s="4">
        <f>IFERROR(__xludf.DUMMYFUNCTION("""COMPUTED_VALUE"""),0.0)</f>
        <v>0</v>
      </c>
      <c r="P745" s="2">
        <f>IFERROR(__xludf.DUMMYFUNCTION("""COMPUTED_VALUE"""),10.0)</f>
        <v>10</v>
      </c>
      <c r="Q745" s="2">
        <f>IFERROR(__xludf.DUMMYFUNCTION("""COMPUTED_VALUE"""),7.0)</f>
        <v>7</v>
      </c>
      <c r="R745" s="2">
        <f>IFERROR(__xludf.DUMMYFUNCTION("""COMPUTED_VALUE"""),2025.0)</f>
        <v>2025</v>
      </c>
      <c r="S745" s="2" t="str">
        <f>IFERROR(__xludf.DUMMYFUNCTION("""COMPUTED_VALUE"""),"Digizag")</f>
        <v>Digizag</v>
      </c>
      <c r="T745" s="2" t="str">
        <f>IFERROR(__xludf.DUMMYFUNCTION("""COMPUTED_VALUE"""),"Digizag")</f>
        <v>Digizag</v>
      </c>
      <c r="U745" s="5">
        <f>IFERROR(__xludf.DUMMYFUNCTION("""COMPUTED_VALUE"""),26.0523538)</f>
        <v>26.0523538</v>
      </c>
      <c r="V745" s="2"/>
      <c r="W745" s="2"/>
      <c r="X745" s="2"/>
      <c r="Y745" s="2"/>
      <c r="Z745" s="2"/>
    </row>
    <row r="746">
      <c r="A746" s="6">
        <f>IFERROR(__xludf.DUMMYFUNCTION("""COMPUTED_VALUE"""),45848.254270833335)</f>
        <v>45848.25427</v>
      </c>
      <c r="B746" s="2" t="str">
        <f>IFERROR(__xludf.DUMMYFUNCTION("""COMPUTED_VALUE"""),"July")</f>
        <v>July</v>
      </c>
      <c r="C746" s="3">
        <f>IFERROR(__xludf.DUMMYFUNCTION("""COMPUTED_VALUE"""),54279.0)</f>
        <v>54279</v>
      </c>
      <c r="D746" s="2" t="str">
        <f>IFERROR(__xludf.DUMMYFUNCTION("""COMPUTED_VALUE"""),"JM")</f>
        <v>JM</v>
      </c>
      <c r="E746" s="2" t="str">
        <f>IFERROR(__xludf.DUMMYFUNCTION("""COMPUTED_VALUE"""),"DigiZag")</f>
        <v>DigiZag</v>
      </c>
      <c r="F746" s="2" t="str">
        <f>IFERROR(__xludf.DUMMYFUNCTION("""COMPUTED_VALUE"""),"BXG668319")</f>
        <v>BXG668319</v>
      </c>
      <c r="G746" s="2" t="str">
        <f>IFERROR(__xludf.DUMMYFUNCTION("""COMPUTED_VALUE"""),"UAE")</f>
        <v>UAE</v>
      </c>
      <c r="H746" s="4">
        <f>IFERROR(__xludf.DUMMYFUNCTION("""COMPUTED_VALUE"""),159.9)</f>
        <v>159.9</v>
      </c>
      <c r="I746" s="3">
        <f>IFERROR(__xludf.DUMMYFUNCTION("""COMPUTED_VALUE"""),0.0)</f>
        <v>0</v>
      </c>
      <c r="J746" s="4">
        <f>IFERROR(__xludf.DUMMYFUNCTION("""COMPUTED_VALUE"""),15.99)</f>
        <v>15.99</v>
      </c>
      <c r="K746" s="2"/>
      <c r="L746" s="2" t="str">
        <f>IFERROR(__xludf.DUMMYFUNCTION("""COMPUTED_VALUE"""),"Delivered")</f>
        <v>Delivered</v>
      </c>
      <c r="M746" s="2" t="str">
        <f>IFERROR(__xludf.DUMMYFUNCTION("""COMPUTED_VALUE"""),"")</f>
        <v></v>
      </c>
      <c r="N746" s="2" t="str">
        <f>IFERROR(__xludf.DUMMYFUNCTION("""COMPUTED_VALUE"""),"Credit, Debit , Apple Pay")</f>
        <v>Credit, Debit , Apple Pay</v>
      </c>
      <c r="O746" s="4">
        <f>IFERROR(__xludf.DUMMYFUNCTION("""COMPUTED_VALUE"""),0.0)</f>
        <v>0</v>
      </c>
      <c r="P746" s="2">
        <f>IFERROR(__xludf.DUMMYFUNCTION("""COMPUTED_VALUE"""),10.0)</f>
        <v>10</v>
      </c>
      <c r="Q746" s="2">
        <f>IFERROR(__xludf.DUMMYFUNCTION("""COMPUTED_VALUE"""),7.0)</f>
        <v>7</v>
      </c>
      <c r="R746" s="2">
        <f>IFERROR(__xludf.DUMMYFUNCTION("""COMPUTED_VALUE"""),2025.0)</f>
        <v>2025</v>
      </c>
      <c r="S746" s="2" t="str">
        <f>IFERROR(__xludf.DUMMYFUNCTION("""COMPUTED_VALUE"""),"Digizag")</f>
        <v>Digizag</v>
      </c>
      <c r="T746" s="2" t="str">
        <f>IFERROR(__xludf.DUMMYFUNCTION("""COMPUTED_VALUE"""),"Digizag")</f>
        <v>Digizag</v>
      </c>
      <c r="U746" s="5">
        <f>IFERROR(__xludf.DUMMYFUNCTION("""COMPUTED_VALUE"""),43.5398230722)</f>
        <v>43.53982307</v>
      </c>
      <c r="V746" s="2"/>
      <c r="W746" s="2"/>
      <c r="X746" s="2"/>
      <c r="Y746" s="2"/>
      <c r="Z746" s="2"/>
    </row>
    <row r="747">
      <c r="A747" s="6">
        <f>IFERROR(__xludf.DUMMYFUNCTION("""COMPUTED_VALUE"""),45848.28293981481)</f>
        <v>45848.28294</v>
      </c>
      <c r="B747" s="2" t="str">
        <f>IFERROR(__xludf.DUMMYFUNCTION("""COMPUTED_VALUE"""),"July")</f>
        <v>July</v>
      </c>
      <c r="C747" s="3">
        <f>IFERROR(__xludf.DUMMYFUNCTION("""COMPUTED_VALUE"""),696921.0)</f>
        <v>696921</v>
      </c>
      <c r="D747" s="2" t="str">
        <f>IFERROR(__xludf.DUMMYFUNCTION("""COMPUTED_VALUE"""),"JM")</f>
        <v>JM</v>
      </c>
      <c r="E747" s="2" t="str">
        <f>IFERROR(__xludf.DUMMYFUNCTION("""COMPUTED_VALUE"""),"DigiZag")</f>
        <v>DigiZag</v>
      </c>
      <c r="F747" s="2" t="str">
        <f>IFERROR(__xludf.DUMMYFUNCTION("""COMPUTED_VALUE"""),"XJV572376")</f>
        <v>XJV572376</v>
      </c>
      <c r="G747" s="2" t="str">
        <f>IFERROR(__xludf.DUMMYFUNCTION("""COMPUTED_VALUE"""),"Bahrain")</f>
        <v>Bahrain</v>
      </c>
      <c r="H747" s="4">
        <f>IFERROR(__xludf.DUMMYFUNCTION("""COMPUTED_VALUE"""),27.03)</f>
        <v>27.03</v>
      </c>
      <c r="I747" s="3">
        <f>IFERROR(__xludf.DUMMYFUNCTION("""COMPUTED_VALUE"""),0.0)</f>
        <v>0</v>
      </c>
      <c r="J747" s="4">
        <f>IFERROR(__xludf.DUMMYFUNCTION("""COMPUTED_VALUE"""),2.7)</f>
        <v>2.7</v>
      </c>
      <c r="K747" s="2"/>
      <c r="L747" s="2" t="str">
        <f>IFERROR(__xludf.DUMMYFUNCTION("""COMPUTED_VALUE"""),"Delivered")</f>
        <v>Delivered</v>
      </c>
      <c r="M747" s="2" t="str">
        <f>IFERROR(__xludf.DUMMYFUNCTION("""COMPUTED_VALUE"""),"BHD")</f>
        <v>BHD</v>
      </c>
      <c r="N747" s="2" t="str">
        <f>IFERROR(__xludf.DUMMYFUNCTION("""COMPUTED_VALUE"""),"Credit, Debit")</f>
        <v>Credit, Debit</v>
      </c>
      <c r="O747" s="4">
        <f>IFERROR(__xludf.DUMMYFUNCTION("""COMPUTED_VALUE"""),0.0)</f>
        <v>0</v>
      </c>
      <c r="P747" s="2">
        <f>IFERROR(__xludf.DUMMYFUNCTION("""COMPUTED_VALUE"""),10.0)</f>
        <v>10</v>
      </c>
      <c r="Q747" s="2">
        <f>IFERROR(__xludf.DUMMYFUNCTION("""COMPUTED_VALUE"""),7.0)</f>
        <v>7</v>
      </c>
      <c r="R747" s="2">
        <f>IFERROR(__xludf.DUMMYFUNCTION("""COMPUTED_VALUE"""),2025.0)</f>
        <v>2025</v>
      </c>
      <c r="S747" s="2" t="str">
        <f>IFERROR(__xludf.DUMMYFUNCTION("""COMPUTED_VALUE"""),"Digizag")</f>
        <v>Digizag</v>
      </c>
      <c r="T747" s="2" t="str">
        <f>IFERROR(__xludf.DUMMYFUNCTION("""COMPUTED_VALUE"""),"Digizag")</f>
        <v>Digizag</v>
      </c>
      <c r="U747" s="5">
        <f>IFERROR(__xludf.DUMMYFUNCTION("""COMPUTED_VALUE"""),71.70834651)</f>
        <v>71.70834651</v>
      </c>
      <c r="V747" s="2"/>
      <c r="W747" s="2"/>
      <c r="X747" s="2"/>
      <c r="Y747" s="2"/>
      <c r="Z747" s="2"/>
    </row>
    <row r="748">
      <c r="A748" s="6">
        <f>IFERROR(__xludf.DUMMYFUNCTION("""COMPUTED_VALUE"""),45848.556192129625)</f>
        <v>45848.55619</v>
      </c>
      <c r="B748" s="2" t="str">
        <f>IFERROR(__xludf.DUMMYFUNCTION("""COMPUTED_VALUE"""),"July")</f>
        <v>July</v>
      </c>
      <c r="C748" s="3">
        <f>IFERROR(__xludf.DUMMYFUNCTION("""COMPUTED_VALUE"""),676281.0)</f>
        <v>676281</v>
      </c>
      <c r="D748" s="2" t="str">
        <f>IFERROR(__xludf.DUMMYFUNCTION("""COMPUTED_VALUE"""),"JM")</f>
        <v>JM</v>
      </c>
      <c r="E748" s="2" t="str">
        <f>IFERROR(__xludf.DUMMYFUNCTION("""COMPUTED_VALUE"""),"DigiZag")</f>
        <v>DigiZag</v>
      </c>
      <c r="F748" s="2" t="str">
        <f>IFERROR(__xludf.DUMMYFUNCTION("""COMPUTED_VALUE"""),"TQJ953369")</f>
        <v>TQJ953369</v>
      </c>
      <c r="G748" s="2" t="str">
        <f>IFERROR(__xludf.DUMMYFUNCTION("""COMPUTED_VALUE"""),"UAE")</f>
        <v>UAE</v>
      </c>
      <c r="H748" s="4">
        <f>IFERROR(__xludf.DUMMYFUNCTION("""COMPUTED_VALUE"""),342.0)</f>
        <v>342</v>
      </c>
      <c r="I748" s="3">
        <f>IFERROR(__xludf.DUMMYFUNCTION("""COMPUTED_VALUE"""),0.0)</f>
        <v>0</v>
      </c>
      <c r="J748" s="4">
        <f>IFERROR(__xludf.DUMMYFUNCTION("""COMPUTED_VALUE"""),34.2)</f>
        <v>34.2</v>
      </c>
      <c r="K748" s="2"/>
      <c r="L748" s="2" t="str">
        <f>IFERROR(__xludf.DUMMYFUNCTION("""COMPUTED_VALUE"""),"Delivered")</f>
        <v>Delivered</v>
      </c>
      <c r="M748" s="2" t="str">
        <f>IFERROR(__xludf.DUMMYFUNCTION("""COMPUTED_VALUE"""),"")</f>
        <v></v>
      </c>
      <c r="N748" s="2" t="str">
        <f>IFERROR(__xludf.DUMMYFUNCTION("""COMPUTED_VALUE"""),"Credit, Debit , Apple Pay")</f>
        <v>Credit, Debit , Apple Pay</v>
      </c>
      <c r="O748" s="4">
        <f>IFERROR(__xludf.DUMMYFUNCTION("""COMPUTED_VALUE"""),0.0)</f>
        <v>0</v>
      </c>
      <c r="P748" s="2">
        <f>IFERROR(__xludf.DUMMYFUNCTION("""COMPUTED_VALUE"""),10.0)</f>
        <v>10</v>
      </c>
      <c r="Q748" s="2">
        <f>IFERROR(__xludf.DUMMYFUNCTION("""COMPUTED_VALUE"""),7.0)</f>
        <v>7</v>
      </c>
      <c r="R748" s="2">
        <f>IFERROR(__xludf.DUMMYFUNCTION("""COMPUTED_VALUE"""),2025.0)</f>
        <v>2025</v>
      </c>
      <c r="S748" s="2" t="str">
        <f>IFERROR(__xludf.DUMMYFUNCTION("""COMPUTED_VALUE"""),"Digizag")</f>
        <v>Digizag</v>
      </c>
      <c r="T748" s="2" t="str">
        <f>IFERROR(__xludf.DUMMYFUNCTION("""COMPUTED_VALUE"""),"Digizag")</f>
        <v>Digizag</v>
      </c>
      <c r="U748" s="5">
        <f>IFERROR(__xludf.DUMMYFUNCTION("""COMPUTED_VALUE"""),93.124574676)</f>
        <v>93.12457468</v>
      </c>
      <c r="V748" s="2"/>
      <c r="W748" s="2"/>
      <c r="X748" s="2"/>
      <c r="Y748" s="2"/>
      <c r="Z748" s="2"/>
    </row>
    <row r="749">
      <c r="A749" s="6">
        <f>IFERROR(__xludf.DUMMYFUNCTION("""COMPUTED_VALUE"""),45848.63644675926)</f>
        <v>45848.63645</v>
      </c>
      <c r="B749" s="2" t="str">
        <f>IFERROR(__xludf.DUMMYFUNCTION("""COMPUTED_VALUE"""),"July")</f>
        <v>July</v>
      </c>
      <c r="C749" s="3">
        <f>IFERROR(__xludf.DUMMYFUNCTION("""COMPUTED_VALUE"""),121361.0)</f>
        <v>121361</v>
      </c>
      <c r="D749" s="2" t="str">
        <f>IFERROR(__xludf.DUMMYFUNCTION("""COMPUTED_VALUE"""),"DG3")</f>
        <v>DG3</v>
      </c>
      <c r="E749" s="2" t="str">
        <f>IFERROR(__xludf.DUMMYFUNCTION("""COMPUTED_VALUE"""),"Imported from file Digizag.xlsx")</f>
        <v>Imported from file Digizag.xlsx</v>
      </c>
      <c r="F749" s="2" t="str">
        <f>IFERROR(__xludf.DUMMYFUNCTION("""COMPUTED_VALUE"""),"DYY697655")</f>
        <v>DYY697655</v>
      </c>
      <c r="G749" s="2" t="str">
        <f>IFERROR(__xludf.DUMMYFUNCTION("""COMPUTED_VALUE"""),"Kingdom of Saudi Arabia")</f>
        <v>Kingdom of Saudi Arabia</v>
      </c>
      <c r="H749" s="4">
        <f>IFERROR(__xludf.DUMMYFUNCTION("""COMPUTED_VALUE"""),77.0)</f>
        <v>77</v>
      </c>
      <c r="I749" s="3">
        <f>IFERROR(__xludf.DUMMYFUNCTION("""COMPUTED_VALUE"""),0.0)</f>
        <v>0</v>
      </c>
      <c r="J749" s="4">
        <f>IFERROR(__xludf.DUMMYFUNCTION("""COMPUTED_VALUE"""),19.25)</f>
        <v>19.25</v>
      </c>
      <c r="K749" s="2"/>
      <c r="L749" s="2" t="str">
        <f>IFERROR(__xludf.DUMMYFUNCTION("""COMPUTED_VALUE"""),"Delivered")</f>
        <v>Delivered</v>
      </c>
      <c r="M749" s="2" t="str">
        <f>IFERROR(__xludf.DUMMYFUNCTION("""COMPUTED_VALUE"""),"")</f>
        <v></v>
      </c>
      <c r="N749" s="2" t="str">
        <f>IFERROR(__xludf.DUMMYFUNCTION("""COMPUTED_VALUE"""),"Credit, Debit, Apple Pay")</f>
        <v>Credit, Debit, Apple Pay</v>
      </c>
      <c r="O749" s="4">
        <f>IFERROR(__xludf.DUMMYFUNCTION("""COMPUTED_VALUE"""),0.0)</f>
        <v>0</v>
      </c>
      <c r="P749" s="2">
        <f>IFERROR(__xludf.DUMMYFUNCTION("""COMPUTED_VALUE"""),10.0)</f>
        <v>10</v>
      </c>
      <c r="Q749" s="2">
        <f>IFERROR(__xludf.DUMMYFUNCTION("""COMPUTED_VALUE"""),7.0)</f>
        <v>7</v>
      </c>
      <c r="R749" s="2">
        <f>IFERROR(__xludf.DUMMYFUNCTION("""COMPUTED_VALUE"""),2025.0)</f>
        <v>2025</v>
      </c>
      <c r="S749" s="2" t="str">
        <f>IFERROR(__xludf.DUMMYFUNCTION("""COMPUTED_VALUE"""),"Digizag")</f>
        <v>Digizag</v>
      </c>
      <c r="T749" s="2" t="str">
        <f>IFERROR(__xludf.DUMMYFUNCTION("""COMPUTED_VALUE"""),"Digizag")</f>
        <v>Digizag</v>
      </c>
      <c r="U749" s="5">
        <f>IFERROR(__xludf.DUMMYFUNCTION("""COMPUTED_VALUE"""),20.531745542000003)</f>
        <v>20.53174554</v>
      </c>
      <c r="V749" s="2"/>
      <c r="W749" s="2"/>
      <c r="X749" s="2"/>
      <c r="Y749" s="2"/>
      <c r="Z749" s="2"/>
    </row>
    <row r="750">
      <c r="A750" s="6">
        <f>IFERROR(__xludf.DUMMYFUNCTION("""COMPUTED_VALUE"""),45848.65972222222)</f>
        <v>45848.65972</v>
      </c>
      <c r="B750" s="2" t="str">
        <f>IFERROR(__xludf.DUMMYFUNCTION("""COMPUTED_VALUE"""),"July")</f>
        <v>July</v>
      </c>
      <c r="C750" s="3">
        <f>IFERROR(__xludf.DUMMYFUNCTION("""COMPUTED_VALUE"""),177207.0)</f>
        <v>177207</v>
      </c>
      <c r="D750" s="2" t="str">
        <f>IFERROR(__xludf.DUMMYFUNCTION("""COMPUTED_VALUE"""),"DB33")</f>
        <v>DB33</v>
      </c>
      <c r="E750" s="2" t="str">
        <f>IFERROR(__xludf.DUMMYFUNCTION("""COMPUTED_VALUE"""),"Imported from file Digizag.xlsx")</f>
        <v>Imported from file Digizag.xlsx</v>
      </c>
      <c r="F750" s="2" t="str">
        <f>IFERROR(__xludf.DUMMYFUNCTION("""COMPUTED_VALUE"""),"JUD200077")</f>
        <v>JUD200077</v>
      </c>
      <c r="G750" s="2" t="str">
        <f>IFERROR(__xludf.DUMMYFUNCTION("""COMPUTED_VALUE"""),"UAE")</f>
        <v>UAE</v>
      </c>
      <c r="H750" s="4">
        <f>IFERROR(__xludf.DUMMYFUNCTION("""COMPUTED_VALUE"""),169.0)</f>
        <v>169</v>
      </c>
      <c r="I750" s="3">
        <f>IFERROR(__xludf.DUMMYFUNCTION("""COMPUTED_VALUE"""),0.0)</f>
        <v>0</v>
      </c>
      <c r="J750" s="4">
        <f>IFERROR(__xludf.DUMMYFUNCTION("""COMPUTED_VALUE"""),16.9)</f>
        <v>16.9</v>
      </c>
      <c r="K750" s="2"/>
      <c r="L750" s="2" t="str">
        <f>IFERROR(__xludf.DUMMYFUNCTION("""COMPUTED_VALUE"""),"Delivered")</f>
        <v>Delivered</v>
      </c>
      <c r="M750" s="2" t="str">
        <f>IFERROR(__xludf.DUMMYFUNCTION("""COMPUTED_VALUE"""),"")</f>
        <v></v>
      </c>
      <c r="N750" s="2" t="str">
        <f>IFERROR(__xludf.DUMMYFUNCTION("""COMPUTED_VALUE"""),"Credit, Debit , Apple Pay")</f>
        <v>Credit, Debit , Apple Pay</v>
      </c>
      <c r="O750" s="4">
        <f>IFERROR(__xludf.DUMMYFUNCTION("""COMPUTED_VALUE"""),0.0)</f>
        <v>0</v>
      </c>
      <c r="P750" s="2">
        <f>IFERROR(__xludf.DUMMYFUNCTION("""COMPUTED_VALUE"""),10.0)</f>
        <v>10</v>
      </c>
      <c r="Q750" s="2">
        <f>IFERROR(__xludf.DUMMYFUNCTION("""COMPUTED_VALUE"""),7.0)</f>
        <v>7</v>
      </c>
      <c r="R750" s="2">
        <f>IFERROR(__xludf.DUMMYFUNCTION("""COMPUTED_VALUE"""),2025.0)</f>
        <v>2025</v>
      </c>
      <c r="S750" s="2" t="str">
        <f>IFERROR(__xludf.DUMMYFUNCTION("""COMPUTED_VALUE"""),"Digizag")</f>
        <v>Digizag</v>
      </c>
      <c r="T750" s="2" t="str">
        <f>IFERROR(__xludf.DUMMYFUNCTION("""COMPUTED_VALUE"""),"Digizag")</f>
        <v>Digizag</v>
      </c>
      <c r="U750" s="5">
        <f>IFERROR(__xludf.DUMMYFUNCTION("""COMPUTED_VALUE"""),46.017699182)</f>
        <v>46.01769918</v>
      </c>
      <c r="V750" s="2"/>
      <c r="W750" s="2"/>
      <c r="X750" s="2"/>
      <c r="Y750" s="2"/>
      <c r="Z750" s="2"/>
    </row>
    <row r="751">
      <c r="A751" s="6">
        <f>IFERROR(__xludf.DUMMYFUNCTION("""COMPUTED_VALUE"""),45848.835752314815)</f>
        <v>45848.83575</v>
      </c>
      <c r="B751" s="2" t="str">
        <f>IFERROR(__xludf.DUMMYFUNCTION("""COMPUTED_VALUE"""),"July")</f>
        <v>July</v>
      </c>
      <c r="C751" s="3">
        <f>IFERROR(__xludf.DUMMYFUNCTION("""COMPUTED_VALUE"""),24857.0)</f>
        <v>24857</v>
      </c>
      <c r="D751" s="2" t="str">
        <f>IFERROR(__xludf.DUMMYFUNCTION("""COMPUTED_VALUE"""),"JM")</f>
        <v>JM</v>
      </c>
      <c r="E751" s="2" t="str">
        <f>IFERROR(__xludf.DUMMYFUNCTION("""COMPUTED_VALUE"""),"DigiZag")</f>
        <v>DigiZag</v>
      </c>
      <c r="F751" s="2" t="str">
        <f>IFERROR(__xludf.DUMMYFUNCTION("""COMPUTED_VALUE"""),"HTE499946")</f>
        <v>HTE499946</v>
      </c>
      <c r="G751" s="2" t="str">
        <f>IFERROR(__xludf.DUMMYFUNCTION("""COMPUTED_VALUE"""),"Bahrain")</f>
        <v>Bahrain</v>
      </c>
      <c r="H751" s="4">
        <f>IFERROR(__xludf.DUMMYFUNCTION("""COMPUTED_VALUE"""),18.09)</f>
        <v>18.09</v>
      </c>
      <c r="I751" s="3">
        <f>IFERROR(__xludf.DUMMYFUNCTION("""COMPUTED_VALUE"""),0.0)</f>
        <v>0</v>
      </c>
      <c r="J751" s="4">
        <f>IFERROR(__xludf.DUMMYFUNCTION("""COMPUTED_VALUE"""),1.8)</f>
        <v>1.8</v>
      </c>
      <c r="K751" s="2"/>
      <c r="L751" s="2" t="str">
        <f>IFERROR(__xludf.DUMMYFUNCTION("""COMPUTED_VALUE"""),"Delivered")</f>
        <v>Delivered</v>
      </c>
      <c r="M751" s="2" t="str">
        <f>IFERROR(__xludf.DUMMYFUNCTION("""COMPUTED_VALUE"""),"BHD")</f>
        <v>BHD</v>
      </c>
      <c r="N751" s="2" t="str">
        <f>IFERROR(__xludf.DUMMYFUNCTION("""COMPUTED_VALUE"""),"Credit, Debit")</f>
        <v>Credit, Debit</v>
      </c>
      <c r="O751" s="4">
        <f>IFERROR(__xludf.DUMMYFUNCTION("""COMPUTED_VALUE"""),0.0)</f>
        <v>0</v>
      </c>
      <c r="P751" s="2">
        <f>IFERROR(__xludf.DUMMYFUNCTION("""COMPUTED_VALUE"""),10.0)</f>
        <v>10</v>
      </c>
      <c r="Q751" s="2">
        <f>IFERROR(__xludf.DUMMYFUNCTION("""COMPUTED_VALUE"""),7.0)</f>
        <v>7</v>
      </c>
      <c r="R751" s="2">
        <f>IFERROR(__xludf.DUMMYFUNCTION("""COMPUTED_VALUE"""),2025.0)</f>
        <v>2025</v>
      </c>
      <c r="S751" s="2" t="str">
        <f>IFERROR(__xludf.DUMMYFUNCTION("""COMPUTED_VALUE"""),"Digizag")</f>
        <v>Digizag</v>
      </c>
      <c r="T751" s="2" t="str">
        <f>IFERROR(__xludf.DUMMYFUNCTION("""COMPUTED_VALUE"""),"Digizag")</f>
        <v>Digizag</v>
      </c>
      <c r="U751" s="5">
        <f>IFERROR(__xludf.DUMMYFUNCTION("""COMPUTED_VALUE"""),47.99126853)</f>
        <v>47.99126853</v>
      </c>
      <c r="V751" s="2"/>
      <c r="W751" s="2"/>
      <c r="X751" s="2"/>
      <c r="Y751" s="2"/>
      <c r="Z751" s="2"/>
    </row>
    <row r="752">
      <c r="A752" s="6">
        <f>IFERROR(__xludf.DUMMYFUNCTION("""COMPUTED_VALUE"""),45849.031319444446)</f>
        <v>45849.03132</v>
      </c>
      <c r="B752" s="2" t="str">
        <f>IFERROR(__xludf.DUMMYFUNCTION("""COMPUTED_VALUE"""),"July")</f>
        <v>July</v>
      </c>
      <c r="C752" s="3">
        <f>IFERROR(__xludf.DUMMYFUNCTION("""COMPUTED_VALUE"""),711200.0)</f>
        <v>711200</v>
      </c>
      <c r="D752" s="2" t="str">
        <f>IFERROR(__xludf.DUMMYFUNCTION("""COMPUTED_VALUE"""),"MNN16")</f>
        <v>MNN16</v>
      </c>
      <c r="E752" s="2" t="str">
        <f>IFERROR(__xludf.DUMMYFUNCTION("""COMPUTED_VALUE"""),"Imported from file DigiZag Bidding Codes.xlsx")</f>
        <v>Imported from file DigiZag Bidding Codes.xlsx</v>
      </c>
      <c r="F752" s="2" t="str">
        <f>IFERROR(__xludf.DUMMYFUNCTION("""COMPUTED_VALUE"""),"XVX913583")</f>
        <v>XVX913583</v>
      </c>
      <c r="G752" s="2" t="str">
        <f>IFERROR(__xludf.DUMMYFUNCTION("""COMPUTED_VALUE"""),"Kingdom of Saudi Arabia")</f>
        <v>Kingdom of Saudi Arabia</v>
      </c>
      <c r="H752" s="4">
        <f>IFERROR(__xludf.DUMMYFUNCTION("""COMPUTED_VALUE"""),84.76)</f>
        <v>84.76</v>
      </c>
      <c r="I752" s="3">
        <f>IFERROR(__xludf.DUMMYFUNCTION("""COMPUTED_VALUE"""),0.0)</f>
        <v>0</v>
      </c>
      <c r="J752" s="4">
        <f>IFERROR(__xludf.DUMMYFUNCTION("""COMPUTED_VALUE"""),21.19)</f>
        <v>21.19</v>
      </c>
      <c r="K752" s="2"/>
      <c r="L752" s="2" t="str">
        <f>IFERROR(__xludf.DUMMYFUNCTION("""COMPUTED_VALUE"""),"Delivered")</f>
        <v>Delivered</v>
      </c>
      <c r="M752" s="2" t="str">
        <f>IFERROR(__xludf.DUMMYFUNCTION("""COMPUTED_VALUE"""),"")</f>
        <v></v>
      </c>
      <c r="N752" s="2" t="str">
        <f>IFERROR(__xludf.DUMMYFUNCTION("""COMPUTED_VALUE"""),"Credit, Debit, Apple Pay")</f>
        <v>Credit, Debit, Apple Pay</v>
      </c>
      <c r="O752" s="4">
        <f>IFERROR(__xludf.DUMMYFUNCTION("""COMPUTED_VALUE"""),0.0)</f>
        <v>0</v>
      </c>
      <c r="P752" s="2">
        <f>IFERROR(__xludf.DUMMYFUNCTION("""COMPUTED_VALUE"""),11.0)</f>
        <v>11</v>
      </c>
      <c r="Q752" s="2">
        <f>IFERROR(__xludf.DUMMYFUNCTION("""COMPUTED_VALUE"""),7.0)</f>
        <v>7</v>
      </c>
      <c r="R752" s="2">
        <f>IFERROR(__xludf.DUMMYFUNCTION("""COMPUTED_VALUE"""),2025.0)</f>
        <v>2025</v>
      </c>
      <c r="S752" s="2" t="str">
        <f>IFERROR(__xludf.DUMMYFUNCTION("""COMPUTED_VALUE"""),"Digizag")</f>
        <v>Digizag</v>
      </c>
      <c r="T752" s="2" t="str">
        <f>IFERROR(__xludf.DUMMYFUNCTION("""COMPUTED_VALUE"""),"Digizag")</f>
        <v>Digizag</v>
      </c>
      <c r="U752" s="5">
        <f>IFERROR(__xludf.DUMMYFUNCTION("""COMPUTED_VALUE"""),22.600918858960004)</f>
        <v>22.60091886</v>
      </c>
      <c r="V752" s="2"/>
      <c r="W752" s="2"/>
      <c r="X752" s="2"/>
      <c r="Y752" s="2"/>
      <c r="Z752" s="2"/>
    </row>
    <row r="753">
      <c r="A753" s="6">
        <f>IFERROR(__xludf.DUMMYFUNCTION("""COMPUTED_VALUE"""),45849.348402777774)</f>
        <v>45849.3484</v>
      </c>
      <c r="B753" s="2" t="str">
        <f>IFERROR(__xludf.DUMMYFUNCTION("""COMPUTED_VALUE"""),"July")</f>
        <v>July</v>
      </c>
      <c r="C753" s="3">
        <f>IFERROR(__xludf.DUMMYFUNCTION("""COMPUTED_VALUE"""),70964.0)</f>
        <v>70964</v>
      </c>
      <c r="D753" s="2" t="str">
        <f>IFERROR(__xludf.DUMMYFUNCTION("""COMPUTED_VALUE"""),"MNN27")</f>
        <v>MNN27</v>
      </c>
      <c r="E753" s="2" t="str">
        <f>IFERROR(__xludf.DUMMYFUNCTION("""COMPUTED_VALUE"""),"Imported from file DigiZag Codes 25Feb25.xlsx")</f>
        <v>Imported from file DigiZag Codes 25Feb25.xlsx</v>
      </c>
      <c r="F753" s="2" t="str">
        <f>IFERROR(__xludf.DUMMYFUNCTION("""COMPUTED_VALUE"""),"SHW951494")</f>
        <v>SHW951494</v>
      </c>
      <c r="G753" s="2" t="str">
        <f>IFERROR(__xludf.DUMMYFUNCTION("""COMPUTED_VALUE"""),"Kuwait")</f>
        <v>Kuwait</v>
      </c>
      <c r="H753" s="4">
        <f>IFERROR(__xludf.DUMMYFUNCTION("""COMPUTED_VALUE"""),13.95)</f>
        <v>13.95</v>
      </c>
      <c r="I753" s="3">
        <f>IFERROR(__xludf.DUMMYFUNCTION("""COMPUTED_VALUE"""),0.0)</f>
        <v>0</v>
      </c>
      <c r="J753" s="4">
        <f>IFERROR(__xludf.DUMMYFUNCTION("""COMPUTED_VALUE"""),1.395)</f>
        <v>1.395</v>
      </c>
      <c r="K753" s="2"/>
      <c r="L753" s="2" t="str">
        <f>IFERROR(__xludf.DUMMYFUNCTION("""COMPUTED_VALUE"""),"Delivered")</f>
        <v>Delivered</v>
      </c>
      <c r="M753" s="2" t="str">
        <f>IFERROR(__xludf.DUMMYFUNCTION("""COMPUTED_VALUE"""),"KD")</f>
        <v>KD</v>
      </c>
      <c r="N753" s="2" t="str">
        <f>IFERROR(__xludf.DUMMYFUNCTION("""COMPUTED_VALUE"""),"Credit, Debit, Knet")</f>
        <v>Credit, Debit, Knet</v>
      </c>
      <c r="O753" s="4">
        <f>IFERROR(__xludf.DUMMYFUNCTION("""COMPUTED_VALUE"""),0.0)</f>
        <v>0</v>
      </c>
      <c r="P753" s="2">
        <f>IFERROR(__xludf.DUMMYFUNCTION("""COMPUTED_VALUE"""),11.0)</f>
        <v>11</v>
      </c>
      <c r="Q753" s="2">
        <f>IFERROR(__xludf.DUMMYFUNCTION("""COMPUTED_VALUE"""),7.0)</f>
        <v>7</v>
      </c>
      <c r="R753" s="2">
        <f>IFERROR(__xludf.DUMMYFUNCTION("""COMPUTED_VALUE"""),2025.0)</f>
        <v>2025</v>
      </c>
      <c r="S753" s="2" t="str">
        <f>IFERROR(__xludf.DUMMYFUNCTION("""COMPUTED_VALUE"""),"Digizag")</f>
        <v>Digizag</v>
      </c>
      <c r="T753" s="2" t="str">
        <f>IFERROR(__xludf.DUMMYFUNCTION("""COMPUTED_VALUE"""),"Digizag")</f>
        <v>Digizag</v>
      </c>
      <c r="U753" s="5">
        <f>IFERROR(__xludf.DUMMYFUNCTION("""COMPUTED_VALUE"""),45.485648999999995)</f>
        <v>45.485649</v>
      </c>
      <c r="V753" s="2"/>
      <c r="W753" s="2"/>
      <c r="X753" s="2"/>
      <c r="Y753" s="2"/>
      <c r="Z753" s="2"/>
    </row>
    <row r="754">
      <c r="A754" s="6">
        <f>IFERROR(__xludf.DUMMYFUNCTION("""COMPUTED_VALUE"""),45849.38538194444)</f>
        <v>45849.38538</v>
      </c>
      <c r="B754" s="2" t="str">
        <f>IFERROR(__xludf.DUMMYFUNCTION("""COMPUTED_VALUE"""),"July")</f>
        <v>July</v>
      </c>
      <c r="C754" s="3">
        <f>IFERROR(__xludf.DUMMYFUNCTION("""COMPUTED_VALUE"""),770568.0)</f>
        <v>770568</v>
      </c>
      <c r="D754" s="2" t="str">
        <f>IFERROR(__xludf.DUMMYFUNCTION("""COMPUTED_VALUE"""),"MNN27")</f>
        <v>MNN27</v>
      </c>
      <c r="E754" s="2" t="str">
        <f>IFERROR(__xludf.DUMMYFUNCTION("""COMPUTED_VALUE"""),"Imported from file DigiZag Codes 25Feb25.xlsx")</f>
        <v>Imported from file DigiZag Codes 25Feb25.xlsx</v>
      </c>
      <c r="F754" s="2" t="str">
        <f>IFERROR(__xludf.DUMMYFUNCTION("""COMPUTED_VALUE"""),"DWE327138")</f>
        <v>DWE327138</v>
      </c>
      <c r="G754" s="2" t="str">
        <f>IFERROR(__xludf.DUMMYFUNCTION("""COMPUTED_VALUE"""),"Bahrain")</f>
        <v>Bahrain</v>
      </c>
      <c r="H754" s="4">
        <f>IFERROR(__xludf.DUMMYFUNCTION("""COMPUTED_VALUE"""),9.91)</f>
        <v>9.91</v>
      </c>
      <c r="I754" s="3">
        <f>IFERROR(__xludf.DUMMYFUNCTION("""COMPUTED_VALUE"""),0.0)</f>
        <v>0</v>
      </c>
      <c r="J754" s="4">
        <f>IFERROR(__xludf.DUMMYFUNCTION("""COMPUTED_VALUE"""),0.99)</f>
        <v>0.99</v>
      </c>
      <c r="K754" s="2"/>
      <c r="L754" s="2" t="str">
        <f>IFERROR(__xludf.DUMMYFUNCTION("""COMPUTED_VALUE"""),"Delivered")</f>
        <v>Delivered</v>
      </c>
      <c r="M754" s="2" t="str">
        <f>IFERROR(__xludf.DUMMYFUNCTION("""COMPUTED_VALUE"""),"BHD")</f>
        <v>BHD</v>
      </c>
      <c r="N754" s="2" t="str">
        <f>IFERROR(__xludf.DUMMYFUNCTION("""COMPUTED_VALUE"""),"Credit, Debit")</f>
        <v>Credit, Debit</v>
      </c>
      <c r="O754" s="4">
        <f>IFERROR(__xludf.DUMMYFUNCTION("""COMPUTED_VALUE"""),0.0)</f>
        <v>0</v>
      </c>
      <c r="P754" s="2">
        <f>IFERROR(__xludf.DUMMYFUNCTION("""COMPUTED_VALUE"""),11.0)</f>
        <v>11</v>
      </c>
      <c r="Q754" s="2">
        <f>IFERROR(__xludf.DUMMYFUNCTION("""COMPUTED_VALUE"""),7.0)</f>
        <v>7</v>
      </c>
      <c r="R754" s="2">
        <f>IFERROR(__xludf.DUMMYFUNCTION("""COMPUTED_VALUE"""),2025.0)</f>
        <v>2025</v>
      </c>
      <c r="S754" s="2" t="str">
        <f>IFERROR(__xludf.DUMMYFUNCTION("""COMPUTED_VALUE"""),"Digizag")</f>
        <v>Digizag</v>
      </c>
      <c r="T754" s="2" t="str">
        <f>IFERROR(__xludf.DUMMYFUNCTION("""COMPUTED_VALUE"""),"Digizag")</f>
        <v>Digizag</v>
      </c>
      <c r="U754" s="5">
        <f>IFERROR(__xludf.DUMMYFUNCTION("""COMPUTED_VALUE"""),26.29040747)</f>
        <v>26.29040747</v>
      </c>
      <c r="V754" s="2"/>
      <c r="W754" s="2"/>
      <c r="X754" s="2"/>
      <c r="Y754" s="2"/>
      <c r="Z754" s="2"/>
    </row>
    <row r="755">
      <c r="A755" s="6">
        <f>IFERROR(__xludf.DUMMYFUNCTION("""COMPUTED_VALUE"""),45849.675682870366)</f>
        <v>45849.67568</v>
      </c>
      <c r="B755" s="2" t="str">
        <f>IFERROR(__xludf.DUMMYFUNCTION("""COMPUTED_VALUE"""),"July")</f>
        <v>July</v>
      </c>
      <c r="C755" s="3">
        <f>IFERROR(__xludf.DUMMYFUNCTION("""COMPUTED_VALUE"""),770752.0)</f>
        <v>770752</v>
      </c>
      <c r="D755" s="2" t="str">
        <f>IFERROR(__xludf.DUMMYFUNCTION("""COMPUTED_VALUE"""),"ZM22")</f>
        <v>ZM22</v>
      </c>
      <c r="E755" s="2" t="str">
        <f>IFERROR(__xludf.DUMMYFUNCTION("""COMPUTED_VALUE"""),"Imported from file Digizag.xlsx")</f>
        <v>Imported from file Digizag.xlsx</v>
      </c>
      <c r="F755" s="2" t="str">
        <f>IFERROR(__xludf.DUMMYFUNCTION("""COMPUTED_VALUE"""),"UCC145360")</f>
        <v>UCC145360</v>
      </c>
      <c r="G755" s="2" t="str">
        <f>IFERROR(__xludf.DUMMYFUNCTION("""COMPUTED_VALUE"""),"UAE")</f>
        <v>UAE</v>
      </c>
      <c r="H755" s="4">
        <f>IFERROR(__xludf.DUMMYFUNCTION("""COMPUTED_VALUE"""),85.0)</f>
        <v>85</v>
      </c>
      <c r="I755" s="3">
        <f>IFERROR(__xludf.DUMMYFUNCTION("""COMPUTED_VALUE"""),0.0)</f>
        <v>0</v>
      </c>
      <c r="J755" s="4">
        <f>IFERROR(__xludf.DUMMYFUNCTION("""COMPUTED_VALUE"""),8.5)</f>
        <v>8.5</v>
      </c>
      <c r="K755" s="2"/>
      <c r="L755" s="2" t="str">
        <f>IFERROR(__xludf.DUMMYFUNCTION("""COMPUTED_VALUE"""),"Delivered")</f>
        <v>Delivered</v>
      </c>
      <c r="M755" s="2" t="str">
        <f>IFERROR(__xludf.DUMMYFUNCTION("""COMPUTED_VALUE"""),"")</f>
        <v></v>
      </c>
      <c r="N755" s="2" t="str">
        <f>IFERROR(__xludf.DUMMYFUNCTION("""COMPUTED_VALUE"""),"Credit, Debit , Apple Pay")</f>
        <v>Credit, Debit , Apple Pay</v>
      </c>
      <c r="O755" s="4">
        <f>IFERROR(__xludf.DUMMYFUNCTION("""COMPUTED_VALUE"""),0.0)</f>
        <v>0</v>
      </c>
      <c r="P755" s="2">
        <f>IFERROR(__xludf.DUMMYFUNCTION("""COMPUTED_VALUE"""),11.0)</f>
        <v>11</v>
      </c>
      <c r="Q755" s="2">
        <f>IFERROR(__xludf.DUMMYFUNCTION("""COMPUTED_VALUE"""),7.0)</f>
        <v>7</v>
      </c>
      <c r="R755" s="2">
        <f>IFERROR(__xludf.DUMMYFUNCTION("""COMPUTED_VALUE"""),2025.0)</f>
        <v>2025</v>
      </c>
      <c r="S755" s="2" t="str">
        <f>IFERROR(__xludf.DUMMYFUNCTION("""COMPUTED_VALUE"""),"Digizag")</f>
        <v>Digizag</v>
      </c>
      <c r="T755" s="2" t="str">
        <f>IFERROR(__xludf.DUMMYFUNCTION("""COMPUTED_VALUE"""),"Digizag")</f>
        <v>Digizag</v>
      </c>
      <c r="U755" s="5">
        <f>IFERROR(__xludf.DUMMYFUNCTION("""COMPUTED_VALUE"""),23.144996629999998)</f>
        <v>23.14499663</v>
      </c>
      <c r="V755" s="2"/>
      <c r="W755" s="2"/>
      <c r="X755" s="2"/>
      <c r="Y755" s="2"/>
      <c r="Z755" s="2"/>
    </row>
    <row r="756">
      <c r="A756" s="6">
        <f>IFERROR(__xludf.DUMMYFUNCTION("""COMPUTED_VALUE"""),45850.094722222224)</f>
        <v>45850.09472</v>
      </c>
      <c r="B756" s="2" t="str">
        <f>IFERROR(__xludf.DUMMYFUNCTION("""COMPUTED_VALUE"""),"July")</f>
        <v>July</v>
      </c>
      <c r="C756" s="3">
        <f>IFERROR(__xludf.DUMMYFUNCTION("""COMPUTED_VALUE"""),150781.0)</f>
        <v>150781</v>
      </c>
      <c r="D756" s="2" t="str">
        <f>IFERROR(__xludf.DUMMYFUNCTION("""COMPUTED_VALUE"""),"ZM22")</f>
        <v>ZM22</v>
      </c>
      <c r="E756" s="2" t="str">
        <f>IFERROR(__xludf.DUMMYFUNCTION("""COMPUTED_VALUE"""),"Imported from file Digizag.xlsx")</f>
        <v>Imported from file Digizag.xlsx</v>
      </c>
      <c r="F756" s="2" t="str">
        <f>IFERROR(__xludf.DUMMYFUNCTION("""COMPUTED_VALUE"""),"ZML445357")</f>
        <v>ZML445357</v>
      </c>
      <c r="G756" s="2" t="str">
        <f>IFERROR(__xludf.DUMMYFUNCTION("""COMPUTED_VALUE"""),"UAE")</f>
        <v>UAE</v>
      </c>
      <c r="H756" s="4">
        <f>IFERROR(__xludf.DUMMYFUNCTION("""COMPUTED_VALUE"""),184.09)</f>
        <v>184.09</v>
      </c>
      <c r="I756" s="3">
        <f>IFERROR(__xludf.DUMMYFUNCTION("""COMPUTED_VALUE"""),0.0)</f>
        <v>0</v>
      </c>
      <c r="J756" s="4">
        <f>IFERROR(__xludf.DUMMYFUNCTION("""COMPUTED_VALUE"""),18.4)</f>
        <v>18.4</v>
      </c>
      <c r="K756" s="2"/>
      <c r="L756" s="2" t="str">
        <f>IFERROR(__xludf.DUMMYFUNCTION("""COMPUTED_VALUE"""),"Delivered")</f>
        <v>Delivered</v>
      </c>
      <c r="M756" s="2" t="str">
        <f>IFERROR(__xludf.DUMMYFUNCTION("""COMPUTED_VALUE"""),"")</f>
        <v></v>
      </c>
      <c r="N756" s="2" t="str">
        <f>IFERROR(__xludf.DUMMYFUNCTION("""COMPUTED_VALUE"""),"Cash")</f>
        <v>Cash</v>
      </c>
      <c r="O756" s="4">
        <f>IFERROR(__xludf.DUMMYFUNCTION("""COMPUTED_VALUE"""),0.0)</f>
        <v>0</v>
      </c>
      <c r="P756" s="2">
        <f>IFERROR(__xludf.DUMMYFUNCTION("""COMPUTED_VALUE"""),12.0)</f>
        <v>12</v>
      </c>
      <c r="Q756" s="2">
        <f>IFERROR(__xludf.DUMMYFUNCTION("""COMPUTED_VALUE"""),7.0)</f>
        <v>7</v>
      </c>
      <c r="R756" s="2">
        <f>IFERROR(__xludf.DUMMYFUNCTION("""COMPUTED_VALUE"""),2025.0)</f>
        <v>2025</v>
      </c>
      <c r="S756" s="2" t="str">
        <f>IFERROR(__xludf.DUMMYFUNCTION("""COMPUTED_VALUE"""),"Digizag")</f>
        <v>Digizag</v>
      </c>
      <c r="T756" s="2" t="str">
        <f>IFERROR(__xludf.DUMMYFUNCTION("""COMPUTED_VALUE"""),"Digizag")</f>
        <v>Digizag</v>
      </c>
      <c r="U756" s="5">
        <f>IFERROR(__xludf.DUMMYFUNCTION("""COMPUTED_VALUE"""),50.12661681902)</f>
        <v>50.12661682</v>
      </c>
      <c r="V756" s="2"/>
      <c r="W756" s="2"/>
      <c r="X756" s="2"/>
      <c r="Y756" s="2"/>
      <c r="Z756" s="2"/>
    </row>
    <row r="757">
      <c r="A757" s="6">
        <f>IFERROR(__xludf.DUMMYFUNCTION("""COMPUTED_VALUE"""),45850.39452546296)</f>
        <v>45850.39453</v>
      </c>
      <c r="B757" s="2" t="str">
        <f>IFERROR(__xludf.DUMMYFUNCTION("""COMPUTED_VALUE"""),"July")</f>
        <v>July</v>
      </c>
      <c r="C757" s="3">
        <f>IFERROR(__xludf.DUMMYFUNCTION("""COMPUTED_VALUE"""),771032.0)</f>
        <v>771032</v>
      </c>
      <c r="D757" s="2" t="str">
        <f>IFERROR(__xludf.DUMMYFUNCTION("""COMPUTED_VALUE"""),"ZM22")</f>
        <v>ZM22</v>
      </c>
      <c r="E757" s="2" t="str">
        <f>IFERROR(__xludf.DUMMYFUNCTION("""COMPUTED_VALUE"""),"Imported from file Digizag.xlsx")</f>
        <v>Imported from file Digizag.xlsx</v>
      </c>
      <c r="F757" s="2" t="str">
        <f>IFERROR(__xludf.DUMMYFUNCTION("""COMPUTED_VALUE"""),"AKS717209")</f>
        <v>AKS717209</v>
      </c>
      <c r="G757" s="2" t="str">
        <f>IFERROR(__xludf.DUMMYFUNCTION("""COMPUTED_VALUE"""),"UAE")</f>
        <v>UAE</v>
      </c>
      <c r="H757" s="4">
        <f>IFERROR(__xludf.DUMMYFUNCTION("""COMPUTED_VALUE"""),98.9)</f>
        <v>98.9</v>
      </c>
      <c r="I757" s="3">
        <f>IFERROR(__xludf.DUMMYFUNCTION("""COMPUTED_VALUE"""),0.0)</f>
        <v>0</v>
      </c>
      <c r="J757" s="4">
        <f>IFERROR(__xludf.DUMMYFUNCTION("""COMPUTED_VALUE"""),9.89)</f>
        <v>9.89</v>
      </c>
      <c r="K757" s="2"/>
      <c r="L757" s="2" t="str">
        <f>IFERROR(__xludf.DUMMYFUNCTION("""COMPUTED_VALUE"""),"Delivered")</f>
        <v>Delivered</v>
      </c>
      <c r="M757" s="2" t="str">
        <f>IFERROR(__xludf.DUMMYFUNCTION("""COMPUTED_VALUE"""),"")</f>
        <v></v>
      </c>
      <c r="N757" s="2" t="str">
        <f>IFERROR(__xludf.DUMMYFUNCTION("""COMPUTED_VALUE"""),"Credit, Debit , Apple Pay")</f>
        <v>Credit, Debit , Apple Pay</v>
      </c>
      <c r="O757" s="4">
        <f>IFERROR(__xludf.DUMMYFUNCTION("""COMPUTED_VALUE"""),0.0)</f>
        <v>0</v>
      </c>
      <c r="P757" s="2">
        <f>IFERROR(__xludf.DUMMYFUNCTION("""COMPUTED_VALUE"""),12.0)</f>
        <v>12</v>
      </c>
      <c r="Q757" s="2">
        <f>IFERROR(__xludf.DUMMYFUNCTION("""COMPUTED_VALUE"""),7.0)</f>
        <v>7</v>
      </c>
      <c r="R757" s="2">
        <f>IFERROR(__xludf.DUMMYFUNCTION("""COMPUTED_VALUE"""),2025.0)</f>
        <v>2025</v>
      </c>
      <c r="S757" s="2" t="str">
        <f>IFERROR(__xludf.DUMMYFUNCTION("""COMPUTED_VALUE"""),"Digizag")</f>
        <v>Digizag</v>
      </c>
      <c r="T757" s="2" t="str">
        <f>IFERROR(__xludf.DUMMYFUNCTION("""COMPUTED_VALUE"""),"Digizag")</f>
        <v>Digizag</v>
      </c>
      <c r="U757" s="5">
        <f>IFERROR(__xludf.DUMMYFUNCTION("""COMPUTED_VALUE"""),26.929884314200002)</f>
        <v>26.92988431</v>
      </c>
      <c r="V757" s="2"/>
      <c r="W757" s="2"/>
      <c r="X757" s="2"/>
      <c r="Y757" s="2"/>
      <c r="Z757" s="2"/>
    </row>
    <row r="758">
      <c r="A758" s="6">
        <f>IFERROR(__xludf.DUMMYFUNCTION("""COMPUTED_VALUE"""),45850.5831712963)</f>
        <v>45850.58317</v>
      </c>
      <c r="B758" s="2" t="str">
        <f>IFERROR(__xludf.DUMMYFUNCTION("""COMPUTED_VALUE"""),"July")</f>
        <v>July</v>
      </c>
      <c r="C758" s="3">
        <f>IFERROR(__xludf.DUMMYFUNCTION("""COMPUTED_VALUE"""),501009.0)</f>
        <v>501009</v>
      </c>
      <c r="D758" s="2" t="str">
        <f>IFERROR(__xludf.DUMMYFUNCTION("""COMPUTED_VALUE"""),"RR22")</f>
        <v>RR22</v>
      </c>
      <c r="E758" s="2" t="str">
        <f>IFERROR(__xludf.DUMMYFUNCTION("""COMPUTED_VALUE"""),"Imported from file Digizag.xlsx")</f>
        <v>Imported from file Digizag.xlsx</v>
      </c>
      <c r="F758" s="2" t="str">
        <f>IFERROR(__xludf.DUMMYFUNCTION("""COMPUTED_VALUE"""),"EML699831")</f>
        <v>EML699831</v>
      </c>
      <c r="G758" s="2" t="str">
        <f>IFERROR(__xludf.DUMMYFUNCTION("""COMPUTED_VALUE"""),"UAE")</f>
        <v>UAE</v>
      </c>
      <c r="H758" s="4">
        <f>IFERROR(__xludf.DUMMYFUNCTION("""COMPUTED_VALUE"""),252.0)</f>
        <v>252</v>
      </c>
      <c r="I758" s="3">
        <f>IFERROR(__xludf.DUMMYFUNCTION("""COMPUTED_VALUE"""),0.0)</f>
        <v>0</v>
      </c>
      <c r="J758" s="4">
        <f>IFERROR(__xludf.DUMMYFUNCTION("""COMPUTED_VALUE"""),25.2)</f>
        <v>25.2</v>
      </c>
      <c r="K758" s="2"/>
      <c r="L758" s="2" t="str">
        <f>IFERROR(__xludf.DUMMYFUNCTION("""COMPUTED_VALUE"""),"Delivered")</f>
        <v>Delivered</v>
      </c>
      <c r="M758" s="2" t="str">
        <f>IFERROR(__xludf.DUMMYFUNCTION("""COMPUTED_VALUE"""),"")</f>
        <v></v>
      </c>
      <c r="N758" s="2" t="str">
        <f>IFERROR(__xludf.DUMMYFUNCTION("""COMPUTED_VALUE"""),"Credit, Debit , Apple Pay")</f>
        <v>Credit, Debit , Apple Pay</v>
      </c>
      <c r="O758" s="4">
        <f>IFERROR(__xludf.DUMMYFUNCTION("""COMPUTED_VALUE"""),0.0)</f>
        <v>0</v>
      </c>
      <c r="P758" s="2">
        <f>IFERROR(__xludf.DUMMYFUNCTION("""COMPUTED_VALUE"""),12.0)</f>
        <v>12</v>
      </c>
      <c r="Q758" s="2">
        <f>IFERROR(__xludf.DUMMYFUNCTION("""COMPUTED_VALUE"""),7.0)</f>
        <v>7</v>
      </c>
      <c r="R758" s="2">
        <f>IFERROR(__xludf.DUMMYFUNCTION("""COMPUTED_VALUE"""),2025.0)</f>
        <v>2025</v>
      </c>
      <c r="S758" s="2" t="str">
        <f>IFERROR(__xludf.DUMMYFUNCTION("""COMPUTED_VALUE"""),"Digizag")</f>
        <v>Digizag</v>
      </c>
      <c r="T758" s="2" t="str">
        <f>IFERROR(__xludf.DUMMYFUNCTION("""COMPUTED_VALUE"""),"Digizag")</f>
        <v>Digizag</v>
      </c>
      <c r="U758" s="5">
        <f>IFERROR(__xludf.DUMMYFUNCTION("""COMPUTED_VALUE"""),68.61810765599999)</f>
        <v>68.61810766</v>
      </c>
      <c r="V758" s="2"/>
      <c r="W758" s="2"/>
      <c r="X758" s="2"/>
      <c r="Y758" s="2"/>
      <c r="Z758" s="2"/>
    </row>
    <row r="759">
      <c r="A759" s="6">
        <f>IFERROR(__xludf.DUMMYFUNCTION("""COMPUTED_VALUE"""),45850.806446759256)</f>
        <v>45850.80645</v>
      </c>
      <c r="B759" s="2" t="str">
        <f>IFERROR(__xludf.DUMMYFUNCTION("""COMPUTED_VALUE"""),"July")</f>
        <v>July</v>
      </c>
      <c r="C759" s="3">
        <f>IFERROR(__xludf.DUMMYFUNCTION("""COMPUTED_VALUE"""),206186.0)</f>
        <v>206186</v>
      </c>
      <c r="D759" s="2" t="str">
        <f>IFERROR(__xludf.DUMMYFUNCTION("""COMPUTED_VALUE"""),"ZM22")</f>
        <v>ZM22</v>
      </c>
      <c r="E759" s="2" t="str">
        <f>IFERROR(__xludf.DUMMYFUNCTION("""COMPUTED_VALUE"""),"Imported from file Digizag.xlsx")</f>
        <v>Imported from file Digizag.xlsx</v>
      </c>
      <c r="F759" s="2" t="str">
        <f>IFERROR(__xludf.DUMMYFUNCTION("""COMPUTED_VALUE"""),"AVA889593")</f>
        <v>AVA889593</v>
      </c>
      <c r="G759" s="2" t="str">
        <f>IFERROR(__xludf.DUMMYFUNCTION("""COMPUTED_VALUE"""),"UAE")</f>
        <v>UAE</v>
      </c>
      <c r="H759" s="4">
        <f>IFERROR(__xludf.DUMMYFUNCTION("""COMPUTED_VALUE"""),119.0)</f>
        <v>119</v>
      </c>
      <c r="I759" s="3">
        <f>IFERROR(__xludf.DUMMYFUNCTION("""COMPUTED_VALUE"""),0.0)</f>
        <v>0</v>
      </c>
      <c r="J759" s="4">
        <f>IFERROR(__xludf.DUMMYFUNCTION("""COMPUTED_VALUE"""),11.9)</f>
        <v>11.9</v>
      </c>
      <c r="K759" s="2"/>
      <c r="L759" s="2" t="str">
        <f>IFERROR(__xludf.DUMMYFUNCTION("""COMPUTED_VALUE"""),"Delivered")</f>
        <v>Delivered</v>
      </c>
      <c r="M759" s="2" t="str">
        <f>IFERROR(__xludf.DUMMYFUNCTION("""COMPUTED_VALUE"""),"")</f>
        <v></v>
      </c>
      <c r="N759" s="2" t="str">
        <f>IFERROR(__xludf.DUMMYFUNCTION("""COMPUTED_VALUE"""),"Credit, Debit , Apple Pay")</f>
        <v>Credit, Debit , Apple Pay</v>
      </c>
      <c r="O759" s="4">
        <f>IFERROR(__xludf.DUMMYFUNCTION("""COMPUTED_VALUE"""),0.0)</f>
        <v>0</v>
      </c>
      <c r="P759" s="2">
        <f>IFERROR(__xludf.DUMMYFUNCTION("""COMPUTED_VALUE"""),12.0)</f>
        <v>12</v>
      </c>
      <c r="Q759" s="2">
        <f>IFERROR(__xludf.DUMMYFUNCTION("""COMPUTED_VALUE"""),7.0)</f>
        <v>7</v>
      </c>
      <c r="R759" s="2">
        <f>IFERROR(__xludf.DUMMYFUNCTION("""COMPUTED_VALUE"""),2025.0)</f>
        <v>2025</v>
      </c>
      <c r="S759" s="2" t="str">
        <f>IFERROR(__xludf.DUMMYFUNCTION("""COMPUTED_VALUE"""),"Digizag")</f>
        <v>Digizag</v>
      </c>
      <c r="T759" s="2" t="str">
        <f>IFERROR(__xludf.DUMMYFUNCTION("""COMPUTED_VALUE"""),"Digizag")</f>
        <v>Digizag</v>
      </c>
      <c r="U759" s="5">
        <f>IFERROR(__xludf.DUMMYFUNCTION("""COMPUTED_VALUE"""),32.402995282)</f>
        <v>32.40299528</v>
      </c>
      <c r="V759" s="2"/>
      <c r="W759" s="2"/>
      <c r="X759" s="2"/>
      <c r="Y759" s="2"/>
      <c r="Z759" s="2"/>
    </row>
    <row r="760">
      <c r="A760" s="6">
        <f>IFERROR(__xludf.DUMMYFUNCTION("""COMPUTED_VALUE"""),45851.288888888885)</f>
        <v>45851.28889</v>
      </c>
      <c r="B760" s="2" t="str">
        <f>IFERROR(__xludf.DUMMYFUNCTION("""COMPUTED_VALUE"""),"July")</f>
        <v>July</v>
      </c>
      <c r="C760" s="3">
        <f>IFERROR(__xludf.DUMMYFUNCTION("""COMPUTED_VALUE"""),203274.0)</f>
        <v>203274</v>
      </c>
      <c r="D760" s="2" t="str">
        <f>IFERROR(__xludf.DUMMYFUNCTION("""COMPUTED_VALUE"""),"RR22")</f>
        <v>RR22</v>
      </c>
      <c r="E760" s="2" t="str">
        <f>IFERROR(__xludf.DUMMYFUNCTION("""COMPUTED_VALUE"""),"Imported from file Digizag.xlsx")</f>
        <v>Imported from file Digizag.xlsx</v>
      </c>
      <c r="F760" s="2" t="str">
        <f>IFERROR(__xludf.DUMMYFUNCTION("""COMPUTED_VALUE"""),"JTB265455")</f>
        <v>JTB265455</v>
      </c>
      <c r="G760" s="2" t="str">
        <f>IFERROR(__xludf.DUMMYFUNCTION("""COMPUTED_VALUE"""),"UAE")</f>
        <v>UAE</v>
      </c>
      <c r="H760" s="4">
        <f>IFERROR(__xludf.DUMMYFUNCTION("""COMPUTED_VALUE"""),204.95)</f>
        <v>204.95</v>
      </c>
      <c r="I760" s="3">
        <f>IFERROR(__xludf.DUMMYFUNCTION("""COMPUTED_VALUE"""),0.0)</f>
        <v>0</v>
      </c>
      <c r="J760" s="4">
        <f>IFERROR(__xludf.DUMMYFUNCTION("""COMPUTED_VALUE"""),20.49)</f>
        <v>20.49</v>
      </c>
      <c r="K760" s="2"/>
      <c r="L760" s="2" t="str">
        <f>IFERROR(__xludf.DUMMYFUNCTION("""COMPUTED_VALUE"""),"Delivered")</f>
        <v>Delivered</v>
      </c>
      <c r="M760" s="2" t="str">
        <f>IFERROR(__xludf.DUMMYFUNCTION("""COMPUTED_VALUE"""),"")</f>
        <v></v>
      </c>
      <c r="N760" s="2" t="str">
        <f>IFERROR(__xludf.DUMMYFUNCTION("""COMPUTED_VALUE"""),"Credit, Debit , Apple Pay")</f>
        <v>Credit, Debit , Apple Pay</v>
      </c>
      <c r="O760" s="4">
        <f>IFERROR(__xludf.DUMMYFUNCTION("""COMPUTED_VALUE"""),0.0)</f>
        <v>0</v>
      </c>
      <c r="P760" s="2">
        <f>IFERROR(__xludf.DUMMYFUNCTION("""COMPUTED_VALUE"""),13.0)</f>
        <v>13</v>
      </c>
      <c r="Q760" s="2">
        <f>IFERROR(__xludf.DUMMYFUNCTION("""COMPUTED_VALUE"""),7.0)</f>
        <v>7</v>
      </c>
      <c r="R760" s="2">
        <f>IFERROR(__xludf.DUMMYFUNCTION("""COMPUTED_VALUE"""),2025.0)</f>
        <v>2025</v>
      </c>
      <c r="S760" s="2" t="str">
        <f>IFERROR(__xludf.DUMMYFUNCTION("""COMPUTED_VALUE"""),"Digizag")</f>
        <v>Digizag</v>
      </c>
      <c r="T760" s="2" t="str">
        <f>IFERROR(__xludf.DUMMYFUNCTION("""COMPUTED_VALUE"""),"Digizag")</f>
        <v>Digizag</v>
      </c>
      <c r="U760" s="5">
        <f>IFERROR(__xludf.DUMMYFUNCTION("""COMPUTED_VALUE"""),55.8066712861)</f>
        <v>55.80667129</v>
      </c>
      <c r="V760" s="2"/>
      <c r="W760" s="2"/>
      <c r="X760" s="2"/>
      <c r="Y760" s="2"/>
      <c r="Z760" s="2"/>
    </row>
    <row r="761">
      <c r="A761" s="6">
        <f>IFERROR(__xludf.DUMMYFUNCTION("""COMPUTED_VALUE"""),45851.38372685185)</f>
        <v>45851.38373</v>
      </c>
      <c r="B761" s="2" t="str">
        <f>IFERROR(__xludf.DUMMYFUNCTION("""COMPUTED_VALUE"""),"July")</f>
        <v>July</v>
      </c>
      <c r="C761" s="3">
        <f>IFERROR(__xludf.DUMMYFUNCTION("""COMPUTED_VALUE"""),492567.0)</f>
        <v>492567</v>
      </c>
      <c r="D761" s="2" t="str">
        <f>IFERROR(__xludf.DUMMYFUNCTION("""COMPUTED_VALUE"""),"ZM22")</f>
        <v>ZM22</v>
      </c>
      <c r="E761" s="2" t="str">
        <f>IFERROR(__xludf.DUMMYFUNCTION("""COMPUTED_VALUE"""),"Imported from file Digizag.xlsx")</f>
        <v>Imported from file Digizag.xlsx</v>
      </c>
      <c r="F761" s="2" t="str">
        <f>IFERROR(__xludf.DUMMYFUNCTION("""COMPUTED_VALUE"""),"AXK611784")</f>
        <v>AXK611784</v>
      </c>
      <c r="G761" s="2" t="str">
        <f>IFERROR(__xludf.DUMMYFUNCTION("""COMPUTED_VALUE"""),"Kuwait")</f>
        <v>Kuwait</v>
      </c>
      <c r="H761" s="4">
        <f>IFERROR(__xludf.DUMMYFUNCTION("""COMPUTED_VALUE"""),15.9)</f>
        <v>15.9</v>
      </c>
      <c r="I761" s="3">
        <f>IFERROR(__xludf.DUMMYFUNCTION("""COMPUTED_VALUE"""),0.0)</f>
        <v>0</v>
      </c>
      <c r="J761" s="4">
        <f>IFERROR(__xludf.DUMMYFUNCTION("""COMPUTED_VALUE"""),1.59)</f>
        <v>1.59</v>
      </c>
      <c r="K761" s="2"/>
      <c r="L761" s="2" t="str">
        <f>IFERROR(__xludf.DUMMYFUNCTION("""COMPUTED_VALUE"""),"Delivered")</f>
        <v>Delivered</v>
      </c>
      <c r="M761" s="2" t="str">
        <f>IFERROR(__xludf.DUMMYFUNCTION("""COMPUTED_VALUE"""),"KD")</f>
        <v>KD</v>
      </c>
      <c r="N761" s="2" t="str">
        <f>IFERROR(__xludf.DUMMYFUNCTION("""COMPUTED_VALUE"""),"Credit, Debit, Knet")</f>
        <v>Credit, Debit, Knet</v>
      </c>
      <c r="O761" s="4">
        <f>IFERROR(__xludf.DUMMYFUNCTION("""COMPUTED_VALUE"""),0.0)</f>
        <v>0</v>
      </c>
      <c r="P761" s="2">
        <f>IFERROR(__xludf.DUMMYFUNCTION("""COMPUTED_VALUE"""),13.0)</f>
        <v>13</v>
      </c>
      <c r="Q761" s="2">
        <f>IFERROR(__xludf.DUMMYFUNCTION("""COMPUTED_VALUE"""),7.0)</f>
        <v>7</v>
      </c>
      <c r="R761" s="2">
        <f>IFERROR(__xludf.DUMMYFUNCTION("""COMPUTED_VALUE"""),2025.0)</f>
        <v>2025</v>
      </c>
      <c r="S761" s="2" t="str">
        <f>IFERROR(__xludf.DUMMYFUNCTION("""COMPUTED_VALUE"""),"Digizag")</f>
        <v>Digizag</v>
      </c>
      <c r="T761" s="2" t="str">
        <f>IFERROR(__xludf.DUMMYFUNCTION("""COMPUTED_VALUE"""),"Digizag")</f>
        <v>Digizag</v>
      </c>
      <c r="U761" s="5">
        <f>IFERROR(__xludf.DUMMYFUNCTION("""COMPUTED_VALUE"""),51.843858)</f>
        <v>51.843858</v>
      </c>
      <c r="V761" s="2"/>
      <c r="W761" s="2"/>
      <c r="X761" s="2"/>
      <c r="Y761" s="2"/>
      <c r="Z761" s="2"/>
    </row>
    <row r="762">
      <c r="A762" s="6">
        <f>IFERROR(__xludf.DUMMYFUNCTION("""COMPUTED_VALUE"""),45851.67241898148)</f>
        <v>45851.67242</v>
      </c>
      <c r="B762" s="2" t="str">
        <f>IFERROR(__xludf.DUMMYFUNCTION("""COMPUTED_VALUE"""),"July")</f>
        <v>July</v>
      </c>
      <c r="C762" s="3">
        <f>IFERROR(__xludf.DUMMYFUNCTION("""COMPUTED_VALUE"""),82733.0)</f>
        <v>82733</v>
      </c>
      <c r="D762" s="2" t="str">
        <f>IFERROR(__xludf.DUMMYFUNCTION("""COMPUTED_VALUE"""),"ZM22")</f>
        <v>ZM22</v>
      </c>
      <c r="E762" s="2" t="str">
        <f>IFERROR(__xludf.DUMMYFUNCTION("""COMPUTED_VALUE"""),"Imported from file Digizag.xlsx")</f>
        <v>Imported from file Digizag.xlsx</v>
      </c>
      <c r="F762" s="2" t="str">
        <f>IFERROR(__xludf.DUMMYFUNCTION("""COMPUTED_VALUE"""),"QWB410655")</f>
        <v>QWB410655</v>
      </c>
      <c r="G762" s="2" t="str">
        <f>IFERROR(__xludf.DUMMYFUNCTION("""COMPUTED_VALUE"""),"UAE")</f>
        <v>UAE</v>
      </c>
      <c r="H762" s="4">
        <f>IFERROR(__xludf.DUMMYFUNCTION("""COMPUTED_VALUE"""),241.0)</f>
        <v>241</v>
      </c>
      <c r="I762" s="3">
        <f>IFERROR(__xludf.DUMMYFUNCTION("""COMPUTED_VALUE"""),0.0)</f>
        <v>0</v>
      </c>
      <c r="J762" s="4">
        <f>IFERROR(__xludf.DUMMYFUNCTION("""COMPUTED_VALUE"""),24.1)</f>
        <v>24.1</v>
      </c>
      <c r="K762" s="2"/>
      <c r="L762" s="2" t="str">
        <f>IFERROR(__xludf.DUMMYFUNCTION("""COMPUTED_VALUE"""),"Delivered")</f>
        <v>Delivered</v>
      </c>
      <c r="M762" s="2" t="str">
        <f>IFERROR(__xludf.DUMMYFUNCTION("""COMPUTED_VALUE"""),"")</f>
        <v></v>
      </c>
      <c r="N762" s="2" t="str">
        <f>IFERROR(__xludf.DUMMYFUNCTION("""COMPUTED_VALUE"""),"Credit, Debit , Apple Pay")</f>
        <v>Credit, Debit , Apple Pay</v>
      </c>
      <c r="O762" s="4">
        <f>IFERROR(__xludf.DUMMYFUNCTION("""COMPUTED_VALUE"""),0.0)</f>
        <v>0</v>
      </c>
      <c r="P762" s="2">
        <f>IFERROR(__xludf.DUMMYFUNCTION("""COMPUTED_VALUE"""),13.0)</f>
        <v>13</v>
      </c>
      <c r="Q762" s="2">
        <f>IFERROR(__xludf.DUMMYFUNCTION("""COMPUTED_VALUE"""),7.0)</f>
        <v>7</v>
      </c>
      <c r="R762" s="2">
        <f>IFERROR(__xludf.DUMMYFUNCTION("""COMPUTED_VALUE"""),2025.0)</f>
        <v>2025</v>
      </c>
      <c r="S762" s="2" t="str">
        <f>IFERROR(__xludf.DUMMYFUNCTION("""COMPUTED_VALUE"""),"Digizag")</f>
        <v>Digizag</v>
      </c>
      <c r="T762" s="2" t="str">
        <f>IFERROR(__xludf.DUMMYFUNCTION("""COMPUTED_VALUE"""),"Digizag")</f>
        <v>Digizag</v>
      </c>
      <c r="U762" s="5">
        <f>IFERROR(__xludf.DUMMYFUNCTION("""COMPUTED_VALUE"""),65.622872798)</f>
        <v>65.6228728</v>
      </c>
      <c r="V762" s="2"/>
      <c r="W762" s="2"/>
      <c r="X762" s="2"/>
      <c r="Y762" s="2"/>
      <c r="Z762" s="2"/>
    </row>
    <row r="763">
      <c r="A763" s="6">
        <f>IFERROR(__xludf.DUMMYFUNCTION("""COMPUTED_VALUE"""),45851.93292824074)</f>
        <v>45851.93293</v>
      </c>
      <c r="B763" s="2" t="str">
        <f>IFERROR(__xludf.DUMMYFUNCTION("""COMPUTED_VALUE"""),"July")</f>
        <v>July</v>
      </c>
      <c r="C763" s="3">
        <f>IFERROR(__xludf.DUMMYFUNCTION("""COMPUTED_VALUE"""),771716.0)</f>
        <v>771716</v>
      </c>
      <c r="D763" s="2" t="str">
        <f>IFERROR(__xludf.DUMMYFUNCTION("""COMPUTED_VALUE"""),"JM")</f>
        <v>JM</v>
      </c>
      <c r="E763" s="2" t="str">
        <f>IFERROR(__xludf.DUMMYFUNCTION("""COMPUTED_VALUE"""),"DigiZag")</f>
        <v>DigiZag</v>
      </c>
      <c r="F763" s="2" t="str">
        <f>IFERROR(__xludf.DUMMYFUNCTION("""COMPUTED_VALUE"""),"EWA632076")</f>
        <v>EWA632076</v>
      </c>
      <c r="G763" s="2" t="str">
        <f>IFERROR(__xludf.DUMMYFUNCTION("""COMPUTED_VALUE"""),"UAE")</f>
        <v>UAE</v>
      </c>
      <c r="H763" s="4">
        <f>IFERROR(__xludf.DUMMYFUNCTION("""COMPUTED_VALUE"""),60.0)</f>
        <v>60</v>
      </c>
      <c r="I763" s="3">
        <f>IFERROR(__xludf.DUMMYFUNCTION("""COMPUTED_VALUE"""),0.0)</f>
        <v>0</v>
      </c>
      <c r="J763" s="4">
        <f>IFERROR(__xludf.DUMMYFUNCTION("""COMPUTED_VALUE"""),6.0)</f>
        <v>6</v>
      </c>
      <c r="K763" s="2"/>
      <c r="L763" s="2" t="str">
        <f>IFERROR(__xludf.DUMMYFUNCTION("""COMPUTED_VALUE"""),"Delivered")</f>
        <v>Delivered</v>
      </c>
      <c r="M763" s="2" t="str">
        <f>IFERROR(__xludf.DUMMYFUNCTION("""COMPUTED_VALUE"""),"")</f>
        <v></v>
      </c>
      <c r="N763" s="2" t="str">
        <f>IFERROR(__xludf.DUMMYFUNCTION("""COMPUTED_VALUE"""),"Credit, Debit , Apple Pay")</f>
        <v>Credit, Debit , Apple Pay</v>
      </c>
      <c r="O763" s="4">
        <f>IFERROR(__xludf.DUMMYFUNCTION("""COMPUTED_VALUE"""),0.0)</f>
        <v>0</v>
      </c>
      <c r="P763" s="2">
        <f>IFERROR(__xludf.DUMMYFUNCTION("""COMPUTED_VALUE"""),13.0)</f>
        <v>13</v>
      </c>
      <c r="Q763" s="2">
        <f>IFERROR(__xludf.DUMMYFUNCTION("""COMPUTED_VALUE"""),7.0)</f>
        <v>7</v>
      </c>
      <c r="R763" s="2">
        <f>IFERROR(__xludf.DUMMYFUNCTION("""COMPUTED_VALUE"""),2025.0)</f>
        <v>2025</v>
      </c>
      <c r="S763" s="2" t="str">
        <f>IFERROR(__xludf.DUMMYFUNCTION("""COMPUTED_VALUE"""),"Digizag")</f>
        <v>Digizag</v>
      </c>
      <c r="T763" s="2" t="str">
        <f>IFERROR(__xludf.DUMMYFUNCTION("""COMPUTED_VALUE"""),"Digizag")</f>
        <v>Digizag</v>
      </c>
      <c r="U763" s="5">
        <f>IFERROR(__xludf.DUMMYFUNCTION("""COMPUTED_VALUE"""),16.33764468)</f>
        <v>16.33764468</v>
      </c>
      <c r="V763" s="2"/>
      <c r="W763" s="2"/>
      <c r="X763" s="2"/>
      <c r="Y763" s="2"/>
      <c r="Z763" s="2"/>
    </row>
    <row r="764">
      <c r="A764" s="6">
        <f>IFERROR(__xludf.DUMMYFUNCTION("""COMPUTED_VALUE"""),45851.94567129629)</f>
        <v>45851.94567</v>
      </c>
      <c r="B764" s="2" t="str">
        <f>IFERROR(__xludf.DUMMYFUNCTION("""COMPUTED_VALUE"""),"July")</f>
        <v>July</v>
      </c>
      <c r="C764" s="3">
        <f>IFERROR(__xludf.DUMMYFUNCTION("""COMPUTED_VALUE"""),401284.0)</f>
        <v>401284</v>
      </c>
      <c r="D764" s="2" t="str">
        <f>IFERROR(__xludf.DUMMYFUNCTION("""COMPUTED_VALUE"""),"RR22")</f>
        <v>RR22</v>
      </c>
      <c r="E764" s="2" t="str">
        <f>IFERROR(__xludf.DUMMYFUNCTION("""COMPUTED_VALUE"""),"Imported from file Digizag.xlsx")</f>
        <v>Imported from file Digizag.xlsx</v>
      </c>
      <c r="F764" s="2" t="str">
        <f>IFERROR(__xludf.DUMMYFUNCTION("""COMPUTED_VALUE"""),"PZS570344")</f>
        <v>PZS570344</v>
      </c>
      <c r="G764" s="2" t="str">
        <f>IFERROR(__xludf.DUMMYFUNCTION("""COMPUTED_VALUE"""),"UAE")</f>
        <v>UAE</v>
      </c>
      <c r="H764" s="4">
        <f>IFERROR(__xludf.DUMMYFUNCTION("""COMPUTED_VALUE"""),446.0)</f>
        <v>446</v>
      </c>
      <c r="I764" s="3">
        <f>IFERROR(__xludf.DUMMYFUNCTION("""COMPUTED_VALUE"""),0.0)</f>
        <v>0</v>
      </c>
      <c r="J764" s="4">
        <f>IFERROR(__xludf.DUMMYFUNCTION("""COMPUTED_VALUE"""),44.6)</f>
        <v>44.6</v>
      </c>
      <c r="K764" s="2"/>
      <c r="L764" s="2" t="str">
        <f>IFERROR(__xludf.DUMMYFUNCTION("""COMPUTED_VALUE"""),"Delivered")</f>
        <v>Delivered</v>
      </c>
      <c r="M764" s="2" t="str">
        <f>IFERROR(__xludf.DUMMYFUNCTION("""COMPUTED_VALUE"""),"")</f>
        <v></v>
      </c>
      <c r="N764" s="2" t="str">
        <f>IFERROR(__xludf.DUMMYFUNCTION("""COMPUTED_VALUE"""),"Tamara: split in 3, interest-free")</f>
        <v>Tamara: split in 3, interest-free</v>
      </c>
      <c r="O764" s="4">
        <f>IFERROR(__xludf.DUMMYFUNCTION("""COMPUTED_VALUE"""),0.0)</f>
        <v>0</v>
      </c>
      <c r="P764" s="2">
        <f>IFERROR(__xludf.DUMMYFUNCTION("""COMPUTED_VALUE"""),13.0)</f>
        <v>13</v>
      </c>
      <c r="Q764" s="2">
        <f>IFERROR(__xludf.DUMMYFUNCTION("""COMPUTED_VALUE"""),7.0)</f>
        <v>7</v>
      </c>
      <c r="R764" s="2">
        <f>IFERROR(__xludf.DUMMYFUNCTION("""COMPUTED_VALUE"""),2025.0)</f>
        <v>2025</v>
      </c>
      <c r="S764" s="2" t="str">
        <f>IFERROR(__xludf.DUMMYFUNCTION("""COMPUTED_VALUE"""),"Digizag")</f>
        <v>Digizag</v>
      </c>
      <c r="T764" s="2" t="str">
        <f>IFERROR(__xludf.DUMMYFUNCTION("""COMPUTED_VALUE"""),"Digizag")</f>
        <v>Digizag</v>
      </c>
      <c r="U764" s="5">
        <f>IFERROR(__xludf.DUMMYFUNCTION("""COMPUTED_VALUE"""),121.44315878799999)</f>
        <v>121.4431588</v>
      </c>
      <c r="V764" s="2"/>
      <c r="W764" s="2"/>
      <c r="X764" s="2"/>
      <c r="Y764" s="2"/>
      <c r="Z764" s="2"/>
    </row>
    <row r="765">
      <c r="A765" s="6">
        <f>IFERROR(__xludf.DUMMYFUNCTION("""COMPUTED_VALUE"""),45852.30571759259)</f>
        <v>45852.30572</v>
      </c>
      <c r="B765" s="2" t="str">
        <f>IFERROR(__xludf.DUMMYFUNCTION("""COMPUTED_VALUE"""),"July")</f>
        <v>July</v>
      </c>
      <c r="C765" s="3">
        <f>IFERROR(__xludf.DUMMYFUNCTION("""COMPUTED_VALUE"""),37586.0)</f>
        <v>37586</v>
      </c>
      <c r="D765" s="2" t="str">
        <f>IFERROR(__xludf.DUMMYFUNCTION("""COMPUTED_VALUE"""),"ZM22")</f>
        <v>ZM22</v>
      </c>
      <c r="E765" s="2" t="str">
        <f>IFERROR(__xludf.DUMMYFUNCTION("""COMPUTED_VALUE"""),"Imported from file Digizag.xlsx")</f>
        <v>Imported from file Digizag.xlsx</v>
      </c>
      <c r="F765" s="2" t="str">
        <f>IFERROR(__xludf.DUMMYFUNCTION("""COMPUTED_VALUE"""),"PPL261598")</f>
        <v>PPL261598</v>
      </c>
      <c r="G765" s="2" t="str">
        <f>IFERROR(__xludf.DUMMYFUNCTION("""COMPUTED_VALUE"""),"Kingdom of Saudi Arabia")</f>
        <v>Kingdom of Saudi Arabia</v>
      </c>
      <c r="H765" s="4">
        <f>IFERROR(__xludf.DUMMYFUNCTION("""COMPUTED_VALUE"""),343.39)</f>
        <v>343.39</v>
      </c>
      <c r="I765" s="3">
        <f>IFERROR(__xludf.DUMMYFUNCTION("""COMPUTED_VALUE"""),0.0)</f>
        <v>0</v>
      </c>
      <c r="J765" s="4">
        <f>IFERROR(__xludf.DUMMYFUNCTION("""COMPUTED_VALUE"""),30.0)</f>
        <v>30</v>
      </c>
      <c r="K765" s="2"/>
      <c r="L765" s="2" t="str">
        <f>IFERROR(__xludf.DUMMYFUNCTION("""COMPUTED_VALUE"""),"Delivered")</f>
        <v>Delivered</v>
      </c>
      <c r="M765" s="2" t="str">
        <f>IFERROR(__xludf.DUMMYFUNCTION("""COMPUTED_VALUE"""),"")</f>
        <v></v>
      </c>
      <c r="N765" s="2" t="str">
        <f>IFERROR(__xludf.DUMMYFUNCTION("""COMPUTED_VALUE"""),"Credit, Debit, Apple Pay")</f>
        <v>Credit, Debit, Apple Pay</v>
      </c>
      <c r="O765" s="4">
        <f>IFERROR(__xludf.DUMMYFUNCTION("""COMPUTED_VALUE"""),0.0)</f>
        <v>0</v>
      </c>
      <c r="P765" s="2">
        <f>IFERROR(__xludf.DUMMYFUNCTION("""COMPUTED_VALUE"""),14.0)</f>
        <v>14</v>
      </c>
      <c r="Q765" s="2">
        <f>IFERROR(__xludf.DUMMYFUNCTION("""COMPUTED_VALUE"""),7.0)</f>
        <v>7</v>
      </c>
      <c r="R765" s="2">
        <f>IFERROR(__xludf.DUMMYFUNCTION("""COMPUTED_VALUE"""),2025.0)</f>
        <v>2025</v>
      </c>
      <c r="S765" s="2" t="str">
        <f>IFERROR(__xludf.DUMMYFUNCTION("""COMPUTED_VALUE"""),"Digizag")</f>
        <v>Digizag</v>
      </c>
      <c r="T765" s="2" t="str">
        <f>IFERROR(__xludf.DUMMYFUNCTION("""COMPUTED_VALUE"""),"Digizag")</f>
        <v>Digizag</v>
      </c>
      <c r="U765" s="5">
        <f>IFERROR(__xludf.DUMMYFUNCTION("""COMPUTED_VALUE"""),91.56358573594001)</f>
        <v>91.56358574</v>
      </c>
      <c r="V765" s="2"/>
      <c r="W765" s="2"/>
      <c r="X765" s="2"/>
      <c r="Y765" s="2"/>
      <c r="Z765" s="2"/>
    </row>
    <row r="766">
      <c r="A766" s="6">
        <f>IFERROR(__xludf.DUMMYFUNCTION("""COMPUTED_VALUE"""),45852.36237268518)</f>
        <v>45852.36237</v>
      </c>
      <c r="B766" s="2" t="str">
        <f>IFERROR(__xludf.DUMMYFUNCTION("""COMPUTED_VALUE"""),"July")</f>
        <v>July</v>
      </c>
      <c r="C766" s="3">
        <f>IFERROR(__xludf.DUMMYFUNCTION("""COMPUTED_VALUE"""),296128.0)</f>
        <v>296128</v>
      </c>
      <c r="D766" s="2" t="str">
        <f>IFERROR(__xludf.DUMMYFUNCTION("""COMPUTED_VALUE"""),"JM")</f>
        <v>JM</v>
      </c>
      <c r="E766" s="2" t="str">
        <f>IFERROR(__xludf.DUMMYFUNCTION("""COMPUTED_VALUE"""),"Digizag")</f>
        <v>Digizag</v>
      </c>
      <c r="F766" s="2" t="str">
        <f>IFERROR(__xludf.DUMMYFUNCTION("""COMPUTED_VALUE"""),"KZG688768")</f>
        <v>KZG688768</v>
      </c>
      <c r="G766" s="2" t="str">
        <f>IFERROR(__xludf.DUMMYFUNCTION("""COMPUTED_VALUE"""),"Kuwait")</f>
        <v>Kuwait</v>
      </c>
      <c r="H766" s="4">
        <f>IFERROR(__xludf.DUMMYFUNCTION("""COMPUTED_VALUE"""),22.85)</f>
        <v>22.85</v>
      </c>
      <c r="I766" s="3">
        <f>IFERROR(__xludf.DUMMYFUNCTION("""COMPUTED_VALUE"""),0.0)</f>
        <v>0</v>
      </c>
      <c r="J766" s="4">
        <f>IFERROR(__xludf.DUMMYFUNCTION("""COMPUTED_VALUE"""),2.285)</f>
        <v>2.285</v>
      </c>
      <c r="K766" s="2"/>
      <c r="L766" s="2" t="str">
        <f>IFERROR(__xludf.DUMMYFUNCTION("""COMPUTED_VALUE"""),"Delivered")</f>
        <v>Delivered</v>
      </c>
      <c r="M766" s="2" t="str">
        <f>IFERROR(__xludf.DUMMYFUNCTION("""COMPUTED_VALUE"""),"KD")</f>
        <v>KD</v>
      </c>
      <c r="N766" s="2" t="str">
        <f>IFERROR(__xludf.DUMMYFUNCTION("""COMPUTED_VALUE"""),"Credit, Debit, Knet")</f>
        <v>Credit, Debit, Knet</v>
      </c>
      <c r="O766" s="4">
        <f>IFERROR(__xludf.DUMMYFUNCTION("""COMPUTED_VALUE"""),0.0)</f>
        <v>0</v>
      </c>
      <c r="P766" s="2">
        <f>IFERROR(__xludf.DUMMYFUNCTION("""COMPUTED_VALUE"""),14.0)</f>
        <v>14</v>
      </c>
      <c r="Q766" s="2">
        <f>IFERROR(__xludf.DUMMYFUNCTION("""COMPUTED_VALUE"""),7.0)</f>
        <v>7</v>
      </c>
      <c r="R766" s="2">
        <f>IFERROR(__xludf.DUMMYFUNCTION("""COMPUTED_VALUE"""),2025.0)</f>
        <v>2025</v>
      </c>
      <c r="S766" s="2" t="str">
        <f>IFERROR(__xludf.DUMMYFUNCTION("""COMPUTED_VALUE"""),"Digizag")</f>
        <v>Digizag</v>
      </c>
      <c r="T766" s="2" t="str">
        <f>IFERROR(__xludf.DUMMYFUNCTION("""COMPUTED_VALUE"""),"Digizag")</f>
        <v>Digizag</v>
      </c>
      <c r="U766" s="5">
        <f>IFERROR(__xludf.DUMMYFUNCTION("""COMPUTED_VALUE"""),74.505167)</f>
        <v>74.505167</v>
      </c>
      <c r="V766" s="2"/>
      <c r="W766" s="2"/>
      <c r="X766" s="2"/>
      <c r="Y766" s="2"/>
      <c r="Z766" s="2"/>
    </row>
    <row r="767">
      <c r="A767" s="6">
        <f>IFERROR(__xludf.DUMMYFUNCTION("""COMPUTED_VALUE"""),45852.51905092593)</f>
        <v>45852.51905</v>
      </c>
      <c r="B767" s="2" t="str">
        <f>IFERROR(__xludf.DUMMYFUNCTION("""COMPUTED_VALUE"""),"July")</f>
        <v>July</v>
      </c>
      <c r="C767" s="3">
        <f>IFERROR(__xludf.DUMMYFUNCTION("""COMPUTED_VALUE"""),765199.0)</f>
        <v>765199</v>
      </c>
      <c r="D767" s="2" t="str">
        <f>IFERROR(__xludf.DUMMYFUNCTION("""COMPUTED_VALUE"""),"MNN27")</f>
        <v>MNN27</v>
      </c>
      <c r="E767" s="2" t="str">
        <f>IFERROR(__xludf.DUMMYFUNCTION("""COMPUTED_VALUE"""),"Imported from file DigiZag Bidding Codes.xlsx")</f>
        <v>Imported from file DigiZag Bidding Codes.xlsx</v>
      </c>
      <c r="F767" s="2" t="str">
        <f>IFERROR(__xludf.DUMMYFUNCTION("""COMPUTED_VALUE"""),"WNV864792")</f>
        <v>WNV864792</v>
      </c>
      <c r="G767" s="2" t="str">
        <f>IFERROR(__xludf.DUMMYFUNCTION("""COMPUTED_VALUE"""),"Kingdom of Saudi Arabia")</f>
        <v>Kingdom of Saudi Arabia</v>
      </c>
      <c r="H767" s="4">
        <f>IFERROR(__xludf.DUMMYFUNCTION("""COMPUTED_VALUE"""),184.03)</f>
        <v>184.03</v>
      </c>
      <c r="I767" s="3">
        <f>IFERROR(__xludf.DUMMYFUNCTION("""COMPUTED_VALUE"""),0.0)</f>
        <v>0</v>
      </c>
      <c r="J767" s="4">
        <f>IFERROR(__xludf.DUMMYFUNCTION("""COMPUTED_VALUE"""),30.0)</f>
        <v>30</v>
      </c>
      <c r="K767" s="2"/>
      <c r="L767" s="2" t="str">
        <f>IFERROR(__xludf.DUMMYFUNCTION("""COMPUTED_VALUE"""),"Delivered")</f>
        <v>Delivered</v>
      </c>
      <c r="M767" s="2" t="str">
        <f>IFERROR(__xludf.DUMMYFUNCTION("""COMPUTED_VALUE"""),"")</f>
        <v></v>
      </c>
      <c r="N767" s="2" t="str">
        <f>IFERROR(__xludf.DUMMYFUNCTION("""COMPUTED_VALUE"""),"Credit, Debit, Apple Pay")</f>
        <v>Credit, Debit, Apple Pay</v>
      </c>
      <c r="O767" s="4">
        <f>IFERROR(__xludf.DUMMYFUNCTION("""COMPUTED_VALUE"""),0.0)</f>
        <v>0</v>
      </c>
      <c r="P767" s="2">
        <f>IFERROR(__xludf.DUMMYFUNCTION("""COMPUTED_VALUE"""),14.0)</f>
        <v>14</v>
      </c>
      <c r="Q767" s="2">
        <f>IFERROR(__xludf.DUMMYFUNCTION("""COMPUTED_VALUE"""),7.0)</f>
        <v>7</v>
      </c>
      <c r="R767" s="2">
        <f>IFERROR(__xludf.DUMMYFUNCTION("""COMPUTED_VALUE"""),2025.0)</f>
        <v>2025</v>
      </c>
      <c r="S767" s="2" t="str">
        <f>IFERROR(__xludf.DUMMYFUNCTION("""COMPUTED_VALUE"""),"Digizag")</f>
        <v>Digizag</v>
      </c>
      <c r="T767" s="2" t="str">
        <f>IFERROR(__xludf.DUMMYFUNCTION("""COMPUTED_VALUE"""),"Digizag")</f>
        <v>Digizag</v>
      </c>
      <c r="U767" s="5">
        <f>IFERROR(__xludf.DUMMYFUNCTION("""COMPUTED_VALUE"""),49.070871845380005)</f>
        <v>49.07087185</v>
      </c>
      <c r="V767" s="2"/>
      <c r="W767" s="2"/>
      <c r="X767" s="2"/>
      <c r="Y767" s="2"/>
      <c r="Z767" s="2"/>
    </row>
    <row r="768">
      <c r="A768" s="6">
        <f>IFERROR(__xludf.DUMMYFUNCTION("""COMPUTED_VALUE"""),45853.37935185185)</f>
        <v>45853.37935</v>
      </c>
      <c r="B768" s="2" t="str">
        <f>IFERROR(__xludf.DUMMYFUNCTION("""COMPUTED_VALUE"""),"July")</f>
        <v>July</v>
      </c>
      <c r="C768" s="3">
        <f>IFERROR(__xludf.DUMMYFUNCTION("""COMPUTED_VALUE"""),577707.0)</f>
        <v>577707</v>
      </c>
      <c r="D768" s="2" t="str">
        <f>IFERROR(__xludf.DUMMYFUNCTION("""COMPUTED_VALUE"""),"ZM22")</f>
        <v>ZM22</v>
      </c>
      <c r="E768" s="2" t="str">
        <f>IFERROR(__xludf.DUMMYFUNCTION("""COMPUTED_VALUE"""),"Imported from file Digizag.xlsx")</f>
        <v>Imported from file Digizag.xlsx</v>
      </c>
      <c r="F768" s="2" t="str">
        <f>IFERROR(__xludf.DUMMYFUNCTION("""COMPUTED_VALUE"""),"WZL401416")</f>
        <v>WZL401416</v>
      </c>
      <c r="G768" s="2" t="str">
        <f>IFERROR(__xludf.DUMMYFUNCTION("""COMPUTED_VALUE"""),"Kingdom of Saudi Arabia")</f>
        <v>Kingdom of Saudi Arabia</v>
      </c>
      <c r="H768" s="4">
        <f>IFERROR(__xludf.DUMMYFUNCTION("""COMPUTED_VALUE"""),199.6)</f>
        <v>199.6</v>
      </c>
      <c r="I768" s="3">
        <f>IFERROR(__xludf.DUMMYFUNCTION("""COMPUTED_VALUE"""),0.0)</f>
        <v>0</v>
      </c>
      <c r="J768" s="4">
        <f>IFERROR(__xludf.DUMMYFUNCTION("""COMPUTED_VALUE"""),30.0)</f>
        <v>30</v>
      </c>
      <c r="K768" s="2"/>
      <c r="L768" s="2" t="str">
        <f>IFERROR(__xludf.DUMMYFUNCTION("""COMPUTED_VALUE"""),"Delivered")</f>
        <v>Delivered</v>
      </c>
      <c r="M768" s="2" t="str">
        <f>IFERROR(__xludf.DUMMYFUNCTION("""COMPUTED_VALUE"""),"")</f>
        <v></v>
      </c>
      <c r="N768" s="2" t="str">
        <f>IFERROR(__xludf.DUMMYFUNCTION("""COMPUTED_VALUE"""),"Pay in 4. No interest, no fees")</f>
        <v>Pay in 4. No interest, no fees</v>
      </c>
      <c r="O768" s="4">
        <f>IFERROR(__xludf.DUMMYFUNCTION("""COMPUTED_VALUE"""),0.0)</f>
        <v>0</v>
      </c>
      <c r="P768" s="2">
        <f>IFERROR(__xludf.DUMMYFUNCTION("""COMPUTED_VALUE"""),15.0)</f>
        <v>15</v>
      </c>
      <c r="Q768" s="2">
        <f>IFERROR(__xludf.DUMMYFUNCTION("""COMPUTED_VALUE"""),7.0)</f>
        <v>7</v>
      </c>
      <c r="R768" s="2">
        <f>IFERROR(__xludf.DUMMYFUNCTION("""COMPUTED_VALUE"""),2025.0)</f>
        <v>2025</v>
      </c>
      <c r="S768" s="2" t="str">
        <f>IFERROR(__xludf.DUMMYFUNCTION("""COMPUTED_VALUE"""),"Digizag")</f>
        <v>Digizag</v>
      </c>
      <c r="T768" s="2" t="str">
        <f>IFERROR(__xludf.DUMMYFUNCTION("""COMPUTED_VALUE"""),"Digizag")</f>
        <v>Digizag</v>
      </c>
      <c r="U768" s="5">
        <f>IFERROR(__xludf.DUMMYFUNCTION("""COMPUTED_VALUE"""),53.222550781600006)</f>
        <v>53.22255078</v>
      </c>
      <c r="V768" s="2"/>
      <c r="W768" s="2"/>
      <c r="X768" s="2"/>
      <c r="Y768" s="2"/>
      <c r="Z768" s="2"/>
    </row>
    <row r="769">
      <c r="A769" s="6">
        <f>IFERROR(__xludf.DUMMYFUNCTION("""COMPUTED_VALUE"""),45853.45586805556)</f>
        <v>45853.45587</v>
      </c>
      <c r="B769" s="2" t="str">
        <f>IFERROR(__xludf.DUMMYFUNCTION("""COMPUTED_VALUE"""),"July")</f>
        <v>July</v>
      </c>
      <c r="C769" s="3">
        <f>IFERROR(__xludf.DUMMYFUNCTION("""COMPUTED_VALUE"""),16903.0)</f>
        <v>16903</v>
      </c>
      <c r="D769" s="2" t="str">
        <f>IFERROR(__xludf.DUMMYFUNCTION("""COMPUTED_VALUE"""),"ZM22")</f>
        <v>ZM22</v>
      </c>
      <c r="E769" s="2" t="str">
        <f>IFERROR(__xludf.DUMMYFUNCTION("""COMPUTED_VALUE"""),"Imported from file Digizag.xlsx")</f>
        <v>Imported from file Digizag.xlsx</v>
      </c>
      <c r="F769" s="2" t="str">
        <f>IFERROR(__xludf.DUMMYFUNCTION("""COMPUTED_VALUE"""),"GTY358689")</f>
        <v>GTY358689</v>
      </c>
      <c r="G769" s="2" t="str">
        <f>IFERROR(__xludf.DUMMYFUNCTION("""COMPUTED_VALUE"""),"UAE")</f>
        <v>UAE</v>
      </c>
      <c r="H769" s="4">
        <f>IFERROR(__xludf.DUMMYFUNCTION("""COMPUTED_VALUE"""),121.19)</f>
        <v>121.19</v>
      </c>
      <c r="I769" s="3">
        <f>IFERROR(__xludf.DUMMYFUNCTION("""COMPUTED_VALUE"""),0.0)</f>
        <v>0</v>
      </c>
      <c r="J769" s="4">
        <f>IFERROR(__xludf.DUMMYFUNCTION("""COMPUTED_VALUE"""),12.11)</f>
        <v>12.11</v>
      </c>
      <c r="K769" s="2"/>
      <c r="L769" s="2" t="str">
        <f>IFERROR(__xludf.DUMMYFUNCTION("""COMPUTED_VALUE"""),"Delivered")</f>
        <v>Delivered</v>
      </c>
      <c r="M769" s="2" t="str">
        <f>IFERROR(__xludf.DUMMYFUNCTION("""COMPUTED_VALUE"""),"")</f>
        <v></v>
      </c>
      <c r="N769" s="2" t="str">
        <f>IFERROR(__xludf.DUMMYFUNCTION("""COMPUTED_VALUE"""),"Credit, Debit , Apple Pay")</f>
        <v>Credit, Debit , Apple Pay</v>
      </c>
      <c r="O769" s="4">
        <f>IFERROR(__xludf.DUMMYFUNCTION("""COMPUTED_VALUE"""),0.0)</f>
        <v>0</v>
      </c>
      <c r="P769" s="2">
        <f>IFERROR(__xludf.DUMMYFUNCTION("""COMPUTED_VALUE"""),15.0)</f>
        <v>15</v>
      </c>
      <c r="Q769" s="2">
        <f>IFERROR(__xludf.DUMMYFUNCTION("""COMPUTED_VALUE"""),7.0)</f>
        <v>7</v>
      </c>
      <c r="R769" s="2">
        <f>IFERROR(__xludf.DUMMYFUNCTION("""COMPUTED_VALUE"""),2025.0)</f>
        <v>2025</v>
      </c>
      <c r="S769" s="2" t="str">
        <f>IFERROR(__xludf.DUMMYFUNCTION("""COMPUTED_VALUE"""),"Digizag")</f>
        <v>Digizag</v>
      </c>
      <c r="T769" s="2" t="str">
        <f>IFERROR(__xludf.DUMMYFUNCTION("""COMPUTED_VALUE"""),"Digizag")</f>
        <v>Digizag</v>
      </c>
      <c r="U769" s="5">
        <f>IFERROR(__xludf.DUMMYFUNCTION("""COMPUTED_VALUE"""),32.99931931282)</f>
        <v>32.99931931</v>
      </c>
      <c r="V769" s="2"/>
      <c r="W769" s="2"/>
      <c r="X769" s="2"/>
      <c r="Y769" s="2"/>
      <c r="Z769" s="2"/>
    </row>
    <row r="770">
      <c r="A770" s="6">
        <f>IFERROR(__xludf.DUMMYFUNCTION("""COMPUTED_VALUE"""),45853.51672453703)</f>
        <v>45853.51672</v>
      </c>
      <c r="B770" s="2" t="str">
        <f>IFERROR(__xludf.DUMMYFUNCTION("""COMPUTED_VALUE"""),"July")</f>
        <v>July</v>
      </c>
      <c r="C770" s="3">
        <f>IFERROR(__xludf.DUMMYFUNCTION("""COMPUTED_VALUE"""),36617.0)</f>
        <v>36617</v>
      </c>
      <c r="D770" s="2" t="str">
        <f>IFERROR(__xludf.DUMMYFUNCTION("""COMPUTED_VALUE"""),"MNN27")</f>
        <v>MNN27</v>
      </c>
      <c r="E770" s="2" t="str">
        <f>IFERROR(__xludf.DUMMYFUNCTION("""COMPUTED_VALUE"""),"Imported from file DigiZag Codes 25Feb25.xlsx")</f>
        <v>Imported from file DigiZag Codes 25Feb25.xlsx</v>
      </c>
      <c r="F770" s="2" t="str">
        <f>IFERROR(__xludf.DUMMYFUNCTION("""COMPUTED_VALUE"""),"DHR924937")</f>
        <v>DHR924937</v>
      </c>
      <c r="G770" s="2" t="str">
        <f>IFERROR(__xludf.DUMMYFUNCTION("""COMPUTED_VALUE"""),"Kuwait")</f>
        <v>Kuwait</v>
      </c>
      <c r="H770" s="4">
        <f>IFERROR(__xludf.DUMMYFUNCTION("""COMPUTED_VALUE"""),28.2)</f>
        <v>28.2</v>
      </c>
      <c r="I770" s="3">
        <f>IFERROR(__xludf.DUMMYFUNCTION("""COMPUTED_VALUE"""),0.0)</f>
        <v>0</v>
      </c>
      <c r="J770" s="4">
        <f>IFERROR(__xludf.DUMMYFUNCTION("""COMPUTED_VALUE"""),2.82)</f>
        <v>2.82</v>
      </c>
      <c r="K770" s="2"/>
      <c r="L770" s="2" t="str">
        <f>IFERROR(__xludf.DUMMYFUNCTION("""COMPUTED_VALUE"""),"Delivered")</f>
        <v>Delivered</v>
      </c>
      <c r="M770" s="2" t="str">
        <f>IFERROR(__xludf.DUMMYFUNCTION("""COMPUTED_VALUE"""),"KD")</f>
        <v>KD</v>
      </c>
      <c r="N770" s="2" t="str">
        <f>IFERROR(__xludf.DUMMYFUNCTION("""COMPUTED_VALUE"""),"Credit, Debit, Knet")</f>
        <v>Credit, Debit, Knet</v>
      </c>
      <c r="O770" s="4">
        <f>IFERROR(__xludf.DUMMYFUNCTION("""COMPUTED_VALUE"""),0.0)</f>
        <v>0</v>
      </c>
      <c r="P770" s="2">
        <f>IFERROR(__xludf.DUMMYFUNCTION("""COMPUTED_VALUE"""),15.0)</f>
        <v>15</v>
      </c>
      <c r="Q770" s="2">
        <f>IFERROR(__xludf.DUMMYFUNCTION("""COMPUTED_VALUE"""),7.0)</f>
        <v>7</v>
      </c>
      <c r="R770" s="2">
        <f>IFERROR(__xludf.DUMMYFUNCTION("""COMPUTED_VALUE"""),2025.0)</f>
        <v>2025</v>
      </c>
      <c r="S770" s="2" t="str">
        <f>IFERROR(__xludf.DUMMYFUNCTION("""COMPUTED_VALUE"""),"Digizag")</f>
        <v>Digizag</v>
      </c>
      <c r="T770" s="2" t="str">
        <f>IFERROR(__xludf.DUMMYFUNCTION("""COMPUTED_VALUE"""),"Digizag")</f>
        <v>Digizag</v>
      </c>
      <c r="U770" s="5">
        <f>IFERROR(__xludf.DUMMYFUNCTION("""COMPUTED_VALUE"""),91.949484)</f>
        <v>91.949484</v>
      </c>
      <c r="V770" s="2"/>
      <c r="W770" s="2"/>
      <c r="X770" s="2"/>
      <c r="Y770" s="2"/>
      <c r="Z770" s="2"/>
    </row>
    <row r="771">
      <c r="A771" s="6">
        <f>IFERROR(__xludf.DUMMYFUNCTION("""COMPUTED_VALUE"""),45853.756319444445)</f>
        <v>45853.75632</v>
      </c>
      <c r="B771" s="2" t="str">
        <f>IFERROR(__xludf.DUMMYFUNCTION("""COMPUTED_VALUE"""),"July")</f>
        <v>July</v>
      </c>
      <c r="C771" s="3">
        <f>IFERROR(__xludf.DUMMYFUNCTION("""COMPUTED_VALUE"""),397706.0)</f>
        <v>397706</v>
      </c>
      <c r="D771" s="2" t="str">
        <f>IFERROR(__xludf.DUMMYFUNCTION("""COMPUTED_VALUE"""),"DG3")</f>
        <v>DG3</v>
      </c>
      <c r="E771" s="2" t="str">
        <f>IFERROR(__xludf.DUMMYFUNCTION("""COMPUTED_VALUE"""),"Imported from file Digizag.xlsx")</f>
        <v>Imported from file Digizag.xlsx</v>
      </c>
      <c r="F771" s="2" t="str">
        <f>IFERROR(__xludf.DUMMYFUNCTION("""COMPUTED_VALUE"""),"VVJ646724")</f>
        <v>VVJ646724</v>
      </c>
      <c r="G771" s="2" t="str">
        <f>IFERROR(__xludf.DUMMYFUNCTION("""COMPUTED_VALUE"""),"UAE")</f>
        <v>UAE</v>
      </c>
      <c r="H771" s="4">
        <f>IFERROR(__xludf.DUMMYFUNCTION("""COMPUTED_VALUE"""),151.0)</f>
        <v>151</v>
      </c>
      <c r="I771" s="3">
        <f>IFERROR(__xludf.DUMMYFUNCTION("""COMPUTED_VALUE"""),0.0)</f>
        <v>0</v>
      </c>
      <c r="J771" s="4">
        <f>IFERROR(__xludf.DUMMYFUNCTION("""COMPUTED_VALUE"""),15.1)</f>
        <v>15.1</v>
      </c>
      <c r="K771" s="2"/>
      <c r="L771" s="2" t="str">
        <f>IFERROR(__xludf.DUMMYFUNCTION("""COMPUTED_VALUE"""),"Delivered")</f>
        <v>Delivered</v>
      </c>
      <c r="M771" s="2" t="str">
        <f>IFERROR(__xludf.DUMMYFUNCTION("""COMPUTED_VALUE"""),"")</f>
        <v></v>
      </c>
      <c r="N771" s="2" t="str">
        <f>IFERROR(__xludf.DUMMYFUNCTION("""COMPUTED_VALUE"""),"Credit, Debit , Apple Pay")</f>
        <v>Credit, Debit , Apple Pay</v>
      </c>
      <c r="O771" s="4">
        <f>IFERROR(__xludf.DUMMYFUNCTION("""COMPUTED_VALUE"""),0.0)</f>
        <v>0</v>
      </c>
      <c r="P771" s="2">
        <f>IFERROR(__xludf.DUMMYFUNCTION("""COMPUTED_VALUE"""),15.0)</f>
        <v>15</v>
      </c>
      <c r="Q771" s="2">
        <f>IFERROR(__xludf.DUMMYFUNCTION("""COMPUTED_VALUE"""),7.0)</f>
        <v>7</v>
      </c>
      <c r="R771" s="2">
        <f>IFERROR(__xludf.DUMMYFUNCTION("""COMPUTED_VALUE"""),2025.0)</f>
        <v>2025</v>
      </c>
      <c r="S771" s="2" t="str">
        <f>IFERROR(__xludf.DUMMYFUNCTION("""COMPUTED_VALUE"""),"Digizag")</f>
        <v>Digizag</v>
      </c>
      <c r="T771" s="2" t="str">
        <f>IFERROR(__xludf.DUMMYFUNCTION("""COMPUTED_VALUE"""),"Digizag")</f>
        <v>Digizag</v>
      </c>
      <c r="U771" s="5">
        <f>IFERROR(__xludf.DUMMYFUNCTION("""COMPUTED_VALUE"""),41.116405778)</f>
        <v>41.11640578</v>
      </c>
      <c r="V771" s="2"/>
      <c r="W771" s="2"/>
      <c r="X771" s="2"/>
      <c r="Y771" s="2"/>
      <c r="Z771" s="2"/>
    </row>
    <row r="772">
      <c r="A772" s="6">
        <f>IFERROR(__xludf.DUMMYFUNCTION("""COMPUTED_VALUE"""),45853.834768518514)</f>
        <v>45853.83477</v>
      </c>
      <c r="B772" s="2" t="str">
        <f>IFERROR(__xludf.DUMMYFUNCTION("""COMPUTED_VALUE"""),"July")</f>
        <v>July</v>
      </c>
      <c r="C772" s="3">
        <f>IFERROR(__xludf.DUMMYFUNCTION("""COMPUTED_VALUE"""),542441.0)</f>
        <v>542441</v>
      </c>
      <c r="D772" s="2" t="str">
        <f>IFERROR(__xludf.DUMMYFUNCTION("""COMPUTED_VALUE"""),"MNN27")</f>
        <v>MNN27</v>
      </c>
      <c r="E772" s="2" t="str">
        <f>IFERROR(__xludf.DUMMYFUNCTION("""COMPUTED_VALUE"""),"Imported from file DigiZag Codes 25Feb25.xlsx")</f>
        <v>Imported from file DigiZag Codes 25Feb25.xlsx</v>
      </c>
      <c r="F772" s="2" t="str">
        <f>IFERROR(__xludf.DUMMYFUNCTION("""COMPUTED_VALUE"""),"WTY884635")</f>
        <v>WTY884635</v>
      </c>
      <c r="G772" s="2" t="str">
        <f>IFERROR(__xludf.DUMMYFUNCTION("""COMPUTED_VALUE"""),"UAE")</f>
        <v>UAE</v>
      </c>
      <c r="H772" s="4">
        <f>IFERROR(__xludf.DUMMYFUNCTION("""COMPUTED_VALUE"""),208.0)</f>
        <v>208</v>
      </c>
      <c r="I772" s="3">
        <f>IFERROR(__xludf.DUMMYFUNCTION("""COMPUTED_VALUE"""),0.0)</f>
        <v>0</v>
      </c>
      <c r="J772" s="4">
        <f>IFERROR(__xludf.DUMMYFUNCTION("""COMPUTED_VALUE"""),20.8)</f>
        <v>20.8</v>
      </c>
      <c r="K772" s="2"/>
      <c r="L772" s="2" t="str">
        <f>IFERROR(__xludf.DUMMYFUNCTION("""COMPUTED_VALUE"""),"Delivered")</f>
        <v>Delivered</v>
      </c>
      <c r="M772" s="2" t="str">
        <f>IFERROR(__xludf.DUMMYFUNCTION("""COMPUTED_VALUE"""),"")</f>
        <v></v>
      </c>
      <c r="N772" s="2" t="str">
        <f>IFERROR(__xludf.DUMMYFUNCTION("""COMPUTED_VALUE"""),"Credit, Debit , Apple Pay")</f>
        <v>Credit, Debit , Apple Pay</v>
      </c>
      <c r="O772" s="4">
        <f>IFERROR(__xludf.DUMMYFUNCTION("""COMPUTED_VALUE"""),0.0)</f>
        <v>0</v>
      </c>
      <c r="P772" s="2">
        <f>IFERROR(__xludf.DUMMYFUNCTION("""COMPUTED_VALUE"""),15.0)</f>
        <v>15</v>
      </c>
      <c r="Q772" s="2">
        <f>IFERROR(__xludf.DUMMYFUNCTION("""COMPUTED_VALUE"""),7.0)</f>
        <v>7</v>
      </c>
      <c r="R772" s="2">
        <f>IFERROR(__xludf.DUMMYFUNCTION("""COMPUTED_VALUE"""),2025.0)</f>
        <v>2025</v>
      </c>
      <c r="S772" s="2" t="str">
        <f>IFERROR(__xludf.DUMMYFUNCTION("""COMPUTED_VALUE"""),"Digizag")</f>
        <v>Digizag</v>
      </c>
      <c r="T772" s="2" t="str">
        <f>IFERROR(__xludf.DUMMYFUNCTION("""COMPUTED_VALUE"""),"Digizag")</f>
        <v>Digizag</v>
      </c>
      <c r="U772" s="5">
        <f>IFERROR(__xludf.DUMMYFUNCTION("""COMPUTED_VALUE"""),56.637168224)</f>
        <v>56.63716822</v>
      </c>
      <c r="V772" s="2"/>
      <c r="W772" s="2"/>
      <c r="X772" s="2"/>
      <c r="Y772" s="2"/>
      <c r="Z772" s="2"/>
    </row>
    <row r="773">
      <c r="A773" s="6">
        <f>IFERROR(__xludf.DUMMYFUNCTION("""COMPUTED_VALUE"""),45853.89515046296)</f>
        <v>45853.89515</v>
      </c>
      <c r="B773" s="2" t="str">
        <f>IFERROR(__xludf.DUMMYFUNCTION("""COMPUTED_VALUE"""),"July")</f>
        <v>July</v>
      </c>
      <c r="C773" s="3">
        <f>IFERROR(__xludf.DUMMYFUNCTION("""COMPUTED_VALUE"""),772556.0)</f>
        <v>772556</v>
      </c>
      <c r="D773" s="2" t="str">
        <f>IFERROR(__xludf.DUMMYFUNCTION("""COMPUTED_VALUE"""),"DG10")</f>
        <v>DG10</v>
      </c>
      <c r="E773" s="2" t="str">
        <f>IFERROR(__xludf.DUMMYFUNCTION("""COMPUTED_VALUE"""),"DigiZag")</f>
        <v>DigiZag</v>
      </c>
      <c r="F773" s="2" t="str">
        <f>IFERROR(__xludf.DUMMYFUNCTION("""COMPUTED_VALUE"""),"STV350591")</f>
        <v>STV350591</v>
      </c>
      <c r="G773" s="2" t="str">
        <f>IFERROR(__xludf.DUMMYFUNCTION("""COMPUTED_VALUE"""),"UAE")</f>
        <v>UAE</v>
      </c>
      <c r="H773" s="4">
        <f>IFERROR(__xludf.DUMMYFUNCTION("""COMPUTED_VALUE"""),277.0)</f>
        <v>277</v>
      </c>
      <c r="I773" s="3">
        <f>IFERROR(__xludf.DUMMYFUNCTION("""COMPUTED_VALUE"""),0.0)</f>
        <v>0</v>
      </c>
      <c r="J773" s="4">
        <f>IFERROR(__xludf.DUMMYFUNCTION("""COMPUTED_VALUE"""),27.7)</f>
        <v>27.7</v>
      </c>
      <c r="K773" s="2"/>
      <c r="L773" s="2" t="str">
        <f>IFERROR(__xludf.DUMMYFUNCTION("""COMPUTED_VALUE"""),"Delivered")</f>
        <v>Delivered</v>
      </c>
      <c r="M773" s="2" t="str">
        <f>IFERROR(__xludf.DUMMYFUNCTION("""COMPUTED_VALUE"""),"")</f>
        <v></v>
      </c>
      <c r="N773" s="2" t="str">
        <f>IFERROR(__xludf.DUMMYFUNCTION("""COMPUTED_VALUE"""),"Credit, Debit , Apple Pay")</f>
        <v>Credit, Debit , Apple Pay</v>
      </c>
      <c r="O773" s="4">
        <f>IFERROR(__xludf.DUMMYFUNCTION("""COMPUTED_VALUE"""),0.0)</f>
        <v>0</v>
      </c>
      <c r="P773" s="2">
        <f>IFERROR(__xludf.DUMMYFUNCTION("""COMPUTED_VALUE"""),15.0)</f>
        <v>15</v>
      </c>
      <c r="Q773" s="2">
        <f>IFERROR(__xludf.DUMMYFUNCTION("""COMPUTED_VALUE"""),7.0)</f>
        <v>7</v>
      </c>
      <c r="R773" s="2">
        <f>IFERROR(__xludf.DUMMYFUNCTION("""COMPUTED_VALUE"""),2025.0)</f>
        <v>2025</v>
      </c>
      <c r="S773" s="2" t="str">
        <f>IFERROR(__xludf.DUMMYFUNCTION("""COMPUTED_VALUE"""),"Digizag")</f>
        <v>Digizag</v>
      </c>
      <c r="T773" s="2" t="str">
        <f>IFERROR(__xludf.DUMMYFUNCTION("""COMPUTED_VALUE"""),"Digizag")</f>
        <v>Digizag</v>
      </c>
      <c r="U773" s="5">
        <f>IFERROR(__xludf.DUMMYFUNCTION("""COMPUTED_VALUE"""),75.425459606)</f>
        <v>75.42545961</v>
      </c>
      <c r="V773" s="2"/>
      <c r="W773" s="2"/>
      <c r="X773" s="2"/>
      <c r="Y773" s="2"/>
      <c r="Z773" s="2"/>
    </row>
    <row r="774">
      <c r="A774" s="6">
        <f>IFERROR(__xludf.DUMMYFUNCTION("""COMPUTED_VALUE"""),45854.09259259259)</f>
        <v>45854.09259</v>
      </c>
      <c r="B774" s="2" t="str">
        <f>IFERROR(__xludf.DUMMYFUNCTION("""COMPUTED_VALUE"""),"July")</f>
        <v>July</v>
      </c>
      <c r="C774" s="3">
        <f>IFERROR(__xludf.DUMMYFUNCTION("""COMPUTED_VALUE"""),772611.0)</f>
        <v>772611</v>
      </c>
      <c r="D774" s="2" t="str">
        <f>IFERROR(__xludf.DUMMYFUNCTION("""COMPUTED_VALUE"""),"ZM22")</f>
        <v>ZM22</v>
      </c>
      <c r="E774" s="2" t="str">
        <f>IFERROR(__xludf.DUMMYFUNCTION("""COMPUTED_VALUE"""),"Imported from file Digizag.xlsx")</f>
        <v>Imported from file Digizag.xlsx</v>
      </c>
      <c r="F774" s="2" t="str">
        <f>IFERROR(__xludf.DUMMYFUNCTION("""COMPUTED_VALUE"""),"QJZ887311")</f>
        <v>QJZ887311</v>
      </c>
      <c r="G774" s="2" t="str">
        <f>IFERROR(__xludf.DUMMYFUNCTION("""COMPUTED_VALUE"""),"Kingdom of Saudi Arabia")</f>
        <v>Kingdom of Saudi Arabia</v>
      </c>
      <c r="H774" s="4">
        <f>IFERROR(__xludf.DUMMYFUNCTION("""COMPUTED_VALUE"""),86.09)</f>
        <v>86.09</v>
      </c>
      <c r="I774" s="3">
        <f>IFERROR(__xludf.DUMMYFUNCTION("""COMPUTED_VALUE"""),0.0)</f>
        <v>0</v>
      </c>
      <c r="J774" s="4">
        <f>IFERROR(__xludf.DUMMYFUNCTION("""COMPUTED_VALUE"""),21.52)</f>
        <v>21.52</v>
      </c>
      <c r="K774" s="2"/>
      <c r="L774" s="2" t="str">
        <f>IFERROR(__xludf.DUMMYFUNCTION("""COMPUTED_VALUE"""),"Delivered")</f>
        <v>Delivered</v>
      </c>
      <c r="M774" s="2" t="str">
        <f>IFERROR(__xludf.DUMMYFUNCTION("""COMPUTED_VALUE"""),"")</f>
        <v></v>
      </c>
      <c r="N774" s="2" t="str">
        <f>IFERROR(__xludf.DUMMYFUNCTION("""COMPUTED_VALUE"""),"Credit, Debit, Apple Pay")</f>
        <v>Credit, Debit, Apple Pay</v>
      </c>
      <c r="O774" s="4">
        <f>IFERROR(__xludf.DUMMYFUNCTION("""COMPUTED_VALUE"""),0.0)</f>
        <v>0</v>
      </c>
      <c r="P774" s="2">
        <f>IFERROR(__xludf.DUMMYFUNCTION("""COMPUTED_VALUE"""),16.0)</f>
        <v>16</v>
      </c>
      <c r="Q774" s="2">
        <f>IFERROR(__xludf.DUMMYFUNCTION("""COMPUTED_VALUE"""),7.0)</f>
        <v>7</v>
      </c>
      <c r="R774" s="2">
        <f>IFERROR(__xludf.DUMMYFUNCTION("""COMPUTED_VALUE"""),2025.0)</f>
        <v>2025</v>
      </c>
      <c r="S774" s="2" t="str">
        <f>IFERROR(__xludf.DUMMYFUNCTION("""COMPUTED_VALUE"""),"Digizag")</f>
        <v>Digizag</v>
      </c>
      <c r="T774" s="2" t="str">
        <f>IFERROR(__xludf.DUMMYFUNCTION("""COMPUTED_VALUE"""),"Digizag")</f>
        <v>Digizag</v>
      </c>
      <c r="U774" s="5">
        <f>IFERROR(__xludf.DUMMYFUNCTION("""COMPUTED_VALUE"""),22.955558100140003)</f>
        <v>22.9555581</v>
      </c>
      <c r="V774" s="2"/>
      <c r="W774" s="2"/>
      <c r="X774" s="2"/>
      <c r="Y774" s="2"/>
      <c r="Z774" s="2"/>
    </row>
    <row r="775">
      <c r="A775" s="6">
        <f>IFERROR(__xludf.DUMMYFUNCTION("""COMPUTED_VALUE"""),45854.285520833335)</f>
        <v>45854.28552</v>
      </c>
      <c r="B775" s="2" t="str">
        <f>IFERROR(__xludf.DUMMYFUNCTION("""COMPUTED_VALUE"""),"July")</f>
        <v>July</v>
      </c>
      <c r="C775" s="3">
        <f>IFERROR(__xludf.DUMMYFUNCTION("""COMPUTED_VALUE"""),272900.0)</f>
        <v>272900</v>
      </c>
      <c r="D775" s="2" t="str">
        <f>IFERROR(__xludf.DUMMYFUNCTION("""COMPUTED_VALUE"""),"MNN27")</f>
        <v>MNN27</v>
      </c>
      <c r="E775" s="2" t="str">
        <f>IFERROR(__xludf.DUMMYFUNCTION("""COMPUTED_VALUE"""),"Imported from file DigiZag Codes 25Feb25.xlsx")</f>
        <v>Imported from file DigiZag Codes 25Feb25.xlsx</v>
      </c>
      <c r="F775" s="2" t="str">
        <f>IFERROR(__xludf.DUMMYFUNCTION("""COMPUTED_VALUE"""),"HXP943324")</f>
        <v>HXP943324</v>
      </c>
      <c r="G775" s="2" t="str">
        <f>IFERROR(__xludf.DUMMYFUNCTION("""COMPUTED_VALUE"""),"Kuwait")</f>
        <v>Kuwait</v>
      </c>
      <c r="H775" s="4">
        <f>IFERROR(__xludf.DUMMYFUNCTION("""COMPUTED_VALUE"""),8.65)</f>
        <v>8.65</v>
      </c>
      <c r="I775" s="3">
        <f>IFERROR(__xludf.DUMMYFUNCTION("""COMPUTED_VALUE"""),0.0)</f>
        <v>0</v>
      </c>
      <c r="J775" s="4">
        <f>IFERROR(__xludf.DUMMYFUNCTION("""COMPUTED_VALUE"""),0.865)</f>
        <v>0.865</v>
      </c>
      <c r="K775" s="2"/>
      <c r="L775" s="2" t="str">
        <f>IFERROR(__xludf.DUMMYFUNCTION("""COMPUTED_VALUE"""),"Delivered")</f>
        <v>Delivered</v>
      </c>
      <c r="M775" s="2" t="str">
        <f>IFERROR(__xludf.DUMMYFUNCTION("""COMPUTED_VALUE"""),"KD")</f>
        <v>KD</v>
      </c>
      <c r="N775" s="2" t="str">
        <f>IFERROR(__xludf.DUMMYFUNCTION("""COMPUTED_VALUE"""),"Credit, Debit, Knet")</f>
        <v>Credit, Debit, Knet</v>
      </c>
      <c r="O775" s="4">
        <f>IFERROR(__xludf.DUMMYFUNCTION("""COMPUTED_VALUE"""),0.0)</f>
        <v>0</v>
      </c>
      <c r="P775" s="2">
        <f>IFERROR(__xludf.DUMMYFUNCTION("""COMPUTED_VALUE"""),16.0)</f>
        <v>16</v>
      </c>
      <c r="Q775" s="2">
        <f>IFERROR(__xludf.DUMMYFUNCTION("""COMPUTED_VALUE"""),7.0)</f>
        <v>7</v>
      </c>
      <c r="R775" s="2">
        <f>IFERROR(__xludf.DUMMYFUNCTION("""COMPUTED_VALUE"""),2025.0)</f>
        <v>2025</v>
      </c>
      <c r="S775" s="2" t="str">
        <f>IFERROR(__xludf.DUMMYFUNCTION("""COMPUTED_VALUE"""),"Digizag")</f>
        <v>Digizag</v>
      </c>
      <c r="T775" s="2" t="str">
        <f>IFERROR(__xludf.DUMMYFUNCTION("""COMPUTED_VALUE"""),"Digizag")</f>
        <v>Digizag</v>
      </c>
      <c r="U775" s="5">
        <f>IFERROR(__xludf.DUMMYFUNCTION("""COMPUTED_VALUE"""),28.204363)</f>
        <v>28.204363</v>
      </c>
      <c r="V775" s="2"/>
      <c r="W775" s="2"/>
      <c r="X775" s="2"/>
      <c r="Y775" s="2"/>
      <c r="Z775" s="2"/>
    </row>
    <row r="776">
      <c r="A776" s="6">
        <f>IFERROR(__xludf.DUMMYFUNCTION("""COMPUTED_VALUE"""),45854.38700231481)</f>
        <v>45854.387</v>
      </c>
      <c r="B776" s="2" t="str">
        <f>IFERROR(__xludf.DUMMYFUNCTION("""COMPUTED_VALUE"""),"July")</f>
        <v>July</v>
      </c>
      <c r="C776" s="3">
        <f>IFERROR(__xludf.DUMMYFUNCTION("""COMPUTED_VALUE"""),772676.0)</f>
        <v>772676</v>
      </c>
      <c r="D776" s="2" t="str">
        <f>IFERROR(__xludf.DUMMYFUNCTION("""COMPUTED_VALUE"""),"MNN27")</f>
        <v>MNN27</v>
      </c>
      <c r="E776" s="2" t="str">
        <f>IFERROR(__xludf.DUMMYFUNCTION("""COMPUTED_VALUE"""),"Imported from file DigiZag Bidding Codes.xlsx")</f>
        <v>Imported from file DigiZag Bidding Codes.xlsx</v>
      </c>
      <c r="F776" s="2" t="str">
        <f>IFERROR(__xludf.DUMMYFUNCTION("""COMPUTED_VALUE"""),"DPW793994")</f>
        <v>DPW793994</v>
      </c>
      <c r="G776" s="2" t="str">
        <f>IFERROR(__xludf.DUMMYFUNCTION("""COMPUTED_VALUE"""),"Kingdom of Saudi Arabia")</f>
        <v>Kingdom of Saudi Arabia</v>
      </c>
      <c r="H776" s="4">
        <f>IFERROR(__xludf.DUMMYFUNCTION("""COMPUTED_VALUE"""),140.87)</f>
        <v>140.87</v>
      </c>
      <c r="I776" s="3">
        <f>IFERROR(__xludf.DUMMYFUNCTION("""COMPUTED_VALUE"""),0.0)</f>
        <v>0</v>
      </c>
      <c r="J776" s="4">
        <f>IFERROR(__xludf.DUMMYFUNCTION("""COMPUTED_VALUE"""),30.0)</f>
        <v>30</v>
      </c>
      <c r="K776" s="2"/>
      <c r="L776" s="2" t="str">
        <f>IFERROR(__xludf.DUMMYFUNCTION("""COMPUTED_VALUE"""),"Delivered")</f>
        <v>Delivered</v>
      </c>
      <c r="M776" s="2" t="str">
        <f>IFERROR(__xludf.DUMMYFUNCTION("""COMPUTED_VALUE"""),"")</f>
        <v></v>
      </c>
      <c r="N776" s="2" t="str">
        <f>IFERROR(__xludf.DUMMYFUNCTION("""COMPUTED_VALUE"""),"Credit, Debit, Apple Pay")</f>
        <v>Credit, Debit, Apple Pay</v>
      </c>
      <c r="O776" s="4">
        <f>IFERROR(__xludf.DUMMYFUNCTION("""COMPUTED_VALUE"""),0.0)</f>
        <v>0</v>
      </c>
      <c r="P776" s="2">
        <f>IFERROR(__xludf.DUMMYFUNCTION("""COMPUTED_VALUE"""),16.0)</f>
        <v>16</v>
      </c>
      <c r="Q776" s="2">
        <f>IFERROR(__xludf.DUMMYFUNCTION("""COMPUTED_VALUE"""),7.0)</f>
        <v>7</v>
      </c>
      <c r="R776" s="2">
        <f>IFERROR(__xludf.DUMMYFUNCTION("""COMPUTED_VALUE"""),2025.0)</f>
        <v>2025</v>
      </c>
      <c r="S776" s="2" t="str">
        <f>IFERROR(__xludf.DUMMYFUNCTION("""COMPUTED_VALUE"""),"Digizag")</f>
        <v>Digizag</v>
      </c>
      <c r="T776" s="2" t="str">
        <f>IFERROR(__xludf.DUMMYFUNCTION("""COMPUTED_VALUE"""),"Digizag")</f>
        <v>Digizag</v>
      </c>
      <c r="U776" s="5">
        <f>IFERROR(__xludf.DUMMYFUNCTION("""COMPUTED_VALUE"""),37.562428500020005)</f>
        <v>37.5624285</v>
      </c>
      <c r="V776" s="2"/>
      <c r="W776" s="2"/>
      <c r="X776" s="2"/>
      <c r="Y776" s="2"/>
      <c r="Z776" s="2"/>
    </row>
    <row r="777">
      <c r="A777" s="6">
        <f>IFERROR(__xludf.DUMMYFUNCTION("""COMPUTED_VALUE"""),45854.52159722222)</f>
        <v>45854.5216</v>
      </c>
      <c r="B777" s="2" t="str">
        <f>IFERROR(__xludf.DUMMYFUNCTION("""COMPUTED_VALUE"""),"July")</f>
        <v>July</v>
      </c>
      <c r="C777" s="3">
        <f>IFERROR(__xludf.DUMMYFUNCTION("""COMPUTED_VALUE"""),122204.0)</f>
        <v>122204</v>
      </c>
      <c r="D777" s="2" t="str">
        <f>IFERROR(__xludf.DUMMYFUNCTION("""COMPUTED_VALUE"""),"MNN27")</f>
        <v>MNN27</v>
      </c>
      <c r="E777" s="2" t="str">
        <f>IFERROR(__xludf.DUMMYFUNCTION("""COMPUTED_VALUE"""),"Imported from file DigiZag Codes 25Feb25.xlsx")</f>
        <v>Imported from file DigiZag Codes 25Feb25.xlsx</v>
      </c>
      <c r="F777" s="2" t="str">
        <f>IFERROR(__xludf.DUMMYFUNCTION("""COMPUTED_VALUE"""),"KRN544165")</f>
        <v>KRN544165</v>
      </c>
      <c r="G777" s="2" t="str">
        <f>IFERROR(__xludf.DUMMYFUNCTION("""COMPUTED_VALUE"""),"Kuwait")</f>
        <v>Kuwait</v>
      </c>
      <c r="H777" s="4">
        <f>IFERROR(__xludf.DUMMYFUNCTION("""COMPUTED_VALUE"""),6.75)</f>
        <v>6.75</v>
      </c>
      <c r="I777" s="3">
        <f>IFERROR(__xludf.DUMMYFUNCTION("""COMPUTED_VALUE"""),0.0)</f>
        <v>0</v>
      </c>
      <c r="J777" s="4">
        <f>IFERROR(__xludf.DUMMYFUNCTION("""COMPUTED_VALUE"""),0.675)</f>
        <v>0.675</v>
      </c>
      <c r="K777" s="2"/>
      <c r="L777" s="2" t="str">
        <f>IFERROR(__xludf.DUMMYFUNCTION("""COMPUTED_VALUE"""),"Delivered")</f>
        <v>Delivered</v>
      </c>
      <c r="M777" s="2" t="str">
        <f>IFERROR(__xludf.DUMMYFUNCTION("""COMPUTED_VALUE"""),"KD")</f>
        <v>KD</v>
      </c>
      <c r="N777" s="2" t="str">
        <f>IFERROR(__xludf.DUMMYFUNCTION("""COMPUTED_VALUE"""),"Credit, Debit, Knet")</f>
        <v>Credit, Debit, Knet</v>
      </c>
      <c r="O777" s="4">
        <f>IFERROR(__xludf.DUMMYFUNCTION("""COMPUTED_VALUE"""),0.0)</f>
        <v>0</v>
      </c>
      <c r="P777" s="2">
        <f>IFERROR(__xludf.DUMMYFUNCTION("""COMPUTED_VALUE"""),16.0)</f>
        <v>16</v>
      </c>
      <c r="Q777" s="2">
        <f>IFERROR(__xludf.DUMMYFUNCTION("""COMPUTED_VALUE"""),7.0)</f>
        <v>7</v>
      </c>
      <c r="R777" s="2">
        <f>IFERROR(__xludf.DUMMYFUNCTION("""COMPUTED_VALUE"""),2025.0)</f>
        <v>2025</v>
      </c>
      <c r="S777" s="2" t="str">
        <f>IFERROR(__xludf.DUMMYFUNCTION("""COMPUTED_VALUE"""),"Digizag")</f>
        <v>Digizag</v>
      </c>
      <c r="T777" s="2" t="str">
        <f>IFERROR(__xludf.DUMMYFUNCTION("""COMPUTED_VALUE"""),"Digizag")</f>
        <v>Digizag</v>
      </c>
      <c r="U777" s="5">
        <f>IFERROR(__xludf.DUMMYFUNCTION("""COMPUTED_VALUE"""),22.009185)</f>
        <v>22.009185</v>
      </c>
      <c r="V777" s="2"/>
      <c r="W777" s="2"/>
      <c r="X777" s="2"/>
      <c r="Y777" s="2"/>
      <c r="Z777" s="2"/>
    </row>
    <row r="778">
      <c r="A778" s="6">
        <f>IFERROR(__xludf.DUMMYFUNCTION("""COMPUTED_VALUE"""),45854.52579861111)</f>
        <v>45854.5258</v>
      </c>
      <c r="B778" s="2" t="str">
        <f>IFERROR(__xludf.DUMMYFUNCTION("""COMPUTED_VALUE"""),"July")</f>
        <v>July</v>
      </c>
      <c r="C778" s="3">
        <f>IFERROR(__xludf.DUMMYFUNCTION("""COMPUTED_VALUE"""),173212.0)</f>
        <v>173212</v>
      </c>
      <c r="D778" s="2" t="str">
        <f>IFERROR(__xludf.DUMMYFUNCTION("""COMPUTED_VALUE"""),"ZM22")</f>
        <v>ZM22</v>
      </c>
      <c r="E778" s="2" t="str">
        <f>IFERROR(__xludf.DUMMYFUNCTION("""COMPUTED_VALUE"""),"Imported from file Digizag.xlsx")</f>
        <v>Imported from file Digizag.xlsx</v>
      </c>
      <c r="F778" s="2" t="str">
        <f>IFERROR(__xludf.DUMMYFUNCTION("""COMPUTED_VALUE"""),"BNX273597")</f>
        <v>BNX273597</v>
      </c>
      <c r="G778" s="2" t="str">
        <f>IFERROR(__xludf.DUMMYFUNCTION("""COMPUTED_VALUE"""),"UAE")</f>
        <v>UAE</v>
      </c>
      <c r="H778" s="4">
        <f>IFERROR(__xludf.DUMMYFUNCTION("""COMPUTED_VALUE"""),154.0)</f>
        <v>154</v>
      </c>
      <c r="I778" s="3">
        <f>IFERROR(__xludf.DUMMYFUNCTION("""COMPUTED_VALUE"""),0.0)</f>
        <v>0</v>
      </c>
      <c r="J778" s="4">
        <f>IFERROR(__xludf.DUMMYFUNCTION("""COMPUTED_VALUE"""),15.4)</f>
        <v>15.4</v>
      </c>
      <c r="K778" s="2"/>
      <c r="L778" s="2" t="str">
        <f>IFERROR(__xludf.DUMMYFUNCTION("""COMPUTED_VALUE"""),"Delivered")</f>
        <v>Delivered</v>
      </c>
      <c r="M778" s="2" t="str">
        <f>IFERROR(__xludf.DUMMYFUNCTION("""COMPUTED_VALUE"""),"")</f>
        <v></v>
      </c>
      <c r="N778" s="2" t="str">
        <f>IFERROR(__xludf.DUMMYFUNCTION("""COMPUTED_VALUE"""),"Credit, Debit , Apple Pay")</f>
        <v>Credit, Debit , Apple Pay</v>
      </c>
      <c r="O778" s="4">
        <f>IFERROR(__xludf.DUMMYFUNCTION("""COMPUTED_VALUE"""),0.0)</f>
        <v>0</v>
      </c>
      <c r="P778" s="2">
        <f>IFERROR(__xludf.DUMMYFUNCTION("""COMPUTED_VALUE"""),16.0)</f>
        <v>16</v>
      </c>
      <c r="Q778" s="2">
        <f>IFERROR(__xludf.DUMMYFUNCTION("""COMPUTED_VALUE"""),7.0)</f>
        <v>7</v>
      </c>
      <c r="R778" s="2">
        <f>IFERROR(__xludf.DUMMYFUNCTION("""COMPUTED_VALUE"""),2025.0)</f>
        <v>2025</v>
      </c>
      <c r="S778" s="2" t="str">
        <f>IFERROR(__xludf.DUMMYFUNCTION("""COMPUTED_VALUE"""),"Digizag")</f>
        <v>Digizag</v>
      </c>
      <c r="T778" s="2" t="str">
        <f>IFERROR(__xludf.DUMMYFUNCTION("""COMPUTED_VALUE"""),"Digizag")</f>
        <v>Digizag</v>
      </c>
      <c r="U778" s="5">
        <f>IFERROR(__xludf.DUMMYFUNCTION("""COMPUTED_VALUE"""),41.933288012)</f>
        <v>41.93328801</v>
      </c>
      <c r="V778" s="2"/>
      <c r="W778" s="2"/>
      <c r="X778" s="2"/>
      <c r="Y778" s="2"/>
      <c r="Z778" s="2"/>
    </row>
    <row r="779">
      <c r="A779" s="6">
        <f>IFERROR(__xludf.DUMMYFUNCTION("""COMPUTED_VALUE"""),45854.534421296295)</f>
        <v>45854.53442</v>
      </c>
      <c r="B779" s="2" t="str">
        <f>IFERROR(__xludf.DUMMYFUNCTION("""COMPUTED_VALUE"""),"July")</f>
        <v>July</v>
      </c>
      <c r="C779" s="3">
        <f>IFERROR(__xludf.DUMMYFUNCTION("""COMPUTED_VALUE"""),762439.0)</f>
        <v>762439</v>
      </c>
      <c r="D779" s="2" t="str">
        <f>IFERROR(__xludf.DUMMYFUNCTION("""COMPUTED_VALUE"""),"MNN27")</f>
        <v>MNN27</v>
      </c>
      <c r="E779" s="2" t="str">
        <f>IFERROR(__xludf.DUMMYFUNCTION("""COMPUTED_VALUE"""),"Imported from file DigiZag Bidding Codes.xlsx")</f>
        <v>Imported from file DigiZag Bidding Codes.xlsx</v>
      </c>
      <c r="F779" s="2" t="str">
        <f>IFERROR(__xludf.DUMMYFUNCTION("""COMPUTED_VALUE"""),"AKW384260")</f>
        <v>AKW384260</v>
      </c>
      <c r="G779" s="2" t="str">
        <f>IFERROR(__xludf.DUMMYFUNCTION("""COMPUTED_VALUE"""),"Kingdom of Saudi Arabia")</f>
        <v>Kingdom of Saudi Arabia</v>
      </c>
      <c r="H779" s="4">
        <f>IFERROR(__xludf.DUMMYFUNCTION("""COMPUTED_VALUE"""),141.6)</f>
        <v>141.6</v>
      </c>
      <c r="I779" s="3">
        <f>IFERROR(__xludf.DUMMYFUNCTION("""COMPUTED_VALUE"""),0.0)</f>
        <v>0</v>
      </c>
      <c r="J779" s="4">
        <f>IFERROR(__xludf.DUMMYFUNCTION("""COMPUTED_VALUE"""),30.0)</f>
        <v>30</v>
      </c>
      <c r="K779" s="2"/>
      <c r="L779" s="2" t="str">
        <f>IFERROR(__xludf.DUMMYFUNCTION("""COMPUTED_VALUE"""),"Delivered")</f>
        <v>Delivered</v>
      </c>
      <c r="M779" s="2" t="str">
        <f>IFERROR(__xludf.DUMMYFUNCTION("""COMPUTED_VALUE"""),"")</f>
        <v></v>
      </c>
      <c r="N779" s="2" t="str">
        <f>IFERROR(__xludf.DUMMYFUNCTION("""COMPUTED_VALUE"""),"Credit, Debit, Apple Pay")</f>
        <v>Credit, Debit, Apple Pay</v>
      </c>
      <c r="O779" s="4">
        <f>IFERROR(__xludf.DUMMYFUNCTION("""COMPUTED_VALUE"""),0.0)</f>
        <v>0</v>
      </c>
      <c r="P779" s="2">
        <f>IFERROR(__xludf.DUMMYFUNCTION("""COMPUTED_VALUE"""),16.0)</f>
        <v>16</v>
      </c>
      <c r="Q779" s="2">
        <f>IFERROR(__xludf.DUMMYFUNCTION("""COMPUTED_VALUE"""),7.0)</f>
        <v>7</v>
      </c>
      <c r="R779" s="2">
        <f>IFERROR(__xludf.DUMMYFUNCTION("""COMPUTED_VALUE"""),2025.0)</f>
        <v>2025</v>
      </c>
      <c r="S779" s="2" t="str">
        <f>IFERROR(__xludf.DUMMYFUNCTION("""COMPUTED_VALUE"""),"Digizag")</f>
        <v>Digizag</v>
      </c>
      <c r="T779" s="2" t="str">
        <f>IFERROR(__xludf.DUMMYFUNCTION("""COMPUTED_VALUE"""),"Digizag")</f>
        <v>Digizag</v>
      </c>
      <c r="U779" s="5">
        <f>IFERROR(__xludf.DUMMYFUNCTION("""COMPUTED_VALUE"""),37.757080113600004)</f>
        <v>37.75708011</v>
      </c>
      <c r="V779" s="2"/>
      <c r="W779" s="2"/>
      <c r="X779" s="2"/>
      <c r="Y779" s="2"/>
      <c r="Z779" s="2"/>
    </row>
    <row r="780">
      <c r="A780" s="6">
        <f>IFERROR(__xludf.DUMMYFUNCTION("""COMPUTED_VALUE"""),45854.54618055555)</f>
        <v>45854.54618</v>
      </c>
      <c r="B780" s="2" t="str">
        <f>IFERROR(__xludf.DUMMYFUNCTION("""COMPUTED_VALUE"""),"July")</f>
        <v>July</v>
      </c>
      <c r="C780" s="3">
        <f>IFERROR(__xludf.DUMMYFUNCTION("""COMPUTED_VALUE"""),232263.0)</f>
        <v>232263</v>
      </c>
      <c r="D780" s="2" t="str">
        <f>IFERROR(__xludf.DUMMYFUNCTION("""COMPUTED_VALUE"""),"ZM22")</f>
        <v>ZM22</v>
      </c>
      <c r="E780" s="2" t="str">
        <f>IFERROR(__xludf.DUMMYFUNCTION("""COMPUTED_VALUE"""),"Imported from file Digizag.xlsx")</f>
        <v>Imported from file Digizag.xlsx</v>
      </c>
      <c r="F780" s="2" t="str">
        <f>IFERROR(__xludf.DUMMYFUNCTION("""COMPUTED_VALUE"""),"VLG765052")</f>
        <v>VLG765052</v>
      </c>
      <c r="G780" s="2" t="str">
        <f>IFERROR(__xludf.DUMMYFUNCTION("""COMPUTED_VALUE"""),"UAE")</f>
        <v>UAE</v>
      </c>
      <c r="H780" s="4">
        <f>IFERROR(__xludf.DUMMYFUNCTION("""COMPUTED_VALUE"""),248.0)</f>
        <v>248</v>
      </c>
      <c r="I780" s="3">
        <f>IFERROR(__xludf.DUMMYFUNCTION("""COMPUTED_VALUE"""),0.0)</f>
        <v>0</v>
      </c>
      <c r="J780" s="4">
        <f>IFERROR(__xludf.DUMMYFUNCTION("""COMPUTED_VALUE"""),24.8)</f>
        <v>24.8</v>
      </c>
      <c r="K780" s="2"/>
      <c r="L780" s="2" t="str">
        <f>IFERROR(__xludf.DUMMYFUNCTION("""COMPUTED_VALUE"""),"Delivered")</f>
        <v>Delivered</v>
      </c>
      <c r="M780" s="2" t="str">
        <f>IFERROR(__xludf.DUMMYFUNCTION("""COMPUTED_VALUE"""),"")</f>
        <v></v>
      </c>
      <c r="N780" s="2" t="str">
        <f>IFERROR(__xludf.DUMMYFUNCTION("""COMPUTED_VALUE"""),"Credit, Debit , Apple Pay")</f>
        <v>Credit, Debit , Apple Pay</v>
      </c>
      <c r="O780" s="4">
        <f>IFERROR(__xludf.DUMMYFUNCTION("""COMPUTED_VALUE"""),0.0)</f>
        <v>0</v>
      </c>
      <c r="P780" s="2">
        <f>IFERROR(__xludf.DUMMYFUNCTION("""COMPUTED_VALUE"""),16.0)</f>
        <v>16</v>
      </c>
      <c r="Q780" s="2">
        <f>IFERROR(__xludf.DUMMYFUNCTION("""COMPUTED_VALUE"""),7.0)</f>
        <v>7</v>
      </c>
      <c r="R780" s="2">
        <f>IFERROR(__xludf.DUMMYFUNCTION("""COMPUTED_VALUE"""),2025.0)</f>
        <v>2025</v>
      </c>
      <c r="S780" s="2" t="str">
        <f>IFERROR(__xludf.DUMMYFUNCTION("""COMPUTED_VALUE"""),"Digizag")</f>
        <v>Digizag</v>
      </c>
      <c r="T780" s="2" t="str">
        <f>IFERROR(__xludf.DUMMYFUNCTION("""COMPUTED_VALUE"""),"Digizag")</f>
        <v>Digizag</v>
      </c>
      <c r="U780" s="5">
        <f>IFERROR(__xludf.DUMMYFUNCTION("""COMPUTED_VALUE"""),67.528931344)</f>
        <v>67.52893134</v>
      </c>
      <c r="V780" s="2"/>
      <c r="W780" s="2"/>
      <c r="X780" s="2"/>
      <c r="Y780" s="2"/>
      <c r="Z780" s="2"/>
    </row>
    <row r="781">
      <c r="A781" s="6">
        <f>IFERROR(__xludf.DUMMYFUNCTION("""COMPUTED_VALUE"""),45854.724861111106)</f>
        <v>45854.72486</v>
      </c>
      <c r="B781" s="2" t="str">
        <f>IFERROR(__xludf.DUMMYFUNCTION("""COMPUTED_VALUE"""),"July")</f>
        <v>July</v>
      </c>
      <c r="C781" s="3">
        <f>IFERROR(__xludf.DUMMYFUNCTION("""COMPUTED_VALUE"""),772888.0)</f>
        <v>772888</v>
      </c>
      <c r="D781" s="2" t="str">
        <f>IFERROR(__xludf.DUMMYFUNCTION("""COMPUTED_VALUE"""),"MNN16")</f>
        <v>MNN16</v>
      </c>
      <c r="E781" s="2" t="str">
        <f>IFERROR(__xludf.DUMMYFUNCTION("""COMPUTED_VALUE"""),"Imported from file DigiZag Codes 25Feb25.xlsx")</f>
        <v>Imported from file DigiZag Codes 25Feb25.xlsx</v>
      </c>
      <c r="F781" s="2" t="str">
        <f>IFERROR(__xludf.DUMMYFUNCTION("""COMPUTED_VALUE"""),"JWJ113667")</f>
        <v>JWJ113667</v>
      </c>
      <c r="G781" s="2" t="str">
        <f>IFERROR(__xludf.DUMMYFUNCTION("""COMPUTED_VALUE"""),"UAE")</f>
        <v>UAE</v>
      </c>
      <c r="H781" s="4">
        <f>IFERROR(__xludf.DUMMYFUNCTION("""COMPUTED_VALUE"""),818.18)</f>
        <v>818.18</v>
      </c>
      <c r="I781" s="3">
        <f>IFERROR(__xludf.DUMMYFUNCTION("""COMPUTED_VALUE"""),0.0)</f>
        <v>0</v>
      </c>
      <c r="J781" s="4">
        <f>IFERROR(__xludf.DUMMYFUNCTION("""COMPUTED_VALUE"""),81.81)</f>
        <v>81.81</v>
      </c>
      <c r="K781" s="2"/>
      <c r="L781" s="2" t="str">
        <f>IFERROR(__xludf.DUMMYFUNCTION("""COMPUTED_VALUE"""),"Delivered")</f>
        <v>Delivered</v>
      </c>
      <c r="M781" s="2" t="str">
        <f>IFERROR(__xludf.DUMMYFUNCTION("""COMPUTED_VALUE"""),"")</f>
        <v></v>
      </c>
      <c r="N781" s="2" t="str">
        <f>IFERROR(__xludf.DUMMYFUNCTION("""COMPUTED_VALUE"""),"Credit, Debit , Apple Pay")</f>
        <v>Credit, Debit , Apple Pay</v>
      </c>
      <c r="O781" s="4">
        <f>IFERROR(__xludf.DUMMYFUNCTION("""COMPUTED_VALUE"""),0.0)</f>
        <v>0</v>
      </c>
      <c r="P781" s="2">
        <f>IFERROR(__xludf.DUMMYFUNCTION("""COMPUTED_VALUE"""),16.0)</f>
        <v>16</v>
      </c>
      <c r="Q781" s="2">
        <f>IFERROR(__xludf.DUMMYFUNCTION("""COMPUTED_VALUE"""),7.0)</f>
        <v>7</v>
      </c>
      <c r="R781" s="2">
        <f>IFERROR(__xludf.DUMMYFUNCTION("""COMPUTED_VALUE"""),2025.0)</f>
        <v>2025</v>
      </c>
      <c r="S781" s="2" t="str">
        <f>IFERROR(__xludf.DUMMYFUNCTION("""COMPUTED_VALUE"""),"Digizag")</f>
        <v>Digizag</v>
      </c>
      <c r="T781" s="2" t="str">
        <f>IFERROR(__xludf.DUMMYFUNCTION("""COMPUTED_VALUE"""),"Digizag")</f>
        <v>Digizag</v>
      </c>
      <c r="U781" s="5">
        <f>IFERROR(__xludf.DUMMYFUNCTION("""COMPUTED_VALUE"""),222.78556873803998)</f>
        <v>222.7855687</v>
      </c>
      <c r="V781" s="2"/>
      <c r="W781" s="2"/>
      <c r="X781" s="2"/>
      <c r="Y781" s="2"/>
      <c r="Z781" s="2"/>
    </row>
    <row r="782">
      <c r="A782" s="6">
        <f>IFERROR(__xludf.DUMMYFUNCTION("""COMPUTED_VALUE"""),45855.40284722222)</f>
        <v>45855.40285</v>
      </c>
      <c r="B782" s="2" t="str">
        <f>IFERROR(__xludf.DUMMYFUNCTION("""COMPUTED_VALUE"""),"July")</f>
        <v>July</v>
      </c>
      <c r="C782" s="3">
        <f>IFERROR(__xludf.DUMMYFUNCTION("""COMPUTED_VALUE"""),411660.0)</f>
        <v>411660</v>
      </c>
      <c r="D782" s="2" t="str">
        <f>IFERROR(__xludf.DUMMYFUNCTION("""COMPUTED_VALUE"""),"MNN27")</f>
        <v>MNN27</v>
      </c>
      <c r="E782" s="2" t="str">
        <f>IFERROR(__xludf.DUMMYFUNCTION("""COMPUTED_VALUE"""),"Imported from file DigiZag Codes 25Feb25.xlsx")</f>
        <v>Imported from file DigiZag Codes 25Feb25.xlsx</v>
      </c>
      <c r="F782" s="2" t="str">
        <f>IFERROR(__xludf.DUMMYFUNCTION("""COMPUTED_VALUE"""),"XNP607106")</f>
        <v>XNP607106</v>
      </c>
      <c r="G782" s="2" t="str">
        <f>IFERROR(__xludf.DUMMYFUNCTION("""COMPUTED_VALUE"""),"Kuwait")</f>
        <v>Kuwait</v>
      </c>
      <c r="H782" s="4">
        <f>IFERROR(__xludf.DUMMYFUNCTION("""COMPUTED_VALUE"""),13.95)</f>
        <v>13.95</v>
      </c>
      <c r="I782" s="3">
        <f>IFERROR(__xludf.DUMMYFUNCTION("""COMPUTED_VALUE"""),0.0)</f>
        <v>0</v>
      </c>
      <c r="J782" s="4">
        <f>IFERROR(__xludf.DUMMYFUNCTION("""COMPUTED_VALUE"""),1.395)</f>
        <v>1.395</v>
      </c>
      <c r="K782" s="2"/>
      <c r="L782" s="2" t="str">
        <f>IFERROR(__xludf.DUMMYFUNCTION("""COMPUTED_VALUE"""),"Delivered")</f>
        <v>Delivered</v>
      </c>
      <c r="M782" s="2" t="str">
        <f>IFERROR(__xludf.DUMMYFUNCTION("""COMPUTED_VALUE"""),"KD")</f>
        <v>KD</v>
      </c>
      <c r="N782" s="2" t="str">
        <f>IFERROR(__xludf.DUMMYFUNCTION("""COMPUTED_VALUE"""),"Credit, Debit, Knet")</f>
        <v>Credit, Debit, Knet</v>
      </c>
      <c r="O782" s="4">
        <f>IFERROR(__xludf.DUMMYFUNCTION("""COMPUTED_VALUE"""),0.0)</f>
        <v>0</v>
      </c>
      <c r="P782" s="2">
        <f>IFERROR(__xludf.DUMMYFUNCTION("""COMPUTED_VALUE"""),17.0)</f>
        <v>17</v>
      </c>
      <c r="Q782" s="2">
        <f>IFERROR(__xludf.DUMMYFUNCTION("""COMPUTED_VALUE"""),7.0)</f>
        <v>7</v>
      </c>
      <c r="R782" s="2">
        <f>IFERROR(__xludf.DUMMYFUNCTION("""COMPUTED_VALUE"""),2025.0)</f>
        <v>2025</v>
      </c>
      <c r="S782" s="2" t="str">
        <f>IFERROR(__xludf.DUMMYFUNCTION("""COMPUTED_VALUE"""),"Digizag")</f>
        <v>Digizag</v>
      </c>
      <c r="T782" s="2" t="str">
        <f>IFERROR(__xludf.DUMMYFUNCTION("""COMPUTED_VALUE"""),"Digizag")</f>
        <v>Digizag</v>
      </c>
      <c r="U782" s="5">
        <f>IFERROR(__xludf.DUMMYFUNCTION("""COMPUTED_VALUE"""),45.485648999999995)</f>
        <v>45.485649</v>
      </c>
      <c r="V782" s="2"/>
      <c r="W782" s="2"/>
      <c r="X782" s="2"/>
      <c r="Y782" s="2"/>
      <c r="Z782" s="2"/>
    </row>
    <row r="783">
      <c r="A783" s="6">
        <f>IFERROR(__xludf.DUMMYFUNCTION("""COMPUTED_VALUE"""),45855.90563657407)</f>
        <v>45855.90564</v>
      </c>
      <c r="B783" s="2" t="str">
        <f>IFERROR(__xludf.DUMMYFUNCTION("""COMPUTED_VALUE"""),"July")</f>
        <v>July</v>
      </c>
      <c r="C783" s="3">
        <f>IFERROR(__xludf.DUMMYFUNCTION("""COMPUTED_VALUE"""),293919.0)</f>
        <v>293919</v>
      </c>
      <c r="D783" s="2" t="str">
        <f>IFERROR(__xludf.DUMMYFUNCTION("""COMPUTED_VALUE"""),"MNN27")</f>
        <v>MNN27</v>
      </c>
      <c r="E783" s="2" t="str">
        <f>IFERROR(__xludf.DUMMYFUNCTION("""COMPUTED_VALUE"""),"Imported from file DigiZag Codes 25Feb25.xlsx")</f>
        <v>Imported from file DigiZag Codes 25Feb25.xlsx</v>
      </c>
      <c r="F783" s="2" t="str">
        <f>IFERROR(__xludf.DUMMYFUNCTION("""COMPUTED_VALUE"""),"KAP676094")</f>
        <v>KAP676094</v>
      </c>
      <c r="G783" s="2" t="str">
        <f>IFERROR(__xludf.DUMMYFUNCTION("""COMPUTED_VALUE"""),"Kuwait")</f>
        <v>Kuwait</v>
      </c>
      <c r="H783" s="4">
        <f>IFERROR(__xludf.DUMMYFUNCTION("""COMPUTED_VALUE"""),1.95)</f>
        <v>1.95</v>
      </c>
      <c r="I783" s="3">
        <f>IFERROR(__xludf.DUMMYFUNCTION("""COMPUTED_VALUE"""),0.0)</f>
        <v>0</v>
      </c>
      <c r="J783" s="4">
        <f>IFERROR(__xludf.DUMMYFUNCTION("""COMPUTED_VALUE"""),0.195)</f>
        <v>0.195</v>
      </c>
      <c r="K783" s="2"/>
      <c r="L783" s="2" t="str">
        <f>IFERROR(__xludf.DUMMYFUNCTION("""COMPUTED_VALUE"""),"Delivered")</f>
        <v>Delivered</v>
      </c>
      <c r="M783" s="2" t="str">
        <f>IFERROR(__xludf.DUMMYFUNCTION("""COMPUTED_VALUE"""),"KD")</f>
        <v>KD</v>
      </c>
      <c r="N783" s="2" t="str">
        <f>IFERROR(__xludf.DUMMYFUNCTION("""COMPUTED_VALUE"""),"Credit, Debit, Knet")</f>
        <v>Credit, Debit, Knet</v>
      </c>
      <c r="O783" s="4">
        <f>IFERROR(__xludf.DUMMYFUNCTION("""COMPUTED_VALUE"""),0.0)</f>
        <v>0</v>
      </c>
      <c r="P783" s="2">
        <f>IFERROR(__xludf.DUMMYFUNCTION("""COMPUTED_VALUE"""),17.0)</f>
        <v>17</v>
      </c>
      <c r="Q783" s="2">
        <f>IFERROR(__xludf.DUMMYFUNCTION("""COMPUTED_VALUE"""),7.0)</f>
        <v>7</v>
      </c>
      <c r="R783" s="2">
        <f>IFERROR(__xludf.DUMMYFUNCTION("""COMPUTED_VALUE"""),2025.0)</f>
        <v>2025</v>
      </c>
      <c r="S783" s="2" t="str">
        <f>IFERROR(__xludf.DUMMYFUNCTION("""COMPUTED_VALUE"""),"Digizag")</f>
        <v>Digizag</v>
      </c>
      <c r="T783" s="2" t="str">
        <f>IFERROR(__xludf.DUMMYFUNCTION("""COMPUTED_VALUE"""),"Digizag")</f>
        <v>Digizag</v>
      </c>
      <c r="U783" s="5">
        <f>IFERROR(__xludf.DUMMYFUNCTION("""COMPUTED_VALUE"""),6.3582089999999996)</f>
        <v>6.358209</v>
      </c>
      <c r="V783" s="2"/>
      <c r="W783" s="2"/>
      <c r="X783" s="2"/>
      <c r="Y783" s="2"/>
      <c r="Z783" s="2"/>
    </row>
    <row r="784">
      <c r="A784" s="6">
        <f>IFERROR(__xludf.DUMMYFUNCTION("""COMPUTED_VALUE"""),45856.489953703705)</f>
        <v>45856.48995</v>
      </c>
      <c r="B784" s="2" t="str">
        <f>IFERROR(__xludf.DUMMYFUNCTION("""COMPUTED_VALUE"""),"July")</f>
        <v>July</v>
      </c>
      <c r="C784" s="3">
        <f>IFERROR(__xludf.DUMMYFUNCTION("""COMPUTED_VALUE"""),146085.0)</f>
        <v>146085</v>
      </c>
      <c r="D784" s="2" t="str">
        <f>IFERROR(__xludf.DUMMYFUNCTION("""COMPUTED_VALUE"""),"ZM22")</f>
        <v>ZM22</v>
      </c>
      <c r="E784" s="2" t="str">
        <f>IFERROR(__xludf.DUMMYFUNCTION("""COMPUTED_VALUE"""),"Imported from file Digizag.xlsx")</f>
        <v>Imported from file Digizag.xlsx</v>
      </c>
      <c r="F784" s="2" t="str">
        <f>IFERROR(__xludf.DUMMYFUNCTION("""COMPUTED_VALUE"""),"ZQZ142080")</f>
        <v>ZQZ142080</v>
      </c>
      <c r="G784" s="2" t="str">
        <f>IFERROR(__xludf.DUMMYFUNCTION("""COMPUTED_VALUE"""),"UAE")</f>
        <v>UAE</v>
      </c>
      <c r="H784" s="4">
        <f>IFERROR(__xludf.DUMMYFUNCTION("""COMPUTED_VALUE"""),198.0)</f>
        <v>198</v>
      </c>
      <c r="I784" s="3">
        <f>IFERROR(__xludf.DUMMYFUNCTION("""COMPUTED_VALUE"""),0.0)</f>
        <v>0</v>
      </c>
      <c r="J784" s="4">
        <f>IFERROR(__xludf.DUMMYFUNCTION("""COMPUTED_VALUE"""),19.8)</f>
        <v>19.8</v>
      </c>
      <c r="K784" s="2"/>
      <c r="L784" s="2" t="str">
        <f>IFERROR(__xludf.DUMMYFUNCTION("""COMPUTED_VALUE"""),"Delivered")</f>
        <v>Delivered</v>
      </c>
      <c r="M784" s="2" t="str">
        <f>IFERROR(__xludf.DUMMYFUNCTION("""COMPUTED_VALUE"""),"")</f>
        <v></v>
      </c>
      <c r="N784" s="2" t="str">
        <f>IFERROR(__xludf.DUMMYFUNCTION("""COMPUTED_VALUE"""),"Credit, Debit , Apple Pay")</f>
        <v>Credit, Debit , Apple Pay</v>
      </c>
      <c r="O784" s="4">
        <f>IFERROR(__xludf.DUMMYFUNCTION("""COMPUTED_VALUE"""),0.0)</f>
        <v>0</v>
      </c>
      <c r="P784" s="2">
        <f>IFERROR(__xludf.DUMMYFUNCTION("""COMPUTED_VALUE"""),18.0)</f>
        <v>18</v>
      </c>
      <c r="Q784" s="2">
        <f>IFERROR(__xludf.DUMMYFUNCTION("""COMPUTED_VALUE"""),7.0)</f>
        <v>7</v>
      </c>
      <c r="R784" s="2">
        <f>IFERROR(__xludf.DUMMYFUNCTION("""COMPUTED_VALUE"""),2025.0)</f>
        <v>2025</v>
      </c>
      <c r="S784" s="2" t="str">
        <f>IFERROR(__xludf.DUMMYFUNCTION("""COMPUTED_VALUE"""),"Digizag")</f>
        <v>Digizag</v>
      </c>
      <c r="T784" s="2" t="str">
        <f>IFERROR(__xludf.DUMMYFUNCTION("""COMPUTED_VALUE"""),"Digizag")</f>
        <v>Digizag</v>
      </c>
      <c r="U784" s="5">
        <f>IFERROR(__xludf.DUMMYFUNCTION("""COMPUTED_VALUE"""),53.914227444)</f>
        <v>53.91422744</v>
      </c>
      <c r="V784" s="2"/>
      <c r="W784" s="2"/>
      <c r="X784" s="2"/>
      <c r="Y784" s="2"/>
      <c r="Z784" s="2"/>
    </row>
    <row r="785">
      <c r="A785" s="6">
        <f>IFERROR(__xludf.DUMMYFUNCTION("""COMPUTED_VALUE"""),45856.56519675926)</f>
        <v>45856.5652</v>
      </c>
      <c r="B785" s="2" t="str">
        <f>IFERROR(__xludf.DUMMYFUNCTION("""COMPUTED_VALUE"""),"July")</f>
        <v>July</v>
      </c>
      <c r="C785" s="3">
        <f>IFERROR(__xludf.DUMMYFUNCTION("""COMPUTED_VALUE"""),773662.0)</f>
        <v>773662</v>
      </c>
      <c r="D785" s="2" t="str">
        <f>IFERROR(__xludf.DUMMYFUNCTION("""COMPUTED_VALUE"""),"MNN27")</f>
        <v>MNN27</v>
      </c>
      <c r="E785" s="2" t="str">
        <f>IFERROR(__xludf.DUMMYFUNCTION("""COMPUTED_VALUE"""),"Imported from file DigiZag Bidding Codes.xlsx")</f>
        <v>Imported from file DigiZag Bidding Codes.xlsx</v>
      </c>
      <c r="F785" s="2" t="str">
        <f>IFERROR(__xludf.DUMMYFUNCTION("""COMPUTED_VALUE"""),"MHT998219")</f>
        <v>MHT998219</v>
      </c>
      <c r="G785" s="2" t="str">
        <f>IFERROR(__xludf.DUMMYFUNCTION("""COMPUTED_VALUE"""),"Kingdom of Saudi Arabia")</f>
        <v>Kingdom of Saudi Arabia</v>
      </c>
      <c r="H785" s="4">
        <f>IFERROR(__xludf.DUMMYFUNCTION("""COMPUTED_VALUE"""),140.0)</f>
        <v>140</v>
      </c>
      <c r="I785" s="3">
        <f>IFERROR(__xludf.DUMMYFUNCTION("""COMPUTED_VALUE"""),0.0)</f>
        <v>0</v>
      </c>
      <c r="J785" s="4">
        <f>IFERROR(__xludf.DUMMYFUNCTION("""COMPUTED_VALUE"""),30.0)</f>
        <v>30</v>
      </c>
      <c r="K785" s="2"/>
      <c r="L785" s="2" t="str">
        <f>IFERROR(__xludf.DUMMYFUNCTION("""COMPUTED_VALUE"""),"Delivered")</f>
        <v>Delivered</v>
      </c>
      <c r="M785" s="2" t="str">
        <f>IFERROR(__xludf.DUMMYFUNCTION("""COMPUTED_VALUE"""),"")</f>
        <v></v>
      </c>
      <c r="N785" s="2" t="str">
        <f>IFERROR(__xludf.DUMMYFUNCTION("""COMPUTED_VALUE"""),"Credit, Debit, Apple Pay")</f>
        <v>Credit, Debit, Apple Pay</v>
      </c>
      <c r="O785" s="4">
        <f>IFERROR(__xludf.DUMMYFUNCTION("""COMPUTED_VALUE"""),0.0)</f>
        <v>0</v>
      </c>
      <c r="P785" s="2">
        <f>IFERROR(__xludf.DUMMYFUNCTION("""COMPUTED_VALUE"""),18.0)</f>
        <v>18</v>
      </c>
      <c r="Q785" s="2">
        <f>IFERROR(__xludf.DUMMYFUNCTION("""COMPUTED_VALUE"""),7.0)</f>
        <v>7</v>
      </c>
      <c r="R785" s="2">
        <f>IFERROR(__xludf.DUMMYFUNCTION("""COMPUTED_VALUE"""),2025.0)</f>
        <v>2025</v>
      </c>
      <c r="S785" s="2" t="str">
        <f>IFERROR(__xludf.DUMMYFUNCTION("""COMPUTED_VALUE"""),"Digizag")</f>
        <v>Digizag</v>
      </c>
      <c r="T785" s="2" t="str">
        <f>IFERROR(__xludf.DUMMYFUNCTION("""COMPUTED_VALUE"""),"Digizag")</f>
        <v>Digizag</v>
      </c>
      <c r="U785" s="5">
        <f>IFERROR(__xludf.DUMMYFUNCTION("""COMPUTED_VALUE"""),37.33044644)</f>
        <v>37.33044644</v>
      </c>
      <c r="V785" s="2"/>
      <c r="W785" s="2"/>
      <c r="X785" s="2"/>
      <c r="Y785" s="2"/>
      <c r="Z785" s="2"/>
    </row>
    <row r="786">
      <c r="A786" s="6">
        <f>IFERROR(__xludf.DUMMYFUNCTION("""COMPUTED_VALUE"""),45856.610925925925)</f>
        <v>45856.61093</v>
      </c>
      <c r="B786" s="2" t="str">
        <f>IFERROR(__xludf.DUMMYFUNCTION("""COMPUTED_VALUE"""),"July")</f>
        <v>July</v>
      </c>
      <c r="C786" s="3">
        <f>IFERROR(__xludf.DUMMYFUNCTION("""COMPUTED_VALUE"""),93717.0)</f>
        <v>93717</v>
      </c>
      <c r="D786" s="2" t="str">
        <f>IFERROR(__xludf.DUMMYFUNCTION("""COMPUTED_VALUE"""),"ZM22")</f>
        <v>ZM22</v>
      </c>
      <c r="E786" s="2" t="str">
        <f>IFERROR(__xludf.DUMMYFUNCTION("""COMPUTED_VALUE"""),"Imported from file Digizag.xlsx")</f>
        <v>Imported from file Digizag.xlsx</v>
      </c>
      <c r="F786" s="2" t="str">
        <f>IFERROR(__xludf.DUMMYFUNCTION("""COMPUTED_VALUE"""),"RWZ160076")</f>
        <v>RWZ160076</v>
      </c>
      <c r="G786" s="2" t="str">
        <f>IFERROR(__xludf.DUMMYFUNCTION("""COMPUTED_VALUE"""),"UAE")</f>
        <v>UAE</v>
      </c>
      <c r="H786" s="4">
        <f>IFERROR(__xludf.DUMMYFUNCTION("""COMPUTED_VALUE"""),340.0)</f>
        <v>340</v>
      </c>
      <c r="I786" s="3">
        <f>IFERROR(__xludf.DUMMYFUNCTION("""COMPUTED_VALUE"""),0.0)</f>
        <v>0</v>
      </c>
      <c r="J786" s="4">
        <f>IFERROR(__xludf.DUMMYFUNCTION("""COMPUTED_VALUE"""),34.0)</f>
        <v>34</v>
      </c>
      <c r="K786" s="2"/>
      <c r="L786" s="2" t="str">
        <f>IFERROR(__xludf.DUMMYFUNCTION("""COMPUTED_VALUE"""),"Delivered")</f>
        <v>Delivered</v>
      </c>
      <c r="M786" s="2" t="str">
        <f>IFERROR(__xludf.DUMMYFUNCTION("""COMPUTED_VALUE"""),"")</f>
        <v></v>
      </c>
      <c r="N786" s="2" t="str">
        <f>IFERROR(__xludf.DUMMYFUNCTION("""COMPUTED_VALUE"""),"Credit, Debit , Apple Pay")</f>
        <v>Credit, Debit , Apple Pay</v>
      </c>
      <c r="O786" s="4">
        <f>IFERROR(__xludf.DUMMYFUNCTION("""COMPUTED_VALUE"""),0.0)</f>
        <v>0</v>
      </c>
      <c r="P786" s="2">
        <f>IFERROR(__xludf.DUMMYFUNCTION("""COMPUTED_VALUE"""),18.0)</f>
        <v>18</v>
      </c>
      <c r="Q786" s="2">
        <f>IFERROR(__xludf.DUMMYFUNCTION("""COMPUTED_VALUE"""),7.0)</f>
        <v>7</v>
      </c>
      <c r="R786" s="2">
        <f>IFERROR(__xludf.DUMMYFUNCTION("""COMPUTED_VALUE"""),2025.0)</f>
        <v>2025</v>
      </c>
      <c r="S786" s="2" t="str">
        <f>IFERROR(__xludf.DUMMYFUNCTION("""COMPUTED_VALUE"""),"Digizag")</f>
        <v>Digizag</v>
      </c>
      <c r="T786" s="2" t="str">
        <f>IFERROR(__xludf.DUMMYFUNCTION("""COMPUTED_VALUE"""),"Digizag")</f>
        <v>Digizag</v>
      </c>
      <c r="U786" s="5">
        <f>IFERROR(__xludf.DUMMYFUNCTION("""COMPUTED_VALUE"""),92.57998651999999)</f>
        <v>92.57998652</v>
      </c>
      <c r="V786" s="2"/>
      <c r="W786" s="2"/>
      <c r="X786" s="2"/>
      <c r="Y786" s="2"/>
      <c r="Z786" s="2"/>
    </row>
    <row r="787">
      <c r="A787" s="6">
        <f>IFERROR(__xludf.DUMMYFUNCTION("""COMPUTED_VALUE"""),45856.679884259254)</f>
        <v>45856.67988</v>
      </c>
      <c r="B787" s="2" t="str">
        <f>IFERROR(__xludf.DUMMYFUNCTION("""COMPUTED_VALUE"""),"July")</f>
        <v>July</v>
      </c>
      <c r="C787" s="3">
        <f>IFERROR(__xludf.DUMMYFUNCTION("""COMPUTED_VALUE"""),309607.0)</f>
        <v>309607</v>
      </c>
      <c r="D787" s="2" t="str">
        <f>IFERROR(__xludf.DUMMYFUNCTION("""COMPUTED_VALUE"""),"MNN27")</f>
        <v>MNN27</v>
      </c>
      <c r="E787" s="2" t="str">
        <f>IFERROR(__xludf.DUMMYFUNCTION("""COMPUTED_VALUE"""),"Imported from file DigiZag Bidding Codes.xlsx")</f>
        <v>Imported from file DigiZag Bidding Codes.xlsx</v>
      </c>
      <c r="F787" s="2" t="str">
        <f>IFERROR(__xludf.DUMMYFUNCTION("""COMPUTED_VALUE"""),"VUU146110")</f>
        <v>VUU146110</v>
      </c>
      <c r="G787" s="2" t="str">
        <f>IFERROR(__xludf.DUMMYFUNCTION("""COMPUTED_VALUE"""),"Kingdom of Saudi Arabia")</f>
        <v>Kingdom of Saudi Arabia</v>
      </c>
      <c r="H787" s="4">
        <f>IFERROR(__xludf.DUMMYFUNCTION("""COMPUTED_VALUE"""),94.78)</f>
        <v>94.78</v>
      </c>
      <c r="I787" s="3">
        <f>IFERROR(__xludf.DUMMYFUNCTION("""COMPUTED_VALUE"""),0.0)</f>
        <v>0</v>
      </c>
      <c r="J787" s="4">
        <f>IFERROR(__xludf.DUMMYFUNCTION("""COMPUTED_VALUE"""),23.69)</f>
        <v>23.69</v>
      </c>
      <c r="K787" s="2"/>
      <c r="L787" s="2" t="str">
        <f>IFERROR(__xludf.DUMMYFUNCTION("""COMPUTED_VALUE"""),"Delivered")</f>
        <v>Delivered</v>
      </c>
      <c r="M787" s="2" t="str">
        <f>IFERROR(__xludf.DUMMYFUNCTION("""COMPUTED_VALUE"""),"")</f>
        <v></v>
      </c>
      <c r="N787" s="2" t="str">
        <f>IFERROR(__xludf.DUMMYFUNCTION("""COMPUTED_VALUE"""),"Credit, Debit, Apple Pay")</f>
        <v>Credit, Debit, Apple Pay</v>
      </c>
      <c r="O787" s="4">
        <f>IFERROR(__xludf.DUMMYFUNCTION("""COMPUTED_VALUE"""),0.0)</f>
        <v>0</v>
      </c>
      <c r="P787" s="2">
        <f>IFERROR(__xludf.DUMMYFUNCTION("""COMPUTED_VALUE"""),18.0)</f>
        <v>18</v>
      </c>
      <c r="Q787" s="2">
        <f>IFERROR(__xludf.DUMMYFUNCTION("""COMPUTED_VALUE"""),7.0)</f>
        <v>7</v>
      </c>
      <c r="R787" s="2">
        <f>IFERROR(__xludf.DUMMYFUNCTION("""COMPUTED_VALUE"""),2025.0)</f>
        <v>2025</v>
      </c>
      <c r="S787" s="2" t="str">
        <f>IFERROR(__xludf.DUMMYFUNCTION("""COMPUTED_VALUE"""),"Digizag")</f>
        <v>Digizag</v>
      </c>
      <c r="T787" s="2" t="str">
        <f>IFERROR(__xludf.DUMMYFUNCTION("""COMPUTED_VALUE"""),"Digizag")</f>
        <v>Digizag</v>
      </c>
      <c r="U787" s="5">
        <f>IFERROR(__xludf.DUMMYFUNCTION("""COMPUTED_VALUE"""),25.272712239880004)</f>
        <v>25.27271224</v>
      </c>
      <c r="V787" s="2"/>
      <c r="W787" s="2"/>
      <c r="X787" s="2"/>
      <c r="Y787" s="2"/>
      <c r="Z787" s="2"/>
    </row>
    <row r="788">
      <c r="A788" s="6">
        <f>IFERROR(__xludf.DUMMYFUNCTION("""COMPUTED_VALUE"""),45857.33473379629)</f>
        <v>45857.33473</v>
      </c>
      <c r="B788" s="2" t="str">
        <f>IFERROR(__xludf.DUMMYFUNCTION("""COMPUTED_VALUE"""),"July")</f>
        <v>July</v>
      </c>
      <c r="C788" s="3">
        <f>IFERROR(__xludf.DUMMYFUNCTION("""COMPUTED_VALUE"""),450060.0)</f>
        <v>450060</v>
      </c>
      <c r="D788" s="2" t="str">
        <f>IFERROR(__xludf.DUMMYFUNCTION("""COMPUTED_VALUE"""),"ZM22")</f>
        <v>ZM22</v>
      </c>
      <c r="E788" s="2" t="str">
        <f>IFERROR(__xludf.DUMMYFUNCTION("""COMPUTED_VALUE"""),"Imported from file Digizag.xlsx")</f>
        <v>Imported from file Digizag.xlsx</v>
      </c>
      <c r="F788" s="2" t="str">
        <f>IFERROR(__xludf.DUMMYFUNCTION("""COMPUTED_VALUE"""),"XRC178349")</f>
        <v>XRC178349</v>
      </c>
      <c r="G788" s="2" t="str">
        <f>IFERROR(__xludf.DUMMYFUNCTION("""COMPUTED_VALUE"""),"Kingdom of Saudi Arabia")</f>
        <v>Kingdom of Saudi Arabia</v>
      </c>
      <c r="H788" s="4">
        <f>IFERROR(__xludf.DUMMYFUNCTION("""COMPUTED_VALUE"""),152.09)</f>
        <v>152.09</v>
      </c>
      <c r="I788" s="3">
        <f>IFERROR(__xludf.DUMMYFUNCTION("""COMPUTED_VALUE"""),0.0)</f>
        <v>0</v>
      </c>
      <c r="J788" s="4">
        <f>IFERROR(__xludf.DUMMYFUNCTION("""COMPUTED_VALUE"""),30.0)</f>
        <v>30</v>
      </c>
      <c r="K788" s="2"/>
      <c r="L788" s="2" t="str">
        <f>IFERROR(__xludf.DUMMYFUNCTION("""COMPUTED_VALUE"""),"Delivered")</f>
        <v>Delivered</v>
      </c>
      <c r="M788" s="2" t="str">
        <f>IFERROR(__xludf.DUMMYFUNCTION("""COMPUTED_VALUE"""),"")</f>
        <v></v>
      </c>
      <c r="N788" s="2" t="str">
        <f>IFERROR(__xludf.DUMMYFUNCTION("""COMPUTED_VALUE"""),"Credit, Debit, Apple Pay")</f>
        <v>Credit, Debit, Apple Pay</v>
      </c>
      <c r="O788" s="4">
        <f>IFERROR(__xludf.DUMMYFUNCTION("""COMPUTED_VALUE"""),0.0)</f>
        <v>0</v>
      </c>
      <c r="P788" s="2">
        <f>IFERROR(__xludf.DUMMYFUNCTION("""COMPUTED_VALUE"""),19.0)</f>
        <v>19</v>
      </c>
      <c r="Q788" s="2">
        <f>IFERROR(__xludf.DUMMYFUNCTION("""COMPUTED_VALUE"""),7.0)</f>
        <v>7</v>
      </c>
      <c r="R788" s="2">
        <f>IFERROR(__xludf.DUMMYFUNCTION("""COMPUTED_VALUE"""),2025.0)</f>
        <v>2025</v>
      </c>
      <c r="S788" s="2" t="str">
        <f>IFERROR(__xludf.DUMMYFUNCTION("""COMPUTED_VALUE"""),"Digizag")</f>
        <v>Digizag</v>
      </c>
      <c r="T788" s="2" t="str">
        <f>IFERROR(__xludf.DUMMYFUNCTION("""COMPUTED_VALUE"""),"Digizag")</f>
        <v>Digizag</v>
      </c>
      <c r="U788" s="5">
        <f>IFERROR(__xludf.DUMMYFUNCTION("""COMPUTED_VALUE"""),40.554197136140004)</f>
        <v>40.55419714</v>
      </c>
      <c r="V788" s="2"/>
      <c r="W788" s="2"/>
      <c r="X788" s="2"/>
      <c r="Y788" s="2"/>
      <c r="Z788" s="2"/>
    </row>
    <row r="789">
      <c r="A789" s="6">
        <f>IFERROR(__xludf.DUMMYFUNCTION("""COMPUTED_VALUE"""),45857.5903587963)</f>
        <v>45857.59036</v>
      </c>
      <c r="B789" s="2" t="str">
        <f>IFERROR(__xludf.DUMMYFUNCTION("""COMPUTED_VALUE"""),"July")</f>
        <v>July</v>
      </c>
      <c r="C789" s="3">
        <f>IFERROR(__xludf.DUMMYFUNCTION("""COMPUTED_VALUE"""),566470.0)</f>
        <v>566470</v>
      </c>
      <c r="D789" s="2" t="str">
        <f>IFERROR(__xludf.DUMMYFUNCTION("""COMPUTED_VALUE"""),"ZM22")</f>
        <v>ZM22</v>
      </c>
      <c r="E789" s="2" t="str">
        <f>IFERROR(__xludf.DUMMYFUNCTION("""COMPUTED_VALUE"""),"Imported from file Digizag.xlsx")</f>
        <v>Imported from file Digizag.xlsx</v>
      </c>
      <c r="F789" s="2" t="str">
        <f>IFERROR(__xludf.DUMMYFUNCTION("""COMPUTED_VALUE"""),"HYU535421")</f>
        <v>HYU535421</v>
      </c>
      <c r="G789" s="2" t="str">
        <f>IFERROR(__xludf.DUMMYFUNCTION("""COMPUTED_VALUE"""),"UAE")</f>
        <v>UAE</v>
      </c>
      <c r="H789" s="4">
        <f>IFERROR(__xludf.DUMMYFUNCTION("""COMPUTED_VALUE"""),229.6)</f>
        <v>229.6</v>
      </c>
      <c r="I789" s="3">
        <f>IFERROR(__xludf.DUMMYFUNCTION("""COMPUTED_VALUE"""),0.0)</f>
        <v>0</v>
      </c>
      <c r="J789" s="4">
        <f>IFERROR(__xludf.DUMMYFUNCTION("""COMPUTED_VALUE"""),22.96)</f>
        <v>22.96</v>
      </c>
      <c r="K789" s="2"/>
      <c r="L789" s="2" t="str">
        <f>IFERROR(__xludf.DUMMYFUNCTION("""COMPUTED_VALUE"""),"Delivered")</f>
        <v>Delivered</v>
      </c>
      <c r="M789" s="2" t="str">
        <f>IFERROR(__xludf.DUMMYFUNCTION("""COMPUTED_VALUE"""),"")</f>
        <v></v>
      </c>
      <c r="N789" s="2" t="str">
        <f>IFERROR(__xludf.DUMMYFUNCTION("""COMPUTED_VALUE"""),"Credit, Debit , Apple Pay")</f>
        <v>Credit, Debit , Apple Pay</v>
      </c>
      <c r="O789" s="4">
        <f>IFERROR(__xludf.DUMMYFUNCTION("""COMPUTED_VALUE"""),0.0)</f>
        <v>0</v>
      </c>
      <c r="P789" s="2">
        <f>IFERROR(__xludf.DUMMYFUNCTION("""COMPUTED_VALUE"""),19.0)</f>
        <v>19</v>
      </c>
      <c r="Q789" s="2">
        <f>IFERROR(__xludf.DUMMYFUNCTION("""COMPUTED_VALUE"""),7.0)</f>
        <v>7</v>
      </c>
      <c r="R789" s="2">
        <f>IFERROR(__xludf.DUMMYFUNCTION("""COMPUTED_VALUE"""),2025.0)</f>
        <v>2025</v>
      </c>
      <c r="S789" s="2" t="str">
        <f>IFERROR(__xludf.DUMMYFUNCTION("""COMPUTED_VALUE"""),"Digizag")</f>
        <v>Digizag</v>
      </c>
      <c r="T789" s="2" t="str">
        <f>IFERROR(__xludf.DUMMYFUNCTION("""COMPUTED_VALUE"""),"Digizag")</f>
        <v>Digizag</v>
      </c>
      <c r="U789" s="5">
        <f>IFERROR(__xludf.DUMMYFUNCTION("""COMPUTED_VALUE"""),62.5187203088)</f>
        <v>62.51872031</v>
      </c>
      <c r="V789" s="2"/>
      <c r="W789" s="2"/>
      <c r="X789" s="2"/>
      <c r="Y789" s="2"/>
      <c r="Z789" s="2"/>
    </row>
    <row r="790">
      <c r="A790" s="6">
        <f>IFERROR(__xludf.DUMMYFUNCTION("""COMPUTED_VALUE"""),45857.72655092592)</f>
        <v>45857.72655</v>
      </c>
      <c r="B790" s="2" t="str">
        <f>IFERROR(__xludf.DUMMYFUNCTION("""COMPUTED_VALUE"""),"July")</f>
        <v>July</v>
      </c>
      <c r="C790" s="3">
        <f>IFERROR(__xludf.DUMMYFUNCTION("""COMPUTED_VALUE"""),250604.0)</f>
        <v>250604</v>
      </c>
      <c r="D790" s="2" t="str">
        <f>IFERROR(__xludf.DUMMYFUNCTION("""COMPUTED_VALUE"""),"ZM22")</f>
        <v>ZM22</v>
      </c>
      <c r="E790" s="2" t="str">
        <f>IFERROR(__xludf.DUMMYFUNCTION("""COMPUTED_VALUE"""),"Imported from file Digizag.xlsx")</f>
        <v>Imported from file Digizag.xlsx</v>
      </c>
      <c r="F790" s="2" t="str">
        <f>IFERROR(__xludf.DUMMYFUNCTION("""COMPUTED_VALUE"""),"DQT704290")</f>
        <v>DQT704290</v>
      </c>
      <c r="G790" s="2" t="str">
        <f>IFERROR(__xludf.DUMMYFUNCTION("""COMPUTED_VALUE"""),"Kingdom of Saudi Arabia")</f>
        <v>Kingdom of Saudi Arabia</v>
      </c>
      <c r="H790" s="4">
        <f>IFERROR(__xludf.DUMMYFUNCTION("""COMPUTED_VALUE"""),178.26)</f>
        <v>178.26</v>
      </c>
      <c r="I790" s="3">
        <f>IFERROR(__xludf.DUMMYFUNCTION("""COMPUTED_VALUE"""),0.0)</f>
        <v>0</v>
      </c>
      <c r="J790" s="4">
        <f>IFERROR(__xludf.DUMMYFUNCTION("""COMPUTED_VALUE"""),30.0)</f>
        <v>30</v>
      </c>
      <c r="K790" s="2"/>
      <c r="L790" s="2" t="str">
        <f>IFERROR(__xludf.DUMMYFUNCTION("""COMPUTED_VALUE"""),"Delivered")</f>
        <v>Delivered</v>
      </c>
      <c r="M790" s="2" t="str">
        <f>IFERROR(__xludf.DUMMYFUNCTION("""COMPUTED_VALUE"""),"")</f>
        <v></v>
      </c>
      <c r="N790" s="2" t="str">
        <f>IFERROR(__xludf.DUMMYFUNCTION("""COMPUTED_VALUE"""),"Pay in 4. No interest, no fees")</f>
        <v>Pay in 4. No interest, no fees</v>
      </c>
      <c r="O790" s="4">
        <f>IFERROR(__xludf.DUMMYFUNCTION("""COMPUTED_VALUE"""),0.0)</f>
        <v>0</v>
      </c>
      <c r="P790" s="2">
        <f>IFERROR(__xludf.DUMMYFUNCTION("""COMPUTED_VALUE"""),19.0)</f>
        <v>19</v>
      </c>
      <c r="Q790" s="2">
        <f>IFERROR(__xludf.DUMMYFUNCTION("""COMPUTED_VALUE"""),7.0)</f>
        <v>7</v>
      </c>
      <c r="R790" s="2">
        <f>IFERROR(__xludf.DUMMYFUNCTION("""COMPUTED_VALUE"""),2025.0)</f>
        <v>2025</v>
      </c>
      <c r="S790" s="2" t="str">
        <f>IFERROR(__xludf.DUMMYFUNCTION("""COMPUTED_VALUE"""),"Digizag")</f>
        <v>Digizag</v>
      </c>
      <c r="T790" s="2" t="str">
        <f>IFERROR(__xludf.DUMMYFUNCTION("""COMPUTED_VALUE"""),"Digizag")</f>
        <v>Digizag</v>
      </c>
      <c r="U790" s="5">
        <f>IFERROR(__xludf.DUMMYFUNCTION("""COMPUTED_VALUE"""),47.532324159960005)</f>
        <v>47.53232416</v>
      </c>
      <c r="V790" s="2"/>
      <c r="W790" s="2"/>
      <c r="X790" s="2"/>
      <c r="Y790" s="2"/>
      <c r="Z790" s="2"/>
    </row>
    <row r="791">
      <c r="A791" s="6">
        <f>IFERROR(__xludf.DUMMYFUNCTION("""COMPUTED_VALUE"""),45857.893645833334)</f>
        <v>45857.89365</v>
      </c>
      <c r="B791" s="2" t="str">
        <f>IFERROR(__xludf.DUMMYFUNCTION("""COMPUTED_VALUE"""),"July")</f>
        <v>July</v>
      </c>
      <c r="C791" s="3">
        <f>IFERROR(__xludf.DUMMYFUNCTION("""COMPUTED_VALUE"""),362483.0)</f>
        <v>362483</v>
      </c>
      <c r="D791" s="2" t="str">
        <f>IFERROR(__xludf.DUMMYFUNCTION("""COMPUTED_VALUE"""),"ZM22")</f>
        <v>ZM22</v>
      </c>
      <c r="E791" s="2" t="str">
        <f>IFERROR(__xludf.DUMMYFUNCTION("""COMPUTED_VALUE"""),"Imported from file Digizag.xlsx")</f>
        <v>Imported from file Digizag.xlsx</v>
      </c>
      <c r="F791" s="2" t="str">
        <f>IFERROR(__xludf.DUMMYFUNCTION("""COMPUTED_VALUE"""),"ZCX669193")</f>
        <v>ZCX669193</v>
      </c>
      <c r="G791" s="2" t="str">
        <f>IFERROR(__xludf.DUMMYFUNCTION("""COMPUTED_VALUE"""),"Kingdom of Saudi Arabia")</f>
        <v>Kingdom of Saudi Arabia</v>
      </c>
      <c r="H791" s="4">
        <f>IFERROR(__xludf.DUMMYFUNCTION("""COMPUTED_VALUE"""),336.82)</f>
        <v>336.82</v>
      </c>
      <c r="I791" s="3">
        <f>IFERROR(__xludf.DUMMYFUNCTION("""COMPUTED_VALUE"""),0.0)</f>
        <v>0</v>
      </c>
      <c r="J791" s="4">
        <f>IFERROR(__xludf.DUMMYFUNCTION("""COMPUTED_VALUE"""),30.0)</f>
        <v>30</v>
      </c>
      <c r="K791" s="2"/>
      <c r="L791" s="2" t="str">
        <f>IFERROR(__xludf.DUMMYFUNCTION("""COMPUTED_VALUE"""),"Delivered")</f>
        <v>Delivered</v>
      </c>
      <c r="M791" s="2" t="str">
        <f>IFERROR(__xludf.DUMMYFUNCTION("""COMPUTED_VALUE"""),"")</f>
        <v></v>
      </c>
      <c r="N791" s="2" t="str">
        <f>IFERROR(__xludf.DUMMYFUNCTION("""COMPUTED_VALUE"""),"Pay in 4. No interest, no fees")</f>
        <v>Pay in 4. No interest, no fees</v>
      </c>
      <c r="O791" s="4">
        <f>IFERROR(__xludf.DUMMYFUNCTION("""COMPUTED_VALUE"""),0.0)</f>
        <v>0</v>
      </c>
      <c r="P791" s="2">
        <f>IFERROR(__xludf.DUMMYFUNCTION("""COMPUTED_VALUE"""),19.0)</f>
        <v>19</v>
      </c>
      <c r="Q791" s="2">
        <f>IFERROR(__xludf.DUMMYFUNCTION("""COMPUTED_VALUE"""),7.0)</f>
        <v>7</v>
      </c>
      <c r="R791" s="2">
        <f>IFERROR(__xludf.DUMMYFUNCTION("""COMPUTED_VALUE"""),2025.0)</f>
        <v>2025</v>
      </c>
      <c r="S791" s="2" t="str">
        <f>IFERROR(__xludf.DUMMYFUNCTION("""COMPUTED_VALUE"""),"Digizag")</f>
        <v>Digizag</v>
      </c>
      <c r="T791" s="2" t="str">
        <f>IFERROR(__xludf.DUMMYFUNCTION("""COMPUTED_VALUE"""),"Digizag")</f>
        <v>Digizag</v>
      </c>
      <c r="U791" s="5">
        <f>IFERROR(__xludf.DUMMYFUNCTION("""COMPUTED_VALUE"""),89.81172121372)</f>
        <v>89.81172121</v>
      </c>
      <c r="V791" s="2"/>
      <c r="W791" s="2"/>
      <c r="X791" s="2"/>
      <c r="Y791" s="2"/>
      <c r="Z791" s="2"/>
    </row>
    <row r="792">
      <c r="A792" s="6">
        <f>IFERROR(__xludf.DUMMYFUNCTION("""COMPUTED_VALUE"""),45858.303125)</f>
        <v>45858.30313</v>
      </c>
      <c r="B792" s="2" t="str">
        <f>IFERROR(__xludf.DUMMYFUNCTION("""COMPUTED_VALUE"""),"July")</f>
        <v>July</v>
      </c>
      <c r="C792" s="3">
        <f>IFERROR(__xludf.DUMMYFUNCTION("""COMPUTED_VALUE"""),774304.0)</f>
        <v>774304</v>
      </c>
      <c r="D792" s="2" t="str">
        <f>IFERROR(__xludf.DUMMYFUNCTION("""COMPUTED_VALUE"""),"DG10")</f>
        <v>DG10</v>
      </c>
      <c r="E792" s="2" t="str">
        <f>IFERROR(__xludf.DUMMYFUNCTION("""COMPUTED_VALUE"""),"DigiZag")</f>
        <v>DigiZag</v>
      </c>
      <c r="F792" s="2" t="str">
        <f>IFERROR(__xludf.DUMMYFUNCTION("""COMPUTED_VALUE"""),"TAZ661775")</f>
        <v>TAZ661775</v>
      </c>
      <c r="G792" s="2" t="str">
        <f>IFERROR(__xludf.DUMMYFUNCTION("""COMPUTED_VALUE"""),"Kuwait")</f>
        <v>Kuwait</v>
      </c>
      <c r="H792" s="4">
        <f>IFERROR(__xludf.DUMMYFUNCTION("""COMPUTED_VALUE"""),95.0)</f>
        <v>95</v>
      </c>
      <c r="I792" s="3">
        <f>IFERROR(__xludf.DUMMYFUNCTION("""COMPUTED_VALUE"""),0.0)</f>
        <v>0</v>
      </c>
      <c r="J792" s="4">
        <f>IFERROR(__xludf.DUMMYFUNCTION("""COMPUTED_VALUE"""),9.5)</f>
        <v>9.5</v>
      </c>
      <c r="K792" s="2"/>
      <c r="L792" s="2" t="str">
        <f>IFERROR(__xludf.DUMMYFUNCTION("""COMPUTED_VALUE"""),"Delivered")</f>
        <v>Delivered</v>
      </c>
      <c r="M792" s="2" t="str">
        <f>IFERROR(__xludf.DUMMYFUNCTION("""COMPUTED_VALUE"""),"KD")</f>
        <v>KD</v>
      </c>
      <c r="N792" s="2" t="str">
        <f>IFERROR(__xludf.DUMMYFUNCTION("""COMPUTED_VALUE"""),"Credit, Debit, Knet")</f>
        <v>Credit, Debit, Knet</v>
      </c>
      <c r="O792" s="4">
        <f>IFERROR(__xludf.DUMMYFUNCTION("""COMPUTED_VALUE"""),0.0)</f>
        <v>0</v>
      </c>
      <c r="P792" s="2">
        <f>IFERROR(__xludf.DUMMYFUNCTION("""COMPUTED_VALUE"""),20.0)</f>
        <v>20</v>
      </c>
      <c r="Q792" s="2">
        <f>IFERROR(__xludf.DUMMYFUNCTION("""COMPUTED_VALUE"""),7.0)</f>
        <v>7</v>
      </c>
      <c r="R792" s="2">
        <f>IFERROR(__xludf.DUMMYFUNCTION("""COMPUTED_VALUE"""),2025.0)</f>
        <v>2025</v>
      </c>
      <c r="S792" s="2" t="str">
        <f>IFERROR(__xludf.DUMMYFUNCTION("""COMPUTED_VALUE"""),"Digizag")</f>
        <v>Digizag</v>
      </c>
      <c r="T792" s="2" t="str">
        <f>IFERROR(__xludf.DUMMYFUNCTION("""COMPUTED_VALUE"""),"Digizag")</f>
        <v>Digizag</v>
      </c>
      <c r="U792" s="5">
        <f>IFERROR(__xludf.DUMMYFUNCTION("""COMPUTED_VALUE"""),309.7589)</f>
        <v>309.7589</v>
      </c>
      <c r="V792" s="2"/>
      <c r="W792" s="2"/>
      <c r="X792" s="2"/>
      <c r="Y792" s="2"/>
      <c r="Z792" s="2"/>
    </row>
    <row r="793">
      <c r="A793" s="6">
        <f>IFERROR(__xludf.DUMMYFUNCTION("""COMPUTED_VALUE"""),45858.44667824074)</f>
        <v>45858.44668</v>
      </c>
      <c r="B793" s="2" t="str">
        <f>IFERROR(__xludf.DUMMYFUNCTION("""COMPUTED_VALUE"""),"July")</f>
        <v>July</v>
      </c>
      <c r="C793" s="3">
        <f>IFERROR(__xludf.DUMMYFUNCTION("""COMPUTED_VALUE"""),770803.0)</f>
        <v>770803</v>
      </c>
      <c r="D793" s="2" t="str">
        <f>IFERROR(__xludf.DUMMYFUNCTION("""COMPUTED_VALUE"""),"DG10")</f>
        <v>DG10</v>
      </c>
      <c r="E793" s="2" t="str">
        <f>IFERROR(__xludf.DUMMYFUNCTION("""COMPUTED_VALUE"""),"DigiZag")</f>
        <v>DigiZag</v>
      </c>
      <c r="F793" s="2" t="str">
        <f>IFERROR(__xludf.DUMMYFUNCTION("""COMPUTED_VALUE"""),"DWJ878439")</f>
        <v>DWJ878439</v>
      </c>
      <c r="G793" s="2" t="str">
        <f>IFERROR(__xludf.DUMMYFUNCTION("""COMPUTED_VALUE"""),"Kuwait")</f>
        <v>Kuwait</v>
      </c>
      <c r="H793" s="4">
        <f>IFERROR(__xludf.DUMMYFUNCTION("""COMPUTED_VALUE"""),4.95)</f>
        <v>4.95</v>
      </c>
      <c r="I793" s="3">
        <f>IFERROR(__xludf.DUMMYFUNCTION("""COMPUTED_VALUE"""),0.0)</f>
        <v>0</v>
      </c>
      <c r="J793" s="4">
        <f>IFERROR(__xludf.DUMMYFUNCTION("""COMPUTED_VALUE"""),0.495)</f>
        <v>0.495</v>
      </c>
      <c r="K793" s="2"/>
      <c r="L793" s="2" t="str">
        <f>IFERROR(__xludf.DUMMYFUNCTION("""COMPUTED_VALUE"""),"Delivered")</f>
        <v>Delivered</v>
      </c>
      <c r="M793" s="2" t="str">
        <f>IFERROR(__xludf.DUMMYFUNCTION("""COMPUTED_VALUE"""),"KD")</f>
        <v>KD</v>
      </c>
      <c r="N793" s="2" t="str">
        <f>IFERROR(__xludf.DUMMYFUNCTION("""COMPUTED_VALUE"""),"Credit, Debit, Knet")</f>
        <v>Credit, Debit, Knet</v>
      </c>
      <c r="O793" s="4">
        <f>IFERROR(__xludf.DUMMYFUNCTION("""COMPUTED_VALUE"""),0.0)</f>
        <v>0</v>
      </c>
      <c r="P793" s="2">
        <f>IFERROR(__xludf.DUMMYFUNCTION("""COMPUTED_VALUE"""),20.0)</f>
        <v>20</v>
      </c>
      <c r="Q793" s="2">
        <f>IFERROR(__xludf.DUMMYFUNCTION("""COMPUTED_VALUE"""),7.0)</f>
        <v>7</v>
      </c>
      <c r="R793" s="2">
        <f>IFERROR(__xludf.DUMMYFUNCTION("""COMPUTED_VALUE"""),2025.0)</f>
        <v>2025</v>
      </c>
      <c r="S793" s="2" t="str">
        <f>IFERROR(__xludf.DUMMYFUNCTION("""COMPUTED_VALUE"""),"Digizag")</f>
        <v>Digizag</v>
      </c>
      <c r="T793" s="2" t="str">
        <f>IFERROR(__xludf.DUMMYFUNCTION("""COMPUTED_VALUE"""),"Digizag")</f>
        <v>Digizag</v>
      </c>
      <c r="U793" s="5">
        <f>IFERROR(__xludf.DUMMYFUNCTION("""COMPUTED_VALUE"""),16.140069)</f>
        <v>16.140069</v>
      </c>
      <c r="V793" s="2"/>
      <c r="W793" s="2"/>
      <c r="X793" s="2"/>
      <c r="Y793" s="2"/>
      <c r="Z793" s="2"/>
    </row>
    <row r="794">
      <c r="A794" s="6">
        <f>IFERROR(__xludf.DUMMYFUNCTION("""COMPUTED_VALUE"""),45858.52628472222)</f>
        <v>45858.52628</v>
      </c>
      <c r="B794" s="2" t="str">
        <f>IFERROR(__xludf.DUMMYFUNCTION("""COMPUTED_VALUE"""),"July")</f>
        <v>July</v>
      </c>
      <c r="C794" s="3">
        <f>IFERROR(__xludf.DUMMYFUNCTION("""COMPUTED_VALUE"""),774377.0)</f>
        <v>774377</v>
      </c>
      <c r="D794" s="2" t="str">
        <f>IFERROR(__xludf.DUMMYFUNCTION("""COMPUTED_VALUE"""),"DG10")</f>
        <v>DG10</v>
      </c>
      <c r="E794" s="2" t="str">
        <f>IFERROR(__xludf.DUMMYFUNCTION("""COMPUTED_VALUE"""),"DigiZag")</f>
        <v>DigiZag</v>
      </c>
      <c r="F794" s="2" t="str">
        <f>IFERROR(__xludf.DUMMYFUNCTION("""COMPUTED_VALUE"""),"TZT150998")</f>
        <v>TZT150998</v>
      </c>
      <c r="G794" s="2" t="str">
        <f>IFERROR(__xludf.DUMMYFUNCTION("""COMPUTED_VALUE"""),"Kuwait")</f>
        <v>Kuwait</v>
      </c>
      <c r="H794" s="4">
        <f>IFERROR(__xludf.DUMMYFUNCTION("""COMPUTED_VALUE"""),36.75)</f>
        <v>36.75</v>
      </c>
      <c r="I794" s="3">
        <f>IFERROR(__xludf.DUMMYFUNCTION("""COMPUTED_VALUE"""),0.0)</f>
        <v>0</v>
      </c>
      <c r="J794" s="4">
        <f>IFERROR(__xludf.DUMMYFUNCTION("""COMPUTED_VALUE"""),3.675)</f>
        <v>3.675</v>
      </c>
      <c r="K794" s="2"/>
      <c r="L794" s="2" t="str">
        <f>IFERROR(__xludf.DUMMYFUNCTION("""COMPUTED_VALUE"""),"Delivered")</f>
        <v>Delivered</v>
      </c>
      <c r="M794" s="2" t="str">
        <f>IFERROR(__xludf.DUMMYFUNCTION("""COMPUTED_VALUE"""),"KD")</f>
        <v>KD</v>
      </c>
      <c r="N794" s="2" t="str">
        <f>IFERROR(__xludf.DUMMYFUNCTION("""COMPUTED_VALUE"""),"Credit, Debit, Knet")</f>
        <v>Credit, Debit, Knet</v>
      </c>
      <c r="O794" s="4">
        <f>IFERROR(__xludf.DUMMYFUNCTION("""COMPUTED_VALUE"""),0.0)</f>
        <v>0</v>
      </c>
      <c r="P794" s="2">
        <f>IFERROR(__xludf.DUMMYFUNCTION("""COMPUTED_VALUE"""),20.0)</f>
        <v>20</v>
      </c>
      <c r="Q794" s="2">
        <f>IFERROR(__xludf.DUMMYFUNCTION("""COMPUTED_VALUE"""),7.0)</f>
        <v>7</v>
      </c>
      <c r="R794" s="2">
        <f>IFERROR(__xludf.DUMMYFUNCTION("""COMPUTED_VALUE"""),2025.0)</f>
        <v>2025</v>
      </c>
      <c r="S794" s="2" t="str">
        <f>IFERROR(__xludf.DUMMYFUNCTION("""COMPUTED_VALUE"""),"Digizag")</f>
        <v>Digizag</v>
      </c>
      <c r="T794" s="2" t="str">
        <f>IFERROR(__xludf.DUMMYFUNCTION("""COMPUTED_VALUE"""),"Digizag")</f>
        <v>Digizag</v>
      </c>
      <c r="U794" s="5">
        <f>IFERROR(__xludf.DUMMYFUNCTION("""COMPUTED_VALUE"""),119.82778499999999)</f>
        <v>119.827785</v>
      </c>
      <c r="V794" s="2"/>
      <c r="W794" s="2"/>
      <c r="X794" s="2"/>
      <c r="Y794" s="2"/>
      <c r="Z794" s="2"/>
    </row>
    <row r="795">
      <c r="A795" s="6">
        <f>IFERROR(__xludf.DUMMYFUNCTION("""COMPUTED_VALUE"""),45858.60481481481)</f>
        <v>45858.60481</v>
      </c>
      <c r="B795" s="2" t="str">
        <f>IFERROR(__xludf.DUMMYFUNCTION("""COMPUTED_VALUE"""),"July")</f>
        <v>July</v>
      </c>
      <c r="C795" s="3">
        <f>IFERROR(__xludf.DUMMYFUNCTION("""COMPUTED_VALUE"""),169225.0)</f>
        <v>169225</v>
      </c>
      <c r="D795" s="2" t="str">
        <f>IFERROR(__xludf.DUMMYFUNCTION("""COMPUTED_VALUE"""),"DG10")</f>
        <v>DG10</v>
      </c>
      <c r="E795" s="2" t="str">
        <f>IFERROR(__xludf.DUMMYFUNCTION("""COMPUTED_VALUE"""),"DigiZag")</f>
        <v>DigiZag</v>
      </c>
      <c r="F795" s="2" t="str">
        <f>IFERROR(__xludf.DUMMYFUNCTION("""COMPUTED_VALUE"""),"WVA414112")</f>
        <v>WVA414112</v>
      </c>
      <c r="G795" s="2" t="str">
        <f>IFERROR(__xludf.DUMMYFUNCTION("""COMPUTED_VALUE"""),"Kuwait")</f>
        <v>Kuwait</v>
      </c>
      <c r="H795" s="4">
        <f>IFERROR(__xludf.DUMMYFUNCTION("""COMPUTED_VALUE"""),12.5)</f>
        <v>12.5</v>
      </c>
      <c r="I795" s="3">
        <f>IFERROR(__xludf.DUMMYFUNCTION("""COMPUTED_VALUE"""),0.0)</f>
        <v>0</v>
      </c>
      <c r="J795" s="4">
        <f>IFERROR(__xludf.DUMMYFUNCTION("""COMPUTED_VALUE"""),1.25)</f>
        <v>1.25</v>
      </c>
      <c r="K795" s="2"/>
      <c r="L795" s="2" t="str">
        <f>IFERROR(__xludf.DUMMYFUNCTION("""COMPUTED_VALUE"""),"Delivered")</f>
        <v>Delivered</v>
      </c>
      <c r="M795" s="2" t="str">
        <f>IFERROR(__xludf.DUMMYFUNCTION("""COMPUTED_VALUE"""),"KD")</f>
        <v>KD</v>
      </c>
      <c r="N795" s="2" t="str">
        <f>IFERROR(__xludf.DUMMYFUNCTION("""COMPUTED_VALUE"""),"Credit, Debit, Knet")</f>
        <v>Credit, Debit, Knet</v>
      </c>
      <c r="O795" s="4">
        <f>IFERROR(__xludf.DUMMYFUNCTION("""COMPUTED_VALUE"""),0.0)</f>
        <v>0</v>
      </c>
      <c r="P795" s="2">
        <f>IFERROR(__xludf.DUMMYFUNCTION("""COMPUTED_VALUE"""),20.0)</f>
        <v>20</v>
      </c>
      <c r="Q795" s="2">
        <f>IFERROR(__xludf.DUMMYFUNCTION("""COMPUTED_VALUE"""),7.0)</f>
        <v>7</v>
      </c>
      <c r="R795" s="2">
        <f>IFERROR(__xludf.DUMMYFUNCTION("""COMPUTED_VALUE"""),2025.0)</f>
        <v>2025</v>
      </c>
      <c r="S795" s="2" t="str">
        <f>IFERROR(__xludf.DUMMYFUNCTION("""COMPUTED_VALUE"""),"Digizag")</f>
        <v>Digizag</v>
      </c>
      <c r="T795" s="2" t="str">
        <f>IFERROR(__xludf.DUMMYFUNCTION("""COMPUTED_VALUE"""),"Digizag")</f>
        <v>Digizag</v>
      </c>
      <c r="U795" s="5">
        <f>IFERROR(__xludf.DUMMYFUNCTION("""COMPUTED_VALUE"""),40.75775)</f>
        <v>40.75775</v>
      </c>
      <c r="V795" s="2"/>
      <c r="W795" s="2"/>
      <c r="X795" s="2"/>
      <c r="Y795" s="2"/>
      <c r="Z795" s="2"/>
    </row>
    <row r="796">
      <c r="A796" s="6">
        <f>IFERROR(__xludf.DUMMYFUNCTION("""COMPUTED_VALUE"""),45858.645277777774)</f>
        <v>45858.64528</v>
      </c>
      <c r="B796" s="2" t="str">
        <f>IFERROR(__xludf.DUMMYFUNCTION("""COMPUTED_VALUE"""),"July")</f>
        <v>July</v>
      </c>
      <c r="C796" s="3">
        <f>IFERROR(__xludf.DUMMYFUNCTION("""COMPUTED_VALUE"""),246030.0)</f>
        <v>246030</v>
      </c>
      <c r="D796" s="2" t="str">
        <f>IFERROR(__xludf.DUMMYFUNCTION("""COMPUTED_VALUE"""),"DG10")</f>
        <v>DG10</v>
      </c>
      <c r="E796" s="2" t="str">
        <f>IFERROR(__xludf.DUMMYFUNCTION("""COMPUTED_VALUE"""),"DigiZag")</f>
        <v>DigiZag</v>
      </c>
      <c r="F796" s="2" t="str">
        <f>IFERROR(__xludf.DUMMYFUNCTION("""COMPUTED_VALUE"""),"KKC290597")</f>
        <v>KKC290597</v>
      </c>
      <c r="G796" s="2" t="str">
        <f>IFERROR(__xludf.DUMMYFUNCTION("""COMPUTED_VALUE"""),"UAE")</f>
        <v>UAE</v>
      </c>
      <c r="H796" s="4">
        <f>IFERROR(__xludf.DUMMYFUNCTION("""COMPUTED_VALUE"""),194.7)</f>
        <v>194.7</v>
      </c>
      <c r="I796" s="3">
        <f>IFERROR(__xludf.DUMMYFUNCTION("""COMPUTED_VALUE"""),0.0)</f>
        <v>0</v>
      </c>
      <c r="J796" s="4">
        <f>IFERROR(__xludf.DUMMYFUNCTION("""COMPUTED_VALUE"""),19.47)</f>
        <v>19.47</v>
      </c>
      <c r="K796" s="2"/>
      <c r="L796" s="2" t="str">
        <f>IFERROR(__xludf.DUMMYFUNCTION("""COMPUTED_VALUE"""),"Delivered")</f>
        <v>Delivered</v>
      </c>
      <c r="M796" s="2" t="str">
        <f>IFERROR(__xludf.DUMMYFUNCTION("""COMPUTED_VALUE"""),"")</f>
        <v></v>
      </c>
      <c r="N796" s="2" t="str">
        <f>IFERROR(__xludf.DUMMYFUNCTION("""COMPUTED_VALUE"""),"Credit, Debit , Apple Pay")</f>
        <v>Credit, Debit , Apple Pay</v>
      </c>
      <c r="O796" s="4">
        <f>IFERROR(__xludf.DUMMYFUNCTION("""COMPUTED_VALUE"""),0.0)</f>
        <v>0</v>
      </c>
      <c r="P796" s="2">
        <f>IFERROR(__xludf.DUMMYFUNCTION("""COMPUTED_VALUE"""),20.0)</f>
        <v>20</v>
      </c>
      <c r="Q796" s="2">
        <f>IFERROR(__xludf.DUMMYFUNCTION("""COMPUTED_VALUE"""),7.0)</f>
        <v>7</v>
      </c>
      <c r="R796" s="2">
        <f>IFERROR(__xludf.DUMMYFUNCTION("""COMPUTED_VALUE"""),2025.0)</f>
        <v>2025</v>
      </c>
      <c r="S796" s="2" t="str">
        <f>IFERROR(__xludf.DUMMYFUNCTION("""COMPUTED_VALUE"""),"Digizag")</f>
        <v>Digizag</v>
      </c>
      <c r="T796" s="2" t="str">
        <f>IFERROR(__xludf.DUMMYFUNCTION("""COMPUTED_VALUE"""),"Digizag")</f>
        <v>Digizag</v>
      </c>
      <c r="U796" s="5">
        <f>IFERROR(__xludf.DUMMYFUNCTION("""COMPUTED_VALUE"""),53.01565698659999)</f>
        <v>53.01565699</v>
      </c>
      <c r="V796" s="2"/>
      <c r="W796" s="2"/>
      <c r="X796" s="2"/>
      <c r="Y796" s="2"/>
      <c r="Z796" s="2"/>
    </row>
    <row r="797">
      <c r="A797" s="6">
        <f>IFERROR(__xludf.DUMMYFUNCTION("""COMPUTED_VALUE"""),45858.655335648145)</f>
        <v>45858.65534</v>
      </c>
      <c r="B797" s="2" t="str">
        <f>IFERROR(__xludf.DUMMYFUNCTION("""COMPUTED_VALUE"""),"July")</f>
        <v>July</v>
      </c>
      <c r="C797" s="3">
        <f>IFERROR(__xludf.DUMMYFUNCTION("""COMPUTED_VALUE"""),71155.0)</f>
        <v>71155</v>
      </c>
      <c r="D797" s="2" t="str">
        <f>IFERROR(__xludf.DUMMYFUNCTION("""COMPUTED_VALUE"""),"ZM22")</f>
        <v>ZM22</v>
      </c>
      <c r="E797" s="2" t="str">
        <f>IFERROR(__xludf.DUMMYFUNCTION("""COMPUTED_VALUE"""),"Imported from file Digizag.xlsx")</f>
        <v>Imported from file Digizag.xlsx</v>
      </c>
      <c r="F797" s="2" t="str">
        <f>IFERROR(__xludf.DUMMYFUNCTION("""COMPUTED_VALUE"""),"XXP201433")</f>
        <v>XXP201433</v>
      </c>
      <c r="G797" s="2" t="str">
        <f>IFERROR(__xludf.DUMMYFUNCTION("""COMPUTED_VALUE"""),"UAE")</f>
        <v>UAE</v>
      </c>
      <c r="H797" s="4">
        <f>IFERROR(__xludf.DUMMYFUNCTION("""COMPUTED_VALUE"""),56.0)</f>
        <v>56</v>
      </c>
      <c r="I797" s="3">
        <f>IFERROR(__xludf.DUMMYFUNCTION("""COMPUTED_VALUE"""),0.0)</f>
        <v>0</v>
      </c>
      <c r="J797" s="4">
        <f>IFERROR(__xludf.DUMMYFUNCTION("""COMPUTED_VALUE"""),5.6)</f>
        <v>5.6</v>
      </c>
      <c r="K797" s="2"/>
      <c r="L797" s="2" t="str">
        <f>IFERROR(__xludf.DUMMYFUNCTION("""COMPUTED_VALUE"""),"Delivered")</f>
        <v>Delivered</v>
      </c>
      <c r="M797" s="2" t="str">
        <f>IFERROR(__xludf.DUMMYFUNCTION("""COMPUTED_VALUE"""),"")</f>
        <v></v>
      </c>
      <c r="N797" s="2" t="str">
        <f>IFERROR(__xludf.DUMMYFUNCTION("""COMPUTED_VALUE"""),"Credit, Debit , Apple Pay")</f>
        <v>Credit, Debit , Apple Pay</v>
      </c>
      <c r="O797" s="4">
        <f>IFERROR(__xludf.DUMMYFUNCTION("""COMPUTED_VALUE"""),0.0)</f>
        <v>0</v>
      </c>
      <c r="P797" s="2">
        <f>IFERROR(__xludf.DUMMYFUNCTION("""COMPUTED_VALUE"""),20.0)</f>
        <v>20</v>
      </c>
      <c r="Q797" s="2">
        <f>IFERROR(__xludf.DUMMYFUNCTION("""COMPUTED_VALUE"""),7.0)</f>
        <v>7</v>
      </c>
      <c r="R797" s="2">
        <f>IFERROR(__xludf.DUMMYFUNCTION("""COMPUTED_VALUE"""),2025.0)</f>
        <v>2025</v>
      </c>
      <c r="S797" s="2" t="str">
        <f>IFERROR(__xludf.DUMMYFUNCTION("""COMPUTED_VALUE"""),"Digizag")</f>
        <v>Digizag</v>
      </c>
      <c r="T797" s="2" t="str">
        <f>IFERROR(__xludf.DUMMYFUNCTION("""COMPUTED_VALUE"""),"Digizag")</f>
        <v>Digizag</v>
      </c>
      <c r="U797" s="5">
        <f>IFERROR(__xludf.DUMMYFUNCTION("""COMPUTED_VALUE"""),15.248468368)</f>
        <v>15.24846837</v>
      </c>
      <c r="V797" s="2"/>
      <c r="W797" s="2"/>
      <c r="X797" s="2"/>
      <c r="Y797" s="2"/>
      <c r="Z797" s="2"/>
    </row>
    <row r="798">
      <c r="A798" s="6">
        <f>IFERROR(__xludf.DUMMYFUNCTION("""COMPUTED_VALUE"""),45858.78052083333)</f>
        <v>45858.78052</v>
      </c>
      <c r="B798" s="2" t="str">
        <f>IFERROR(__xludf.DUMMYFUNCTION("""COMPUTED_VALUE"""),"July")</f>
        <v>July</v>
      </c>
      <c r="C798" s="3">
        <f>IFERROR(__xludf.DUMMYFUNCTION("""COMPUTED_VALUE"""),774532.0)</f>
        <v>774532</v>
      </c>
      <c r="D798" s="2" t="str">
        <f>IFERROR(__xludf.DUMMYFUNCTION("""COMPUTED_VALUE"""),"MNN27")</f>
        <v>MNN27</v>
      </c>
      <c r="E798" s="2" t="str">
        <f>IFERROR(__xludf.DUMMYFUNCTION("""COMPUTED_VALUE"""),"Imported from file DigiZag Codes 25Feb25.xlsx")</f>
        <v>Imported from file DigiZag Codes 25Feb25.xlsx</v>
      </c>
      <c r="F798" s="2" t="str">
        <f>IFERROR(__xludf.DUMMYFUNCTION("""COMPUTED_VALUE"""),"VTD253251")</f>
        <v>VTD253251</v>
      </c>
      <c r="G798" s="2" t="str">
        <f>IFERROR(__xludf.DUMMYFUNCTION("""COMPUTED_VALUE"""),"UAE")</f>
        <v>UAE</v>
      </c>
      <c r="H798" s="4">
        <f>IFERROR(__xludf.DUMMYFUNCTION("""COMPUTED_VALUE"""),172.0)</f>
        <v>172</v>
      </c>
      <c r="I798" s="3">
        <f>IFERROR(__xludf.DUMMYFUNCTION("""COMPUTED_VALUE"""),0.0)</f>
        <v>0</v>
      </c>
      <c r="J798" s="4">
        <f>IFERROR(__xludf.DUMMYFUNCTION("""COMPUTED_VALUE"""),17.2)</f>
        <v>17.2</v>
      </c>
      <c r="K798" s="2"/>
      <c r="L798" s="2" t="str">
        <f>IFERROR(__xludf.DUMMYFUNCTION("""COMPUTED_VALUE"""),"Delivered")</f>
        <v>Delivered</v>
      </c>
      <c r="M798" s="2" t="str">
        <f>IFERROR(__xludf.DUMMYFUNCTION("""COMPUTED_VALUE"""),"")</f>
        <v></v>
      </c>
      <c r="N798" s="2" t="str">
        <f>IFERROR(__xludf.DUMMYFUNCTION("""COMPUTED_VALUE"""),"Credit, Debit , Apple Pay")</f>
        <v>Credit, Debit , Apple Pay</v>
      </c>
      <c r="O798" s="4">
        <f>IFERROR(__xludf.DUMMYFUNCTION("""COMPUTED_VALUE"""),0.0)</f>
        <v>0</v>
      </c>
      <c r="P798" s="2">
        <f>IFERROR(__xludf.DUMMYFUNCTION("""COMPUTED_VALUE"""),20.0)</f>
        <v>20</v>
      </c>
      <c r="Q798" s="2">
        <f>IFERROR(__xludf.DUMMYFUNCTION("""COMPUTED_VALUE"""),7.0)</f>
        <v>7</v>
      </c>
      <c r="R798" s="2">
        <f>IFERROR(__xludf.DUMMYFUNCTION("""COMPUTED_VALUE"""),2025.0)</f>
        <v>2025</v>
      </c>
      <c r="S798" s="2" t="str">
        <f>IFERROR(__xludf.DUMMYFUNCTION("""COMPUTED_VALUE"""),"Digizag")</f>
        <v>Digizag</v>
      </c>
      <c r="T798" s="2" t="str">
        <f>IFERROR(__xludf.DUMMYFUNCTION("""COMPUTED_VALUE"""),"Digizag")</f>
        <v>Digizag</v>
      </c>
      <c r="U798" s="5">
        <f>IFERROR(__xludf.DUMMYFUNCTION("""COMPUTED_VALUE"""),46.834581416)</f>
        <v>46.83458142</v>
      </c>
      <c r="V798" s="2"/>
      <c r="W798" s="2"/>
      <c r="X798" s="2"/>
      <c r="Y798" s="2"/>
      <c r="Z798" s="2"/>
    </row>
    <row r="799">
      <c r="A799" s="6">
        <f>IFERROR(__xludf.DUMMYFUNCTION("""COMPUTED_VALUE"""),45858.822430555556)</f>
        <v>45858.82243</v>
      </c>
      <c r="B799" s="2" t="str">
        <f>IFERROR(__xludf.DUMMYFUNCTION("""COMPUTED_VALUE"""),"July")</f>
        <v>July</v>
      </c>
      <c r="C799" s="3">
        <f>IFERROR(__xludf.DUMMYFUNCTION("""COMPUTED_VALUE"""),320450.0)</f>
        <v>320450</v>
      </c>
      <c r="D799" s="2" t="str">
        <f>IFERROR(__xludf.DUMMYFUNCTION("""COMPUTED_VALUE"""),"DG10")</f>
        <v>DG10</v>
      </c>
      <c r="E799" s="2" t="str">
        <f>IFERROR(__xludf.DUMMYFUNCTION("""COMPUTED_VALUE"""),"DigiZag")</f>
        <v>DigiZag</v>
      </c>
      <c r="F799" s="2" t="str">
        <f>IFERROR(__xludf.DUMMYFUNCTION("""COMPUTED_VALUE"""),"MGN742630")</f>
        <v>MGN742630</v>
      </c>
      <c r="G799" s="2" t="str">
        <f>IFERROR(__xludf.DUMMYFUNCTION("""COMPUTED_VALUE"""),"Kuwait")</f>
        <v>Kuwait</v>
      </c>
      <c r="H799" s="4">
        <f>IFERROR(__xludf.DUMMYFUNCTION("""COMPUTED_VALUE"""),9.99)</f>
        <v>9.99</v>
      </c>
      <c r="I799" s="3">
        <f>IFERROR(__xludf.DUMMYFUNCTION("""COMPUTED_VALUE"""),0.0)</f>
        <v>0</v>
      </c>
      <c r="J799" s="4">
        <f>IFERROR(__xludf.DUMMYFUNCTION("""COMPUTED_VALUE"""),0.999)</f>
        <v>0.999</v>
      </c>
      <c r="K799" s="2"/>
      <c r="L799" s="2" t="str">
        <f>IFERROR(__xludf.DUMMYFUNCTION("""COMPUTED_VALUE"""),"Delivered")</f>
        <v>Delivered</v>
      </c>
      <c r="M799" s="2" t="str">
        <f>IFERROR(__xludf.DUMMYFUNCTION("""COMPUTED_VALUE"""),"KD")</f>
        <v>KD</v>
      </c>
      <c r="N799" s="2" t="str">
        <f>IFERROR(__xludf.DUMMYFUNCTION("""COMPUTED_VALUE"""),"Credit, Debit, Knet")</f>
        <v>Credit, Debit, Knet</v>
      </c>
      <c r="O799" s="4">
        <f>IFERROR(__xludf.DUMMYFUNCTION("""COMPUTED_VALUE"""),0.0)</f>
        <v>0</v>
      </c>
      <c r="P799" s="2">
        <f>IFERROR(__xludf.DUMMYFUNCTION("""COMPUTED_VALUE"""),20.0)</f>
        <v>20</v>
      </c>
      <c r="Q799" s="2">
        <f>IFERROR(__xludf.DUMMYFUNCTION("""COMPUTED_VALUE"""),7.0)</f>
        <v>7</v>
      </c>
      <c r="R799" s="2">
        <f>IFERROR(__xludf.DUMMYFUNCTION("""COMPUTED_VALUE"""),2025.0)</f>
        <v>2025</v>
      </c>
      <c r="S799" s="2" t="str">
        <f>IFERROR(__xludf.DUMMYFUNCTION("""COMPUTED_VALUE"""),"Digizag")</f>
        <v>Digizag</v>
      </c>
      <c r="T799" s="2" t="str">
        <f>IFERROR(__xludf.DUMMYFUNCTION("""COMPUTED_VALUE"""),"Digizag")</f>
        <v>Digizag</v>
      </c>
      <c r="U799" s="5">
        <f>IFERROR(__xludf.DUMMYFUNCTION("""COMPUTED_VALUE"""),32.5735938)</f>
        <v>32.5735938</v>
      </c>
      <c r="V799" s="2"/>
      <c r="W799" s="2"/>
      <c r="X799" s="2"/>
      <c r="Y799" s="2"/>
      <c r="Z799" s="2"/>
    </row>
    <row r="800">
      <c r="A800" s="6">
        <f>IFERROR(__xludf.DUMMYFUNCTION("""COMPUTED_VALUE"""),45858.86984953703)</f>
        <v>45858.86985</v>
      </c>
      <c r="B800" s="2" t="str">
        <f>IFERROR(__xludf.DUMMYFUNCTION("""COMPUTED_VALUE"""),"July")</f>
        <v>July</v>
      </c>
      <c r="C800" s="3">
        <f>IFERROR(__xludf.DUMMYFUNCTION("""COMPUTED_VALUE"""),774568.0)</f>
        <v>774568</v>
      </c>
      <c r="D800" s="2" t="str">
        <f>IFERROR(__xludf.DUMMYFUNCTION("""COMPUTED_VALUE"""),"RR22")</f>
        <v>RR22</v>
      </c>
      <c r="E800" s="2" t="str">
        <f>IFERROR(__xludf.DUMMYFUNCTION("""COMPUTED_VALUE"""),"Imported from file Digizag.xlsx")</f>
        <v>Imported from file Digizag.xlsx</v>
      </c>
      <c r="F800" s="2" t="str">
        <f>IFERROR(__xludf.DUMMYFUNCTION("""COMPUTED_VALUE"""),"YVS291053")</f>
        <v>YVS291053</v>
      </c>
      <c r="G800" s="2" t="str">
        <f>IFERROR(__xludf.DUMMYFUNCTION("""COMPUTED_VALUE"""),"UAE")</f>
        <v>UAE</v>
      </c>
      <c r="H800" s="4">
        <f>IFERROR(__xludf.DUMMYFUNCTION("""COMPUTED_VALUE"""),159.0)</f>
        <v>159</v>
      </c>
      <c r="I800" s="3">
        <f>IFERROR(__xludf.DUMMYFUNCTION("""COMPUTED_VALUE"""),0.0)</f>
        <v>0</v>
      </c>
      <c r="J800" s="4">
        <f>IFERROR(__xludf.DUMMYFUNCTION("""COMPUTED_VALUE"""),15.9)</f>
        <v>15.9</v>
      </c>
      <c r="K800" s="2"/>
      <c r="L800" s="2" t="str">
        <f>IFERROR(__xludf.DUMMYFUNCTION("""COMPUTED_VALUE"""),"Delivered")</f>
        <v>Delivered</v>
      </c>
      <c r="M800" s="2" t="str">
        <f>IFERROR(__xludf.DUMMYFUNCTION("""COMPUTED_VALUE"""),"")</f>
        <v></v>
      </c>
      <c r="N800" s="2" t="str">
        <f>IFERROR(__xludf.DUMMYFUNCTION("""COMPUTED_VALUE"""),"Credit, Debit , Apple Pay")</f>
        <v>Credit, Debit , Apple Pay</v>
      </c>
      <c r="O800" s="4">
        <f>IFERROR(__xludf.DUMMYFUNCTION("""COMPUTED_VALUE"""),0.0)</f>
        <v>0</v>
      </c>
      <c r="P800" s="2">
        <f>IFERROR(__xludf.DUMMYFUNCTION("""COMPUTED_VALUE"""),20.0)</f>
        <v>20</v>
      </c>
      <c r="Q800" s="2">
        <f>IFERROR(__xludf.DUMMYFUNCTION("""COMPUTED_VALUE"""),7.0)</f>
        <v>7</v>
      </c>
      <c r="R800" s="2">
        <f>IFERROR(__xludf.DUMMYFUNCTION("""COMPUTED_VALUE"""),2025.0)</f>
        <v>2025</v>
      </c>
      <c r="S800" s="2" t="str">
        <f>IFERROR(__xludf.DUMMYFUNCTION("""COMPUTED_VALUE"""),"Digizag")</f>
        <v>Digizag</v>
      </c>
      <c r="T800" s="2" t="str">
        <f>IFERROR(__xludf.DUMMYFUNCTION("""COMPUTED_VALUE"""),"Digizag")</f>
        <v>Digizag</v>
      </c>
      <c r="U800" s="5">
        <f>IFERROR(__xludf.DUMMYFUNCTION("""COMPUTED_VALUE"""),43.294758402)</f>
        <v>43.2947584</v>
      </c>
      <c r="V800" s="2"/>
      <c r="W800" s="2"/>
      <c r="X800" s="2"/>
      <c r="Y800" s="2"/>
      <c r="Z800" s="2"/>
    </row>
    <row r="801">
      <c r="A801" s="6">
        <f>IFERROR(__xludf.DUMMYFUNCTION("""COMPUTED_VALUE"""),45859.13517361111)</f>
        <v>45859.13517</v>
      </c>
      <c r="B801" s="2" t="str">
        <f>IFERROR(__xludf.DUMMYFUNCTION("""COMPUTED_VALUE"""),"July")</f>
        <v>July</v>
      </c>
      <c r="C801" s="3">
        <f>IFERROR(__xludf.DUMMYFUNCTION("""COMPUTED_VALUE"""),34560.0)</f>
        <v>34560</v>
      </c>
      <c r="D801" s="2" t="str">
        <f>IFERROR(__xludf.DUMMYFUNCTION("""COMPUTED_VALUE"""),"ZM22")</f>
        <v>ZM22</v>
      </c>
      <c r="E801" s="2" t="str">
        <f>IFERROR(__xludf.DUMMYFUNCTION("""COMPUTED_VALUE"""),"Imported from file Digizag.xlsx")</f>
        <v>Imported from file Digizag.xlsx</v>
      </c>
      <c r="F801" s="2" t="str">
        <f>IFERROR(__xludf.DUMMYFUNCTION("""COMPUTED_VALUE"""),"JBJ213105")</f>
        <v>JBJ213105</v>
      </c>
      <c r="G801" s="2" t="str">
        <f>IFERROR(__xludf.DUMMYFUNCTION("""COMPUTED_VALUE"""),"UAE")</f>
        <v>UAE</v>
      </c>
      <c r="H801" s="4">
        <f>IFERROR(__xludf.DUMMYFUNCTION("""COMPUTED_VALUE"""),89.0)</f>
        <v>89</v>
      </c>
      <c r="I801" s="3">
        <f>IFERROR(__xludf.DUMMYFUNCTION("""COMPUTED_VALUE"""),0.0)</f>
        <v>0</v>
      </c>
      <c r="J801" s="4">
        <f>IFERROR(__xludf.DUMMYFUNCTION("""COMPUTED_VALUE"""),8.9)</f>
        <v>8.9</v>
      </c>
      <c r="K801" s="2"/>
      <c r="L801" s="2" t="str">
        <f>IFERROR(__xludf.DUMMYFUNCTION("""COMPUTED_VALUE"""),"Delivered")</f>
        <v>Delivered</v>
      </c>
      <c r="M801" s="2" t="str">
        <f>IFERROR(__xludf.DUMMYFUNCTION("""COMPUTED_VALUE"""),"")</f>
        <v></v>
      </c>
      <c r="N801" s="2" t="str">
        <f>IFERROR(__xludf.DUMMYFUNCTION("""COMPUTED_VALUE"""),"Credit, Debit , Apple Pay")</f>
        <v>Credit, Debit , Apple Pay</v>
      </c>
      <c r="O801" s="4">
        <f>IFERROR(__xludf.DUMMYFUNCTION("""COMPUTED_VALUE"""),0.0)</f>
        <v>0</v>
      </c>
      <c r="P801" s="2">
        <f>IFERROR(__xludf.DUMMYFUNCTION("""COMPUTED_VALUE"""),21.0)</f>
        <v>21</v>
      </c>
      <c r="Q801" s="2">
        <f>IFERROR(__xludf.DUMMYFUNCTION("""COMPUTED_VALUE"""),7.0)</f>
        <v>7</v>
      </c>
      <c r="R801" s="2">
        <f>IFERROR(__xludf.DUMMYFUNCTION("""COMPUTED_VALUE"""),2025.0)</f>
        <v>2025</v>
      </c>
      <c r="S801" s="2" t="str">
        <f>IFERROR(__xludf.DUMMYFUNCTION("""COMPUTED_VALUE"""),"Digizag")</f>
        <v>Digizag</v>
      </c>
      <c r="T801" s="2" t="str">
        <f>IFERROR(__xludf.DUMMYFUNCTION("""COMPUTED_VALUE"""),"Digizag")</f>
        <v>Digizag</v>
      </c>
      <c r="U801" s="5">
        <f>IFERROR(__xludf.DUMMYFUNCTION("""COMPUTED_VALUE"""),24.234172942)</f>
        <v>24.23417294</v>
      </c>
      <c r="V801" s="2"/>
      <c r="W801" s="2"/>
      <c r="X801" s="2"/>
      <c r="Y801" s="2"/>
      <c r="Z801" s="2"/>
    </row>
    <row r="802">
      <c r="A802" s="6">
        <f>IFERROR(__xludf.DUMMYFUNCTION("""COMPUTED_VALUE"""),45859.45413194444)</f>
        <v>45859.45413</v>
      </c>
      <c r="B802" s="2" t="str">
        <f>IFERROR(__xludf.DUMMYFUNCTION("""COMPUTED_VALUE"""),"July")</f>
        <v>July</v>
      </c>
      <c r="C802" s="3">
        <f>IFERROR(__xludf.DUMMYFUNCTION("""COMPUTED_VALUE"""),657577.0)</f>
        <v>657577</v>
      </c>
      <c r="D802" s="2" t="str">
        <f>IFERROR(__xludf.DUMMYFUNCTION("""COMPUTED_VALUE"""),"MNN27")</f>
        <v>MNN27</v>
      </c>
      <c r="E802" s="2" t="str">
        <f>IFERROR(__xludf.DUMMYFUNCTION("""COMPUTED_VALUE"""),"Imported from file DigiZag Codes 25Feb25.xlsx")</f>
        <v>Imported from file DigiZag Codes 25Feb25.xlsx</v>
      </c>
      <c r="F802" s="2" t="str">
        <f>IFERROR(__xludf.DUMMYFUNCTION("""COMPUTED_VALUE"""),"TJT363994")</f>
        <v>TJT363994</v>
      </c>
      <c r="G802" s="2" t="str">
        <f>IFERROR(__xludf.DUMMYFUNCTION("""COMPUTED_VALUE"""),"UAE")</f>
        <v>UAE</v>
      </c>
      <c r="H802" s="4">
        <f>IFERROR(__xludf.DUMMYFUNCTION("""COMPUTED_VALUE"""),113.0)</f>
        <v>113</v>
      </c>
      <c r="I802" s="3">
        <f>IFERROR(__xludf.DUMMYFUNCTION("""COMPUTED_VALUE"""),0.0)</f>
        <v>0</v>
      </c>
      <c r="J802" s="4">
        <f>IFERROR(__xludf.DUMMYFUNCTION("""COMPUTED_VALUE"""),11.3)</f>
        <v>11.3</v>
      </c>
      <c r="K802" s="2"/>
      <c r="L802" s="2" t="str">
        <f>IFERROR(__xludf.DUMMYFUNCTION("""COMPUTED_VALUE"""),"Delivered")</f>
        <v>Delivered</v>
      </c>
      <c r="M802" s="2" t="str">
        <f>IFERROR(__xludf.DUMMYFUNCTION("""COMPUTED_VALUE"""),"")</f>
        <v></v>
      </c>
      <c r="N802" s="2" t="str">
        <f>IFERROR(__xludf.DUMMYFUNCTION("""COMPUTED_VALUE"""),"Cash")</f>
        <v>Cash</v>
      </c>
      <c r="O802" s="4">
        <f>IFERROR(__xludf.DUMMYFUNCTION("""COMPUTED_VALUE"""),0.0)</f>
        <v>0</v>
      </c>
      <c r="P802" s="2">
        <f>IFERROR(__xludf.DUMMYFUNCTION("""COMPUTED_VALUE"""),21.0)</f>
        <v>21</v>
      </c>
      <c r="Q802" s="2">
        <f>IFERROR(__xludf.DUMMYFUNCTION("""COMPUTED_VALUE"""),7.0)</f>
        <v>7</v>
      </c>
      <c r="R802" s="2">
        <f>IFERROR(__xludf.DUMMYFUNCTION("""COMPUTED_VALUE"""),2025.0)</f>
        <v>2025</v>
      </c>
      <c r="S802" s="2" t="str">
        <f>IFERROR(__xludf.DUMMYFUNCTION("""COMPUTED_VALUE"""),"Digizag")</f>
        <v>Digizag</v>
      </c>
      <c r="T802" s="2" t="str">
        <f>IFERROR(__xludf.DUMMYFUNCTION("""COMPUTED_VALUE"""),"Digizag")</f>
        <v>Digizag</v>
      </c>
      <c r="U802" s="5">
        <f>IFERROR(__xludf.DUMMYFUNCTION("""COMPUTED_VALUE"""),30.769230814)</f>
        <v>30.76923081</v>
      </c>
      <c r="V802" s="2"/>
      <c r="W802" s="2"/>
      <c r="X802" s="2"/>
      <c r="Y802" s="2"/>
      <c r="Z802" s="2"/>
    </row>
    <row r="803">
      <c r="A803" s="6">
        <f>IFERROR(__xludf.DUMMYFUNCTION("""COMPUTED_VALUE"""),45859.50320601852)</f>
        <v>45859.50321</v>
      </c>
      <c r="B803" s="2" t="str">
        <f>IFERROR(__xludf.DUMMYFUNCTION("""COMPUTED_VALUE"""),"July")</f>
        <v>July</v>
      </c>
      <c r="C803" s="3">
        <f>IFERROR(__xludf.DUMMYFUNCTION("""COMPUTED_VALUE"""),761967.0)</f>
        <v>761967</v>
      </c>
      <c r="D803" s="2" t="str">
        <f>IFERROR(__xludf.DUMMYFUNCTION("""COMPUTED_VALUE"""),"MNN27")</f>
        <v>MNN27</v>
      </c>
      <c r="E803" s="2" t="str">
        <f>IFERROR(__xludf.DUMMYFUNCTION("""COMPUTED_VALUE"""),"Imported from file DigiZag Bidding Codes.xlsx")</f>
        <v>Imported from file DigiZag Bidding Codes.xlsx</v>
      </c>
      <c r="F803" s="2" t="str">
        <f>IFERROR(__xludf.DUMMYFUNCTION("""COMPUTED_VALUE"""),"KDM172477")</f>
        <v>KDM172477</v>
      </c>
      <c r="G803" s="2" t="str">
        <f>IFERROR(__xludf.DUMMYFUNCTION("""COMPUTED_VALUE"""),"Kingdom of Saudi Arabia")</f>
        <v>Kingdom of Saudi Arabia</v>
      </c>
      <c r="H803" s="4">
        <f>IFERROR(__xludf.DUMMYFUNCTION("""COMPUTED_VALUE"""),140.0)</f>
        <v>140</v>
      </c>
      <c r="I803" s="3">
        <f>IFERROR(__xludf.DUMMYFUNCTION("""COMPUTED_VALUE"""),0.0)</f>
        <v>0</v>
      </c>
      <c r="J803" s="4">
        <f>IFERROR(__xludf.DUMMYFUNCTION("""COMPUTED_VALUE"""),30.0)</f>
        <v>30</v>
      </c>
      <c r="K803" s="2"/>
      <c r="L803" s="2" t="str">
        <f>IFERROR(__xludf.DUMMYFUNCTION("""COMPUTED_VALUE"""),"Delivered")</f>
        <v>Delivered</v>
      </c>
      <c r="M803" s="2" t="str">
        <f>IFERROR(__xludf.DUMMYFUNCTION("""COMPUTED_VALUE"""),"")</f>
        <v></v>
      </c>
      <c r="N803" s="2" t="str">
        <f>IFERROR(__xludf.DUMMYFUNCTION("""COMPUTED_VALUE"""),"Credit, Debit, Apple Pay")</f>
        <v>Credit, Debit, Apple Pay</v>
      </c>
      <c r="O803" s="4">
        <f>IFERROR(__xludf.DUMMYFUNCTION("""COMPUTED_VALUE"""),0.0)</f>
        <v>0</v>
      </c>
      <c r="P803" s="2">
        <f>IFERROR(__xludf.DUMMYFUNCTION("""COMPUTED_VALUE"""),21.0)</f>
        <v>21</v>
      </c>
      <c r="Q803" s="2">
        <f>IFERROR(__xludf.DUMMYFUNCTION("""COMPUTED_VALUE"""),7.0)</f>
        <v>7</v>
      </c>
      <c r="R803" s="2">
        <f>IFERROR(__xludf.DUMMYFUNCTION("""COMPUTED_VALUE"""),2025.0)</f>
        <v>2025</v>
      </c>
      <c r="S803" s="2" t="str">
        <f>IFERROR(__xludf.DUMMYFUNCTION("""COMPUTED_VALUE"""),"Digizag")</f>
        <v>Digizag</v>
      </c>
      <c r="T803" s="2" t="str">
        <f>IFERROR(__xludf.DUMMYFUNCTION("""COMPUTED_VALUE"""),"Digizag")</f>
        <v>Digizag</v>
      </c>
      <c r="U803" s="5">
        <f>IFERROR(__xludf.DUMMYFUNCTION("""COMPUTED_VALUE"""),37.33044644)</f>
        <v>37.33044644</v>
      </c>
      <c r="V803" s="2"/>
      <c r="W803" s="2"/>
      <c r="X803" s="2"/>
      <c r="Y803" s="2"/>
      <c r="Z803" s="2"/>
    </row>
    <row r="804">
      <c r="A804" s="6">
        <f>IFERROR(__xludf.DUMMYFUNCTION("""COMPUTED_VALUE"""),45859.61821759259)</f>
        <v>45859.61822</v>
      </c>
      <c r="B804" s="2" t="str">
        <f>IFERROR(__xludf.DUMMYFUNCTION("""COMPUTED_VALUE"""),"July")</f>
        <v>July</v>
      </c>
      <c r="C804" s="3">
        <f>IFERROR(__xludf.DUMMYFUNCTION("""COMPUTED_VALUE"""),437549.0)</f>
        <v>437549</v>
      </c>
      <c r="D804" s="2" t="str">
        <f>IFERROR(__xludf.DUMMYFUNCTION("""COMPUTED_VALUE"""),"MNN27")</f>
        <v>MNN27</v>
      </c>
      <c r="E804" s="2" t="str">
        <f>IFERROR(__xludf.DUMMYFUNCTION("""COMPUTED_VALUE"""),"Imported from file DigiZag Bidding Codes.xlsx")</f>
        <v>Imported from file DigiZag Bidding Codes.xlsx</v>
      </c>
      <c r="F804" s="2" t="str">
        <f>IFERROR(__xludf.DUMMYFUNCTION("""COMPUTED_VALUE"""),"RBL668514")</f>
        <v>RBL668514</v>
      </c>
      <c r="G804" s="2" t="str">
        <f>IFERROR(__xludf.DUMMYFUNCTION("""COMPUTED_VALUE"""),"Kingdom of Saudi Arabia")</f>
        <v>Kingdom of Saudi Arabia</v>
      </c>
      <c r="H804" s="4">
        <f>IFERROR(__xludf.DUMMYFUNCTION("""COMPUTED_VALUE"""),60.0)</f>
        <v>60</v>
      </c>
      <c r="I804" s="3">
        <f>IFERROR(__xludf.DUMMYFUNCTION("""COMPUTED_VALUE"""),0.0)</f>
        <v>0</v>
      </c>
      <c r="J804" s="4">
        <f>IFERROR(__xludf.DUMMYFUNCTION("""COMPUTED_VALUE"""),15.0)</f>
        <v>15</v>
      </c>
      <c r="K804" s="2"/>
      <c r="L804" s="2" t="str">
        <f>IFERROR(__xludf.DUMMYFUNCTION("""COMPUTED_VALUE"""),"Delivered")</f>
        <v>Delivered</v>
      </c>
      <c r="M804" s="2" t="str">
        <f>IFERROR(__xludf.DUMMYFUNCTION("""COMPUTED_VALUE"""),"")</f>
        <v></v>
      </c>
      <c r="N804" s="2" t="str">
        <f>IFERROR(__xludf.DUMMYFUNCTION("""COMPUTED_VALUE"""),"Cash")</f>
        <v>Cash</v>
      </c>
      <c r="O804" s="4">
        <f>IFERROR(__xludf.DUMMYFUNCTION("""COMPUTED_VALUE"""),0.0)</f>
        <v>0</v>
      </c>
      <c r="P804" s="2">
        <f>IFERROR(__xludf.DUMMYFUNCTION("""COMPUTED_VALUE"""),21.0)</f>
        <v>21</v>
      </c>
      <c r="Q804" s="2">
        <f>IFERROR(__xludf.DUMMYFUNCTION("""COMPUTED_VALUE"""),7.0)</f>
        <v>7</v>
      </c>
      <c r="R804" s="2">
        <f>IFERROR(__xludf.DUMMYFUNCTION("""COMPUTED_VALUE"""),2025.0)</f>
        <v>2025</v>
      </c>
      <c r="S804" s="2" t="str">
        <f>IFERROR(__xludf.DUMMYFUNCTION("""COMPUTED_VALUE"""),"Digizag")</f>
        <v>Digizag</v>
      </c>
      <c r="T804" s="2" t="str">
        <f>IFERROR(__xludf.DUMMYFUNCTION("""COMPUTED_VALUE"""),"Digizag")</f>
        <v>Digizag</v>
      </c>
      <c r="U804" s="5">
        <f>IFERROR(__xludf.DUMMYFUNCTION("""COMPUTED_VALUE"""),15.998762760000002)</f>
        <v>15.99876276</v>
      </c>
      <c r="V804" s="2"/>
      <c r="W804" s="2"/>
      <c r="X804" s="2"/>
      <c r="Y804" s="2"/>
      <c r="Z804" s="2"/>
    </row>
    <row r="805">
      <c r="A805" s="6">
        <f>IFERROR(__xludf.DUMMYFUNCTION("""COMPUTED_VALUE"""),45859.63385416666)</f>
        <v>45859.63385</v>
      </c>
      <c r="B805" s="2" t="str">
        <f>IFERROR(__xludf.DUMMYFUNCTION("""COMPUTED_VALUE"""),"July")</f>
        <v>July</v>
      </c>
      <c r="C805" s="3">
        <f>IFERROR(__xludf.DUMMYFUNCTION("""COMPUTED_VALUE"""),767087.0)</f>
        <v>767087</v>
      </c>
      <c r="D805" s="2" t="str">
        <f>IFERROR(__xludf.DUMMYFUNCTION("""COMPUTED_VALUE"""),"DB3")</f>
        <v>DB3</v>
      </c>
      <c r="E805" s="2" t="str">
        <f>IFERROR(__xludf.DUMMYFUNCTION("""COMPUTED_VALUE"""),"Imported from file Digizag.xlsx")</f>
        <v>Imported from file Digizag.xlsx</v>
      </c>
      <c r="F805" s="2" t="str">
        <f>IFERROR(__xludf.DUMMYFUNCTION("""COMPUTED_VALUE"""),"MHS519808")</f>
        <v>MHS519808</v>
      </c>
      <c r="G805" s="2" t="str">
        <f>IFERROR(__xludf.DUMMYFUNCTION("""COMPUTED_VALUE"""),"UAE")</f>
        <v>UAE</v>
      </c>
      <c r="H805" s="4">
        <f>IFERROR(__xludf.DUMMYFUNCTION("""COMPUTED_VALUE"""),187.1)</f>
        <v>187.1</v>
      </c>
      <c r="I805" s="3">
        <f>IFERROR(__xludf.DUMMYFUNCTION("""COMPUTED_VALUE"""),0.0)</f>
        <v>0</v>
      </c>
      <c r="J805" s="4">
        <f>IFERROR(__xludf.DUMMYFUNCTION("""COMPUTED_VALUE"""),18.71)</f>
        <v>18.71</v>
      </c>
      <c r="K805" s="2"/>
      <c r="L805" s="2" t="str">
        <f>IFERROR(__xludf.DUMMYFUNCTION("""COMPUTED_VALUE"""),"Delivered")</f>
        <v>Delivered</v>
      </c>
      <c r="M805" s="2" t="str">
        <f>IFERROR(__xludf.DUMMYFUNCTION("""COMPUTED_VALUE"""),"")</f>
        <v></v>
      </c>
      <c r="N805" s="2" t="str">
        <f>IFERROR(__xludf.DUMMYFUNCTION("""COMPUTED_VALUE"""),"Cash")</f>
        <v>Cash</v>
      </c>
      <c r="O805" s="4">
        <f>IFERROR(__xludf.DUMMYFUNCTION("""COMPUTED_VALUE"""),0.0)</f>
        <v>0</v>
      </c>
      <c r="P805" s="2">
        <f>IFERROR(__xludf.DUMMYFUNCTION("""COMPUTED_VALUE"""),21.0)</f>
        <v>21</v>
      </c>
      <c r="Q805" s="2">
        <f>IFERROR(__xludf.DUMMYFUNCTION("""COMPUTED_VALUE"""),7.0)</f>
        <v>7</v>
      </c>
      <c r="R805" s="2">
        <f>IFERROR(__xludf.DUMMYFUNCTION("""COMPUTED_VALUE"""),2025.0)</f>
        <v>2025</v>
      </c>
      <c r="S805" s="2" t="str">
        <f>IFERROR(__xludf.DUMMYFUNCTION("""COMPUTED_VALUE"""),"Digizag")</f>
        <v>Digizag</v>
      </c>
      <c r="T805" s="2" t="str">
        <f>IFERROR(__xludf.DUMMYFUNCTION("""COMPUTED_VALUE"""),"Digizag")</f>
        <v>Digizag</v>
      </c>
      <c r="U805" s="5">
        <f>IFERROR(__xludf.DUMMYFUNCTION("""COMPUTED_VALUE"""),50.946221993799995)</f>
        <v>50.94622199</v>
      </c>
      <c r="V805" s="2"/>
      <c r="W805" s="2"/>
      <c r="X805" s="2"/>
      <c r="Y805" s="2"/>
      <c r="Z805" s="2"/>
    </row>
    <row r="806">
      <c r="A806" s="6">
        <f>IFERROR(__xludf.DUMMYFUNCTION("""COMPUTED_VALUE"""),45859.64288194444)</f>
        <v>45859.64288</v>
      </c>
      <c r="B806" s="2" t="str">
        <f>IFERROR(__xludf.DUMMYFUNCTION("""COMPUTED_VALUE"""),"July")</f>
        <v>July</v>
      </c>
      <c r="C806" s="3">
        <f>IFERROR(__xludf.DUMMYFUNCTION("""COMPUTED_VALUE"""),763086.0)</f>
        <v>763086</v>
      </c>
      <c r="D806" s="2" t="str">
        <f>IFERROR(__xludf.DUMMYFUNCTION("""COMPUTED_VALUE"""),"RR22")</f>
        <v>RR22</v>
      </c>
      <c r="E806" s="2" t="str">
        <f>IFERROR(__xludf.DUMMYFUNCTION("""COMPUTED_VALUE"""),"Imported from file Digizag.xlsx")</f>
        <v>Imported from file Digizag.xlsx</v>
      </c>
      <c r="F806" s="2" t="str">
        <f>IFERROR(__xludf.DUMMYFUNCTION("""COMPUTED_VALUE"""),"GVV943225")</f>
        <v>GVV943225</v>
      </c>
      <c r="G806" s="2" t="str">
        <f>IFERROR(__xludf.DUMMYFUNCTION("""COMPUTED_VALUE"""),"UAE")</f>
        <v>UAE</v>
      </c>
      <c r="H806" s="4">
        <f>IFERROR(__xludf.DUMMYFUNCTION("""COMPUTED_VALUE"""),405.0)</f>
        <v>405</v>
      </c>
      <c r="I806" s="3">
        <f>IFERROR(__xludf.DUMMYFUNCTION("""COMPUTED_VALUE"""),0.0)</f>
        <v>0</v>
      </c>
      <c r="J806" s="4">
        <f>IFERROR(__xludf.DUMMYFUNCTION("""COMPUTED_VALUE"""),40.5)</f>
        <v>40.5</v>
      </c>
      <c r="K806" s="2"/>
      <c r="L806" s="2" t="str">
        <f>IFERROR(__xludf.DUMMYFUNCTION("""COMPUTED_VALUE"""),"Delivered")</f>
        <v>Delivered</v>
      </c>
      <c r="M806" s="2" t="str">
        <f>IFERROR(__xludf.DUMMYFUNCTION("""COMPUTED_VALUE"""),"")</f>
        <v></v>
      </c>
      <c r="N806" s="2" t="str">
        <f>IFERROR(__xludf.DUMMYFUNCTION("""COMPUTED_VALUE"""),"Credit, Debit , Apple Pay")</f>
        <v>Credit, Debit , Apple Pay</v>
      </c>
      <c r="O806" s="4">
        <f>IFERROR(__xludf.DUMMYFUNCTION("""COMPUTED_VALUE"""),0.0)</f>
        <v>0</v>
      </c>
      <c r="P806" s="2">
        <f>IFERROR(__xludf.DUMMYFUNCTION("""COMPUTED_VALUE"""),21.0)</f>
        <v>21</v>
      </c>
      <c r="Q806" s="2">
        <f>IFERROR(__xludf.DUMMYFUNCTION("""COMPUTED_VALUE"""),7.0)</f>
        <v>7</v>
      </c>
      <c r="R806" s="2">
        <f>IFERROR(__xludf.DUMMYFUNCTION("""COMPUTED_VALUE"""),2025.0)</f>
        <v>2025</v>
      </c>
      <c r="S806" s="2" t="str">
        <f>IFERROR(__xludf.DUMMYFUNCTION("""COMPUTED_VALUE"""),"Digizag")</f>
        <v>Digizag</v>
      </c>
      <c r="T806" s="2" t="str">
        <f>IFERROR(__xludf.DUMMYFUNCTION("""COMPUTED_VALUE"""),"Digizag")</f>
        <v>Digizag</v>
      </c>
      <c r="U806" s="5">
        <f>IFERROR(__xludf.DUMMYFUNCTION("""COMPUTED_VALUE"""),110.27910159)</f>
        <v>110.2791016</v>
      </c>
      <c r="V806" s="2"/>
      <c r="W806" s="2"/>
      <c r="X806" s="2"/>
      <c r="Y806" s="2"/>
      <c r="Z806" s="2"/>
    </row>
    <row r="807">
      <c r="A807" s="6">
        <f>IFERROR(__xludf.DUMMYFUNCTION("""COMPUTED_VALUE"""),45859.65967592593)</f>
        <v>45859.65968</v>
      </c>
      <c r="B807" s="2" t="str">
        <f>IFERROR(__xludf.DUMMYFUNCTION("""COMPUTED_VALUE"""),"July")</f>
        <v>July</v>
      </c>
      <c r="C807" s="3">
        <f>IFERROR(__xludf.DUMMYFUNCTION("""COMPUTED_VALUE"""),85627.0)</f>
        <v>85627</v>
      </c>
      <c r="D807" s="2" t="str">
        <f>IFERROR(__xludf.DUMMYFUNCTION("""COMPUTED_VALUE"""),"ZM22")</f>
        <v>ZM22</v>
      </c>
      <c r="E807" s="2" t="str">
        <f>IFERROR(__xludf.DUMMYFUNCTION("""COMPUTED_VALUE"""),"Imported from file Digizag.xlsx")</f>
        <v>Imported from file Digizag.xlsx</v>
      </c>
      <c r="F807" s="2" t="str">
        <f>IFERROR(__xludf.DUMMYFUNCTION("""COMPUTED_VALUE"""),"RGV383355")</f>
        <v>RGV383355</v>
      </c>
      <c r="G807" s="2" t="str">
        <f>IFERROR(__xludf.DUMMYFUNCTION("""COMPUTED_VALUE"""),"Kuwait")</f>
        <v>Kuwait</v>
      </c>
      <c r="H807" s="4">
        <f>IFERROR(__xludf.DUMMYFUNCTION("""COMPUTED_VALUE"""),14.87)</f>
        <v>14.87</v>
      </c>
      <c r="I807" s="3">
        <f>IFERROR(__xludf.DUMMYFUNCTION("""COMPUTED_VALUE"""),0.0)</f>
        <v>0</v>
      </c>
      <c r="J807" s="4">
        <f>IFERROR(__xludf.DUMMYFUNCTION("""COMPUTED_VALUE"""),1.487)</f>
        <v>1.487</v>
      </c>
      <c r="K807" s="2"/>
      <c r="L807" s="2" t="str">
        <f>IFERROR(__xludf.DUMMYFUNCTION("""COMPUTED_VALUE"""),"Delivered")</f>
        <v>Delivered</v>
      </c>
      <c r="M807" s="2" t="str">
        <f>IFERROR(__xludf.DUMMYFUNCTION("""COMPUTED_VALUE"""),"KD")</f>
        <v>KD</v>
      </c>
      <c r="N807" s="2" t="str">
        <f>IFERROR(__xludf.DUMMYFUNCTION("""COMPUTED_VALUE"""),"Credit, Debit, Knet")</f>
        <v>Credit, Debit, Knet</v>
      </c>
      <c r="O807" s="4">
        <f>IFERROR(__xludf.DUMMYFUNCTION("""COMPUTED_VALUE"""),0.0)</f>
        <v>0</v>
      </c>
      <c r="P807" s="2">
        <f>IFERROR(__xludf.DUMMYFUNCTION("""COMPUTED_VALUE"""),21.0)</f>
        <v>21</v>
      </c>
      <c r="Q807" s="2">
        <f>IFERROR(__xludf.DUMMYFUNCTION("""COMPUTED_VALUE"""),7.0)</f>
        <v>7</v>
      </c>
      <c r="R807" s="2">
        <f>IFERROR(__xludf.DUMMYFUNCTION("""COMPUTED_VALUE"""),2025.0)</f>
        <v>2025</v>
      </c>
      <c r="S807" s="2" t="str">
        <f>IFERROR(__xludf.DUMMYFUNCTION("""COMPUTED_VALUE"""),"Digizag")</f>
        <v>Digizag</v>
      </c>
      <c r="T807" s="2" t="str">
        <f>IFERROR(__xludf.DUMMYFUNCTION("""COMPUTED_VALUE"""),"Digizag")</f>
        <v>Digizag</v>
      </c>
      <c r="U807" s="5">
        <f>IFERROR(__xludf.DUMMYFUNCTION("""COMPUTED_VALUE"""),48.4854194)</f>
        <v>48.4854194</v>
      </c>
      <c r="V807" s="2"/>
      <c r="W807" s="2"/>
      <c r="X807" s="2"/>
      <c r="Y807" s="2"/>
      <c r="Z807" s="2"/>
    </row>
    <row r="808">
      <c r="A808" s="6">
        <f>IFERROR(__xludf.DUMMYFUNCTION("""COMPUTED_VALUE"""),45859.84039351852)</f>
        <v>45859.84039</v>
      </c>
      <c r="B808" s="2" t="str">
        <f>IFERROR(__xludf.DUMMYFUNCTION("""COMPUTED_VALUE"""),"July")</f>
        <v>July</v>
      </c>
      <c r="C808" s="3">
        <f>IFERROR(__xludf.DUMMYFUNCTION("""COMPUTED_VALUE"""),774899.0)</f>
        <v>774899</v>
      </c>
      <c r="D808" s="2" t="str">
        <f>IFERROR(__xludf.DUMMYFUNCTION("""COMPUTED_VALUE"""),"MNN27")</f>
        <v>MNN27</v>
      </c>
      <c r="E808" s="2" t="str">
        <f>IFERROR(__xludf.DUMMYFUNCTION("""COMPUTED_VALUE"""),"Imported from file DigiZag Codes 25Feb25.xlsx")</f>
        <v>Imported from file DigiZag Codes 25Feb25.xlsx</v>
      </c>
      <c r="F808" s="2" t="str">
        <f>IFERROR(__xludf.DUMMYFUNCTION("""COMPUTED_VALUE"""),"JJH905476")</f>
        <v>JJH905476</v>
      </c>
      <c r="G808" s="2" t="str">
        <f>IFERROR(__xludf.DUMMYFUNCTION("""COMPUTED_VALUE"""),"Kuwait")</f>
        <v>Kuwait</v>
      </c>
      <c r="H808" s="4">
        <f>IFERROR(__xludf.DUMMYFUNCTION("""COMPUTED_VALUE"""),16.0)</f>
        <v>16</v>
      </c>
      <c r="I808" s="3">
        <f>IFERROR(__xludf.DUMMYFUNCTION("""COMPUTED_VALUE"""),0.0)</f>
        <v>0</v>
      </c>
      <c r="J808" s="4">
        <f>IFERROR(__xludf.DUMMYFUNCTION("""COMPUTED_VALUE"""),1.6)</f>
        <v>1.6</v>
      </c>
      <c r="K808" s="2"/>
      <c r="L808" s="2" t="str">
        <f>IFERROR(__xludf.DUMMYFUNCTION("""COMPUTED_VALUE"""),"Delivered")</f>
        <v>Delivered</v>
      </c>
      <c r="M808" s="2" t="str">
        <f>IFERROR(__xludf.DUMMYFUNCTION("""COMPUTED_VALUE"""),"KD")</f>
        <v>KD</v>
      </c>
      <c r="N808" s="2" t="str">
        <f>IFERROR(__xludf.DUMMYFUNCTION("""COMPUTED_VALUE"""),"Credit, Debit, Knet")</f>
        <v>Credit, Debit, Knet</v>
      </c>
      <c r="O808" s="4">
        <f>IFERROR(__xludf.DUMMYFUNCTION("""COMPUTED_VALUE"""),0.0)</f>
        <v>0</v>
      </c>
      <c r="P808" s="2">
        <f>IFERROR(__xludf.DUMMYFUNCTION("""COMPUTED_VALUE"""),21.0)</f>
        <v>21</v>
      </c>
      <c r="Q808" s="2">
        <f>IFERROR(__xludf.DUMMYFUNCTION("""COMPUTED_VALUE"""),7.0)</f>
        <v>7</v>
      </c>
      <c r="R808" s="2">
        <f>IFERROR(__xludf.DUMMYFUNCTION("""COMPUTED_VALUE"""),2025.0)</f>
        <v>2025</v>
      </c>
      <c r="S808" s="2" t="str">
        <f>IFERROR(__xludf.DUMMYFUNCTION("""COMPUTED_VALUE"""),"Digizag")</f>
        <v>Digizag</v>
      </c>
      <c r="T808" s="2" t="str">
        <f>IFERROR(__xludf.DUMMYFUNCTION("""COMPUTED_VALUE"""),"Digizag")</f>
        <v>Digizag</v>
      </c>
      <c r="U808" s="5">
        <f>IFERROR(__xludf.DUMMYFUNCTION("""COMPUTED_VALUE"""),52.16992)</f>
        <v>52.16992</v>
      </c>
      <c r="V808" s="2"/>
      <c r="W808" s="2"/>
      <c r="X808" s="2"/>
      <c r="Y808" s="2"/>
      <c r="Z808" s="2"/>
    </row>
    <row r="809">
      <c r="A809" s="6">
        <f>IFERROR(__xludf.DUMMYFUNCTION("""COMPUTED_VALUE"""),45859.86508101851)</f>
        <v>45859.86508</v>
      </c>
      <c r="B809" s="2" t="str">
        <f>IFERROR(__xludf.DUMMYFUNCTION("""COMPUTED_VALUE"""),"July")</f>
        <v>July</v>
      </c>
      <c r="C809" s="3">
        <f>IFERROR(__xludf.DUMMYFUNCTION("""COMPUTED_VALUE"""),764353.0)</f>
        <v>764353</v>
      </c>
      <c r="D809" s="2" t="str">
        <f>IFERROR(__xludf.DUMMYFUNCTION("""COMPUTED_VALUE"""),"DB1")</f>
        <v>DB1</v>
      </c>
      <c r="E809" s="2" t="str">
        <f>IFERROR(__xludf.DUMMYFUNCTION("""COMPUTED_VALUE"""),"Imported from file Digizag.xlsx")</f>
        <v>Imported from file Digizag.xlsx</v>
      </c>
      <c r="F809" s="2" t="str">
        <f>IFERROR(__xludf.DUMMYFUNCTION("""COMPUTED_VALUE"""),"KGN353072")</f>
        <v>KGN353072</v>
      </c>
      <c r="G809" s="2" t="str">
        <f>IFERROR(__xludf.DUMMYFUNCTION("""COMPUTED_VALUE"""),"Kuwait")</f>
        <v>Kuwait</v>
      </c>
      <c r="H809" s="4">
        <f>IFERROR(__xludf.DUMMYFUNCTION("""COMPUTED_VALUE"""),4.65)</f>
        <v>4.65</v>
      </c>
      <c r="I809" s="3">
        <f>IFERROR(__xludf.DUMMYFUNCTION("""COMPUTED_VALUE"""),0.0)</f>
        <v>0</v>
      </c>
      <c r="J809" s="4">
        <f>IFERROR(__xludf.DUMMYFUNCTION("""COMPUTED_VALUE"""),0.465)</f>
        <v>0.465</v>
      </c>
      <c r="K809" s="2"/>
      <c r="L809" s="2" t="str">
        <f>IFERROR(__xludf.DUMMYFUNCTION("""COMPUTED_VALUE"""),"Delivered")</f>
        <v>Delivered</v>
      </c>
      <c r="M809" s="2" t="str">
        <f>IFERROR(__xludf.DUMMYFUNCTION("""COMPUTED_VALUE"""),"KD")</f>
        <v>KD</v>
      </c>
      <c r="N809" s="2" t="str">
        <f>IFERROR(__xludf.DUMMYFUNCTION("""COMPUTED_VALUE"""),"Credit, Debit, Knet")</f>
        <v>Credit, Debit, Knet</v>
      </c>
      <c r="O809" s="4">
        <f>IFERROR(__xludf.DUMMYFUNCTION("""COMPUTED_VALUE"""),0.0)</f>
        <v>0</v>
      </c>
      <c r="P809" s="2">
        <f>IFERROR(__xludf.DUMMYFUNCTION("""COMPUTED_VALUE"""),21.0)</f>
        <v>21</v>
      </c>
      <c r="Q809" s="2">
        <f>IFERROR(__xludf.DUMMYFUNCTION("""COMPUTED_VALUE"""),7.0)</f>
        <v>7</v>
      </c>
      <c r="R809" s="2">
        <f>IFERROR(__xludf.DUMMYFUNCTION("""COMPUTED_VALUE"""),2025.0)</f>
        <v>2025</v>
      </c>
      <c r="S809" s="2" t="str">
        <f>IFERROR(__xludf.DUMMYFUNCTION("""COMPUTED_VALUE"""),"Digizag")</f>
        <v>Digizag</v>
      </c>
      <c r="T809" s="2" t="str">
        <f>IFERROR(__xludf.DUMMYFUNCTION("""COMPUTED_VALUE"""),"Digizag")</f>
        <v>Digizag</v>
      </c>
      <c r="U809" s="5">
        <f>IFERROR(__xludf.DUMMYFUNCTION("""COMPUTED_VALUE"""),15.161883000000001)</f>
        <v>15.161883</v>
      </c>
      <c r="V809" s="2"/>
      <c r="W809" s="2"/>
      <c r="X809" s="2"/>
      <c r="Y809" s="2"/>
      <c r="Z809" s="2"/>
    </row>
    <row r="810">
      <c r="A810" s="6">
        <f>IFERROR(__xludf.DUMMYFUNCTION("""COMPUTED_VALUE"""),45860.56769675926)</f>
        <v>45860.5677</v>
      </c>
      <c r="B810" s="2" t="str">
        <f>IFERROR(__xludf.DUMMYFUNCTION("""COMPUTED_VALUE"""),"July")</f>
        <v>July</v>
      </c>
      <c r="C810" s="3">
        <f>IFERROR(__xludf.DUMMYFUNCTION("""COMPUTED_VALUE"""),492567.0)</f>
        <v>492567</v>
      </c>
      <c r="D810" s="2" t="str">
        <f>IFERROR(__xludf.DUMMYFUNCTION("""COMPUTED_VALUE"""),"ZM22")</f>
        <v>ZM22</v>
      </c>
      <c r="E810" s="2" t="str">
        <f>IFERROR(__xludf.DUMMYFUNCTION("""COMPUTED_VALUE"""),"Imported from file Digizag.xlsx")</f>
        <v>Imported from file Digizag.xlsx</v>
      </c>
      <c r="F810" s="2" t="str">
        <f>IFERROR(__xludf.DUMMYFUNCTION("""COMPUTED_VALUE"""),"SHU563148")</f>
        <v>SHU563148</v>
      </c>
      <c r="G810" s="2" t="str">
        <f>IFERROR(__xludf.DUMMYFUNCTION("""COMPUTED_VALUE"""),"Kuwait")</f>
        <v>Kuwait</v>
      </c>
      <c r="H810" s="4">
        <f>IFERROR(__xludf.DUMMYFUNCTION("""COMPUTED_VALUE"""),8.3)</f>
        <v>8.3</v>
      </c>
      <c r="I810" s="3">
        <f>IFERROR(__xludf.DUMMYFUNCTION("""COMPUTED_VALUE"""),0.0)</f>
        <v>0</v>
      </c>
      <c r="J810" s="4">
        <f>IFERROR(__xludf.DUMMYFUNCTION("""COMPUTED_VALUE"""),0.83)</f>
        <v>0.83</v>
      </c>
      <c r="K810" s="2"/>
      <c r="L810" s="2" t="str">
        <f>IFERROR(__xludf.DUMMYFUNCTION("""COMPUTED_VALUE"""),"Delivered")</f>
        <v>Delivered</v>
      </c>
      <c r="M810" s="2" t="str">
        <f>IFERROR(__xludf.DUMMYFUNCTION("""COMPUTED_VALUE"""),"KD")</f>
        <v>KD</v>
      </c>
      <c r="N810" s="2" t="str">
        <f>IFERROR(__xludf.DUMMYFUNCTION("""COMPUTED_VALUE"""),"Credit, Debit, Knet")</f>
        <v>Credit, Debit, Knet</v>
      </c>
      <c r="O810" s="4">
        <f>IFERROR(__xludf.DUMMYFUNCTION("""COMPUTED_VALUE"""),0.0)</f>
        <v>0</v>
      </c>
      <c r="P810" s="2">
        <f>IFERROR(__xludf.DUMMYFUNCTION("""COMPUTED_VALUE"""),22.0)</f>
        <v>22</v>
      </c>
      <c r="Q810" s="2">
        <f>IFERROR(__xludf.DUMMYFUNCTION("""COMPUTED_VALUE"""),7.0)</f>
        <v>7</v>
      </c>
      <c r="R810" s="2">
        <f>IFERROR(__xludf.DUMMYFUNCTION("""COMPUTED_VALUE"""),2025.0)</f>
        <v>2025</v>
      </c>
      <c r="S810" s="2" t="str">
        <f>IFERROR(__xludf.DUMMYFUNCTION("""COMPUTED_VALUE"""),"Digizag")</f>
        <v>Digizag</v>
      </c>
      <c r="T810" s="2" t="str">
        <f>IFERROR(__xludf.DUMMYFUNCTION("""COMPUTED_VALUE"""),"Digizag")</f>
        <v>Digizag</v>
      </c>
      <c r="U810" s="5">
        <f>IFERROR(__xludf.DUMMYFUNCTION("""COMPUTED_VALUE"""),27.063146)</f>
        <v>27.063146</v>
      </c>
      <c r="V810" s="2"/>
      <c r="W810" s="2"/>
      <c r="X810" s="2"/>
      <c r="Y810" s="2"/>
      <c r="Z810" s="2"/>
    </row>
    <row r="811">
      <c r="A811" s="6">
        <f>IFERROR(__xludf.DUMMYFUNCTION("""COMPUTED_VALUE"""),45860.654652777775)</f>
        <v>45860.65465</v>
      </c>
      <c r="B811" s="2" t="str">
        <f>IFERROR(__xludf.DUMMYFUNCTION("""COMPUTED_VALUE"""),"July")</f>
        <v>July</v>
      </c>
      <c r="C811" s="3">
        <f>IFERROR(__xludf.DUMMYFUNCTION("""COMPUTED_VALUE"""),775162.0)</f>
        <v>775162</v>
      </c>
      <c r="D811" s="2" t="str">
        <f>IFERROR(__xludf.DUMMYFUNCTION("""COMPUTED_VALUE"""),"RR22")</f>
        <v>RR22</v>
      </c>
      <c r="E811" s="2" t="str">
        <f>IFERROR(__xludf.DUMMYFUNCTION("""COMPUTED_VALUE"""),"Imported from file Digizag.xlsx")</f>
        <v>Imported from file Digizag.xlsx</v>
      </c>
      <c r="F811" s="2" t="str">
        <f>IFERROR(__xludf.DUMMYFUNCTION("""COMPUTED_VALUE"""),"DXG277811")</f>
        <v>DXG277811</v>
      </c>
      <c r="G811" s="2" t="str">
        <f>IFERROR(__xludf.DUMMYFUNCTION("""COMPUTED_VALUE"""),"UAE")</f>
        <v>UAE</v>
      </c>
      <c r="H811" s="4">
        <f>IFERROR(__xludf.DUMMYFUNCTION("""COMPUTED_VALUE"""),151.0)</f>
        <v>151</v>
      </c>
      <c r="I811" s="3">
        <f>IFERROR(__xludf.DUMMYFUNCTION("""COMPUTED_VALUE"""),0.0)</f>
        <v>0</v>
      </c>
      <c r="J811" s="4">
        <f>IFERROR(__xludf.DUMMYFUNCTION("""COMPUTED_VALUE"""),15.1)</f>
        <v>15.1</v>
      </c>
      <c r="K811" s="2"/>
      <c r="L811" s="2" t="str">
        <f>IFERROR(__xludf.DUMMYFUNCTION("""COMPUTED_VALUE"""),"Delivered")</f>
        <v>Delivered</v>
      </c>
      <c r="M811" s="2" t="str">
        <f>IFERROR(__xludf.DUMMYFUNCTION("""COMPUTED_VALUE"""),"")</f>
        <v></v>
      </c>
      <c r="N811" s="2" t="str">
        <f>IFERROR(__xludf.DUMMYFUNCTION("""COMPUTED_VALUE"""),"Credit, Debit , Apple Pay")</f>
        <v>Credit, Debit , Apple Pay</v>
      </c>
      <c r="O811" s="4">
        <f>IFERROR(__xludf.DUMMYFUNCTION("""COMPUTED_VALUE"""),0.0)</f>
        <v>0</v>
      </c>
      <c r="P811" s="2">
        <f>IFERROR(__xludf.DUMMYFUNCTION("""COMPUTED_VALUE"""),22.0)</f>
        <v>22</v>
      </c>
      <c r="Q811" s="2">
        <f>IFERROR(__xludf.DUMMYFUNCTION("""COMPUTED_VALUE"""),7.0)</f>
        <v>7</v>
      </c>
      <c r="R811" s="2">
        <f>IFERROR(__xludf.DUMMYFUNCTION("""COMPUTED_VALUE"""),2025.0)</f>
        <v>2025</v>
      </c>
      <c r="S811" s="2" t="str">
        <f>IFERROR(__xludf.DUMMYFUNCTION("""COMPUTED_VALUE"""),"Digizag")</f>
        <v>Digizag</v>
      </c>
      <c r="T811" s="2" t="str">
        <f>IFERROR(__xludf.DUMMYFUNCTION("""COMPUTED_VALUE"""),"Digizag")</f>
        <v>Digizag</v>
      </c>
      <c r="U811" s="5">
        <f>IFERROR(__xludf.DUMMYFUNCTION("""COMPUTED_VALUE"""),41.116405778)</f>
        <v>41.11640578</v>
      </c>
      <c r="V811" s="2"/>
      <c r="W811" s="2"/>
      <c r="X811" s="2"/>
      <c r="Y811" s="2"/>
      <c r="Z811" s="2"/>
    </row>
    <row r="812">
      <c r="A812" s="6">
        <f>IFERROR(__xludf.DUMMYFUNCTION("""COMPUTED_VALUE"""),45860.820381944446)</f>
        <v>45860.82038</v>
      </c>
      <c r="B812" s="2" t="str">
        <f>IFERROR(__xludf.DUMMYFUNCTION("""COMPUTED_VALUE"""),"July")</f>
        <v>July</v>
      </c>
      <c r="C812" s="3">
        <f>IFERROR(__xludf.DUMMYFUNCTION("""COMPUTED_VALUE"""),138484.0)</f>
        <v>138484</v>
      </c>
      <c r="D812" s="2" t="str">
        <f>IFERROR(__xludf.DUMMYFUNCTION("""COMPUTED_VALUE"""),"ZM22")</f>
        <v>ZM22</v>
      </c>
      <c r="E812" s="2" t="str">
        <f>IFERROR(__xludf.DUMMYFUNCTION("""COMPUTED_VALUE"""),"Imported from file Digizag.xlsx")</f>
        <v>Imported from file Digizag.xlsx</v>
      </c>
      <c r="F812" s="2" t="str">
        <f>IFERROR(__xludf.DUMMYFUNCTION("""COMPUTED_VALUE"""),"UGH620975")</f>
        <v>UGH620975</v>
      </c>
      <c r="G812" s="2" t="str">
        <f>IFERROR(__xludf.DUMMYFUNCTION("""COMPUTED_VALUE"""),"UAE")</f>
        <v>UAE</v>
      </c>
      <c r="H812" s="4">
        <f>IFERROR(__xludf.DUMMYFUNCTION("""COMPUTED_VALUE"""),386.14)</f>
        <v>386.14</v>
      </c>
      <c r="I812" s="3">
        <f>IFERROR(__xludf.DUMMYFUNCTION("""COMPUTED_VALUE"""),0.0)</f>
        <v>0</v>
      </c>
      <c r="J812" s="4">
        <f>IFERROR(__xludf.DUMMYFUNCTION("""COMPUTED_VALUE"""),38.61)</f>
        <v>38.61</v>
      </c>
      <c r="K812" s="2"/>
      <c r="L812" s="2" t="str">
        <f>IFERROR(__xludf.DUMMYFUNCTION("""COMPUTED_VALUE"""),"Delivered")</f>
        <v>Delivered</v>
      </c>
      <c r="M812" s="2" t="str">
        <f>IFERROR(__xludf.DUMMYFUNCTION("""COMPUTED_VALUE"""),"")</f>
        <v></v>
      </c>
      <c r="N812" s="2" t="str">
        <f>IFERROR(__xludf.DUMMYFUNCTION("""COMPUTED_VALUE"""),"Credit, Debit , Apple Pay")</f>
        <v>Credit, Debit , Apple Pay</v>
      </c>
      <c r="O812" s="4">
        <f>IFERROR(__xludf.DUMMYFUNCTION("""COMPUTED_VALUE"""),0.0)</f>
        <v>0</v>
      </c>
      <c r="P812" s="2">
        <f>IFERROR(__xludf.DUMMYFUNCTION("""COMPUTED_VALUE"""),22.0)</f>
        <v>22</v>
      </c>
      <c r="Q812" s="2">
        <f>IFERROR(__xludf.DUMMYFUNCTION("""COMPUTED_VALUE"""),7.0)</f>
        <v>7</v>
      </c>
      <c r="R812" s="2">
        <f>IFERROR(__xludf.DUMMYFUNCTION("""COMPUTED_VALUE"""),2025.0)</f>
        <v>2025</v>
      </c>
      <c r="S812" s="2" t="str">
        <f>IFERROR(__xludf.DUMMYFUNCTION("""COMPUTED_VALUE"""),"Digizag")</f>
        <v>Digizag</v>
      </c>
      <c r="T812" s="2" t="str">
        <f>IFERROR(__xludf.DUMMYFUNCTION("""COMPUTED_VALUE"""),"Digizag")</f>
        <v>Digizag</v>
      </c>
      <c r="U812" s="5">
        <f>IFERROR(__xludf.DUMMYFUNCTION("""COMPUTED_VALUE"""),105.14363527891999)</f>
        <v>105.1436353</v>
      </c>
      <c r="V812" s="2"/>
      <c r="W812" s="2"/>
      <c r="X812" s="2"/>
      <c r="Y812" s="2"/>
      <c r="Z812" s="2"/>
    </row>
    <row r="813">
      <c r="A813" s="6">
        <f>IFERROR(__xludf.DUMMYFUNCTION("""COMPUTED_VALUE"""),45861.37069444444)</f>
        <v>45861.37069</v>
      </c>
      <c r="B813" s="2" t="str">
        <f>IFERROR(__xludf.DUMMYFUNCTION("""COMPUTED_VALUE"""),"July")</f>
        <v>July</v>
      </c>
      <c r="C813" s="3">
        <f>IFERROR(__xludf.DUMMYFUNCTION("""COMPUTED_VALUE"""),573829.0)</f>
        <v>573829</v>
      </c>
      <c r="D813" s="2" t="str">
        <f>IFERROR(__xludf.DUMMYFUNCTION("""COMPUTED_VALUE"""),"ZM22")</f>
        <v>ZM22</v>
      </c>
      <c r="E813" s="2" t="str">
        <f>IFERROR(__xludf.DUMMYFUNCTION("""COMPUTED_VALUE"""),"Imported from file Digizag.xlsx")</f>
        <v>Imported from file Digizag.xlsx</v>
      </c>
      <c r="F813" s="2" t="str">
        <f>IFERROR(__xludf.DUMMYFUNCTION("""COMPUTED_VALUE"""),"SVN691229")</f>
        <v>SVN691229</v>
      </c>
      <c r="G813" s="2" t="str">
        <f>IFERROR(__xludf.DUMMYFUNCTION("""COMPUTED_VALUE"""),"UAE")</f>
        <v>UAE</v>
      </c>
      <c r="H813" s="4">
        <f>IFERROR(__xludf.DUMMYFUNCTION("""COMPUTED_VALUE"""),276.0)</f>
        <v>276</v>
      </c>
      <c r="I813" s="3">
        <f>IFERROR(__xludf.DUMMYFUNCTION("""COMPUTED_VALUE"""),0.0)</f>
        <v>0</v>
      </c>
      <c r="J813" s="4">
        <f>IFERROR(__xludf.DUMMYFUNCTION("""COMPUTED_VALUE"""),27.6)</f>
        <v>27.6</v>
      </c>
      <c r="K813" s="2"/>
      <c r="L813" s="2" t="str">
        <f>IFERROR(__xludf.DUMMYFUNCTION("""COMPUTED_VALUE"""),"Delivered")</f>
        <v>Delivered</v>
      </c>
      <c r="M813" s="2" t="str">
        <f>IFERROR(__xludf.DUMMYFUNCTION("""COMPUTED_VALUE"""),"")</f>
        <v></v>
      </c>
      <c r="N813" s="2" t="str">
        <f>IFERROR(__xludf.DUMMYFUNCTION("""COMPUTED_VALUE"""),"Credit, Debit , Apple Pay")</f>
        <v>Credit, Debit , Apple Pay</v>
      </c>
      <c r="O813" s="4">
        <f>IFERROR(__xludf.DUMMYFUNCTION("""COMPUTED_VALUE"""),0.0)</f>
        <v>0</v>
      </c>
      <c r="P813" s="2">
        <f>IFERROR(__xludf.DUMMYFUNCTION("""COMPUTED_VALUE"""),23.0)</f>
        <v>23</v>
      </c>
      <c r="Q813" s="2">
        <f>IFERROR(__xludf.DUMMYFUNCTION("""COMPUTED_VALUE"""),7.0)</f>
        <v>7</v>
      </c>
      <c r="R813" s="2">
        <f>IFERROR(__xludf.DUMMYFUNCTION("""COMPUTED_VALUE"""),2025.0)</f>
        <v>2025</v>
      </c>
      <c r="S813" s="2" t="str">
        <f>IFERROR(__xludf.DUMMYFUNCTION("""COMPUTED_VALUE"""),"Digizag")</f>
        <v>Digizag</v>
      </c>
      <c r="T813" s="2" t="str">
        <f>IFERROR(__xludf.DUMMYFUNCTION("""COMPUTED_VALUE"""),"Digizag")</f>
        <v>Digizag</v>
      </c>
      <c r="U813" s="5">
        <f>IFERROR(__xludf.DUMMYFUNCTION("""COMPUTED_VALUE"""),75.153165528)</f>
        <v>75.15316553</v>
      </c>
      <c r="V813" s="2"/>
      <c r="W813" s="2"/>
      <c r="X813" s="2"/>
      <c r="Y813" s="2"/>
      <c r="Z813" s="2"/>
    </row>
    <row r="814">
      <c r="A814" s="6">
        <f>IFERROR(__xludf.DUMMYFUNCTION("""COMPUTED_VALUE"""),45861.50042824074)</f>
        <v>45861.50043</v>
      </c>
      <c r="B814" s="2" t="str">
        <f>IFERROR(__xludf.DUMMYFUNCTION("""COMPUTED_VALUE"""),"July")</f>
        <v>July</v>
      </c>
      <c r="C814" s="3">
        <f>IFERROR(__xludf.DUMMYFUNCTION("""COMPUTED_VALUE"""),24421.0)</f>
        <v>24421</v>
      </c>
      <c r="D814" s="2" t="str">
        <f>IFERROR(__xludf.DUMMYFUNCTION("""COMPUTED_VALUE"""),"NAA10")</f>
        <v>NAA10</v>
      </c>
      <c r="E814" s="2" t="str">
        <f>IFERROR(__xludf.DUMMYFUNCTION("""COMPUTED_VALUE"""),"Imported from file DigiZag Bidding Codes.xlsx")</f>
        <v>Imported from file DigiZag Bidding Codes.xlsx</v>
      </c>
      <c r="F814" s="2" t="str">
        <f>IFERROR(__xludf.DUMMYFUNCTION("""COMPUTED_VALUE"""),"KVV841279")</f>
        <v>KVV841279</v>
      </c>
      <c r="G814" s="2" t="str">
        <f>IFERROR(__xludf.DUMMYFUNCTION("""COMPUTED_VALUE"""),"Kingdom of Saudi Arabia")</f>
        <v>Kingdom of Saudi Arabia</v>
      </c>
      <c r="H814" s="4">
        <f>IFERROR(__xludf.DUMMYFUNCTION("""COMPUTED_VALUE"""),265.64)</f>
        <v>265.64</v>
      </c>
      <c r="I814" s="3">
        <f>IFERROR(__xludf.DUMMYFUNCTION("""COMPUTED_VALUE"""),0.0)</f>
        <v>0</v>
      </c>
      <c r="J814" s="4">
        <f>IFERROR(__xludf.DUMMYFUNCTION("""COMPUTED_VALUE"""),30.0)</f>
        <v>30</v>
      </c>
      <c r="K814" s="2"/>
      <c r="L814" s="2" t="str">
        <f>IFERROR(__xludf.DUMMYFUNCTION("""COMPUTED_VALUE"""),"Delivered")</f>
        <v>Delivered</v>
      </c>
      <c r="M814" s="2" t="str">
        <f>IFERROR(__xludf.DUMMYFUNCTION("""COMPUTED_VALUE"""),"")</f>
        <v></v>
      </c>
      <c r="N814" s="2" t="str">
        <f>IFERROR(__xludf.DUMMYFUNCTION("""COMPUTED_VALUE"""),"Credit, Debit, Apple Pay")</f>
        <v>Credit, Debit, Apple Pay</v>
      </c>
      <c r="O814" s="4">
        <f>IFERROR(__xludf.DUMMYFUNCTION("""COMPUTED_VALUE"""),0.0)</f>
        <v>0</v>
      </c>
      <c r="P814" s="2">
        <f>IFERROR(__xludf.DUMMYFUNCTION("""COMPUTED_VALUE"""),23.0)</f>
        <v>23</v>
      </c>
      <c r="Q814" s="2">
        <f>IFERROR(__xludf.DUMMYFUNCTION("""COMPUTED_VALUE"""),7.0)</f>
        <v>7</v>
      </c>
      <c r="R814" s="2">
        <f>IFERROR(__xludf.DUMMYFUNCTION("""COMPUTED_VALUE"""),2025.0)</f>
        <v>2025</v>
      </c>
      <c r="S814" s="2" t="str">
        <f>IFERROR(__xludf.DUMMYFUNCTION("""COMPUTED_VALUE"""),"Digizag")</f>
        <v>Digizag</v>
      </c>
      <c r="T814" s="2" t="str">
        <f>IFERROR(__xludf.DUMMYFUNCTION("""COMPUTED_VALUE"""),"Digizag")</f>
        <v>Digizag</v>
      </c>
      <c r="U814" s="5">
        <f>IFERROR(__xludf.DUMMYFUNCTION("""COMPUTED_VALUE"""),70.83185565944001)</f>
        <v>70.83185566</v>
      </c>
      <c r="V814" s="2"/>
      <c r="W814" s="2"/>
      <c r="X814" s="2"/>
      <c r="Y814" s="2"/>
      <c r="Z814" s="2"/>
    </row>
    <row r="815">
      <c r="A815" s="6">
        <f>IFERROR(__xludf.DUMMYFUNCTION("""COMPUTED_VALUE"""),45861.60724537037)</f>
        <v>45861.60725</v>
      </c>
      <c r="B815" s="2" t="str">
        <f>IFERROR(__xludf.DUMMYFUNCTION("""COMPUTED_VALUE"""),"July")</f>
        <v>July</v>
      </c>
      <c r="C815" s="3">
        <f>IFERROR(__xludf.DUMMYFUNCTION("""COMPUTED_VALUE"""),537514.0)</f>
        <v>537514</v>
      </c>
      <c r="D815" s="2" t="str">
        <f>IFERROR(__xludf.DUMMYFUNCTION("""COMPUTED_VALUE"""),"JM")</f>
        <v>JM</v>
      </c>
      <c r="E815" s="2" t="str">
        <f>IFERROR(__xludf.DUMMYFUNCTION("""COMPUTED_VALUE"""),"DigiZag")</f>
        <v>DigiZag</v>
      </c>
      <c r="F815" s="2" t="str">
        <f>IFERROR(__xludf.DUMMYFUNCTION("""COMPUTED_VALUE"""),"XDW113902")</f>
        <v>XDW113902</v>
      </c>
      <c r="G815" s="2" t="str">
        <f>IFERROR(__xludf.DUMMYFUNCTION("""COMPUTED_VALUE"""),"Kingdom of Saudi Arabia")</f>
        <v>Kingdom of Saudi Arabia</v>
      </c>
      <c r="H815" s="4">
        <f>IFERROR(__xludf.DUMMYFUNCTION("""COMPUTED_VALUE"""),52.73)</f>
        <v>52.73</v>
      </c>
      <c r="I815" s="3">
        <f>IFERROR(__xludf.DUMMYFUNCTION("""COMPUTED_VALUE"""),0.0)</f>
        <v>0</v>
      </c>
      <c r="J815" s="4">
        <f>IFERROR(__xludf.DUMMYFUNCTION("""COMPUTED_VALUE"""),13.18)</f>
        <v>13.18</v>
      </c>
      <c r="K815" s="2"/>
      <c r="L815" s="2" t="str">
        <f>IFERROR(__xludf.DUMMYFUNCTION("""COMPUTED_VALUE"""),"Delivered")</f>
        <v>Delivered</v>
      </c>
      <c r="M815" s="2" t="str">
        <f>IFERROR(__xludf.DUMMYFUNCTION("""COMPUTED_VALUE"""),"")</f>
        <v></v>
      </c>
      <c r="N815" s="2" t="str">
        <f>IFERROR(__xludf.DUMMYFUNCTION("""COMPUTED_VALUE"""),"Cash")</f>
        <v>Cash</v>
      </c>
      <c r="O815" s="4">
        <f>IFERROR(__xludf.DUMMYFUNCTION("""COMPUTED_VALUE"""),0.0)</f>
        <v>0</v>
      </c>
      <c r="P815" s="2">
        <f>IFERROR(__xludf.DUMMYFUNCTION("""COMPUTED_VALUE"""),23.0)</f>
        <v>23</v>
      </c>
      <c r="Q815" s="2">
        <f>IFERROR(__xludf.DUMMYFUNCTION("""COMPUTED_VALUE"""),7.0)</f>
        <v>7</v>
      </c>
      <c r="R815" s="2">
        <f>IFERROR(__xludf.DUMMYFUNCTION("""COMPUTED_VALUE"""),2025.0)</f>
        <v>2025</v>
      </c>
      <c r="S815" s="2" t="str">
        <f>IFERROR(__xludf.DUMMYFUNCTION("""COMPUTED_VALUE"""),"Digizag")</f>
        <v>Digizag</v>
      </c>
      <c r="T815" s="2" t="str">
        <f>IFERROR(__xludf.DUMMYFUNCTION("""COMPUTED_VALUE"""),"Digizag")</f>
        <v>Digizag</v>
      </c>
      <c r="U815" s="5">
        <f>IFERROR(__xludf.DUMMYFUNCTION("""COMPUTED_VALUE"""),14.06024600558)</f>
        <v>14.06024601</v>
      </c>
      <c r="V815" s="2"/>
      <c r="W815" s="2"/>
      <c r="X815" s="2"/>
      <c r="Y815" s="2"/>
      <c r="Z815" s="2"/>
    </row>
    <row r="816">
      <c r="A816" s="6">
        <f>IFERROR(__xludf.DUMMYFUNCTION("""COMPUTED_VALUE"""),45861.69831018518)</f>
        <v>45861.69831</v>
      </c>
      <c r="B816" s="2" t="str">
        <f>IFERROR(__xludf.DUMMYFUNCTION("""COMPUTED_VALUE"""),"July")</f>
        <v>July</v>
      </c>
      <c r="C816" s="3">
        <f>IFERROR(__xludf.DUMMYFUNCTION("""COMPUTED_VALUE"""),637860.0)</f>
        <v>637860</v>
      </c>
      <c r="D816" s="2" t="str">
        <f>IFERROR(__xludf.DUMMYFUNCTION("""COMPUTED_VALUE"""),"ZM22")</f>
        <v>ZM22</v>
      </c>
      <c r="E816" s="2" t="str">
        <f>IFERROR(__xludf.DUMMYFUNCTION("""COMPUTED_VALUE"""),"Imported from file Digizag.xlsx")</f>
        <v>Imported from file Digizag.xlsx</v>
      </c>
      <c r="F816" s="2" t="str">
        <f>IFERROR(__xludf.DUMMYFUNCTION("""COMPUTED_VALUE"""),"LMW995223")</f>
        <v>LMW995223</v>
      </c>
      <c r="G816" s="2" t="str">
        <f>IFERROR(__xludf.DUMMYFUNCTION("""COMPUTED_VALUE"""),"Kuwait")</f>
        <v>Kuwait</v>
      </c>
      <c r="H816" s="4">
        <f>IFERROR(__xludf.DUMMYFUNCTION("""COMPUTED_VALUE"""),19.5)</f>
        <v>19.5</v>
      </c>
      <c r="I816" s="3">
        <f>IFERROR(__xludf.DUMMYFUNCTION("""COMPUTED_VALUE"""),0.0)</f>
        <v>0</v>
      </c>
      <c r="J816" s="4">
        <f>IFERROR(__xludf.DUMMYFUNCTION("""COMPUTED_VALUE"""),1.95)</f>
        <v>1.95</v>
      </c>
      <c r="K816" s="2"/>
      <c r="L816" s="2" t="str">
        <f>IFERROR(__xludf.DUMMYFUNCTION("""COMPUTED_VALUE"""),"Delivered")</f>
        <v>Delivered</v>
      </c>
      <c r="M816" s="2" t="str">
        <f>IFERROR(__xludf.DUMMYFUNCTION("""COMPUTED_VALUE"""),"KD")</f>
        <v>KD</v>
      </c>
      <c r="N816" s="2" t="str">
        <f>IFERROR(__xludf.DUMMYFUNCTION("""COMPUTED_VALUE"""),"Credit, Debit, Knet")</f>
        <v>Credit, Debit, Knet</v>
      </c>
      <c r="O816" s="4">
        <f>IFERROR(__xludf.DUMMYFUNCTION("""COMPUTED_VALUE"""),0.0)</f>
        <v>0</v>
      </c>
      <c r="P816" s="2">
        <f>IFERROR(__xludf.DUMMYFUNCTION("""COMPUTED_VALUE"""),23.0)</f>
        <v>23</v>
      </c>
      <c r="Q816" s="2">
        <f>IFERROR(__xludf.DUMMYFUNCTION("""COMPUTED_VALUE"""),7.0)</f>
        <v>7</v>
      </c>
      <c r="R816" s="2">
        <f>IFERROR(__xludf.DUMMYFUNCTION("""COMPUTED_VALUE"""),2025.0)</f>
        <v>2025</v>
      </c>
      <c r="S816" s="2" t="str">
        <f>IFERROR(__xludf.DUMMYFUNCTION("""COMPUTED_VALUE"""),"Digizag")</f>
        <v>Digizag</v>
      </c>
      <c r="T816" s="2" t="str">
        <f>IFERROR(__xludf.DUMMYFUNCTION("""COMPUTED_VALUE"""),"Digizag")</f>
        <v>Digizag</v>
      </c>
      <c r="U816" s="5">
        <f>IFERROR(__xludf.DUMMYFUNCTION("""COMPUTED_VALUE"""),63.582089999999994)</f>
        <v>63.58209</v>
      </c>
      <c r="V816" s="2"/>
      <c r="W816" s="2"/>
      <c r="X816" s="2"/>
      <c r="Y816" s="2"/>
      <c r="Z816" s="2"/>
    </row>
    <row r="817">
      <c r="A817" s="6">
        <f>IFERROR(__xludf.DUMMYFUNCTION("""COMPUTED_VALUE"""),45862.358252314814)</f>
        <v>45862.35825</v>
      </c>
      <c r="B817" s="2" t="str">
        <f>IFERROR(__xludf.DUMMYFUNCTION("""COMPUTED_VALUE"""),"July")</f>
        <v>July</v>
      </c>
      <c r="C817" s="3">
        <f>IFERROR(__xludf.DUMMYFUNCTION("""COMPUTED_VALUE"""),288096.0)</f>
        <v>288096</v>
      </c>
      <c r="D817" s="2" t="str">
        <f>IFERROR(__xludf.DUMMYFUNCTION("""COMPUTED_VALUE"""),"MNN27")</f>
        <v>MNN27</v>
      </c>
      <c r="E817" s="2" t="str">
        <f>IFERROR(__xludf.DUMMYFUNCTION("""COMPUTED_VALUE"""),"Imported from file DigiZag Codes 25Feb25.xlsx")</f>
        <v>Imported from file DigiZag Codes 25Feb25.xlsx</v>
      </c>
      <c r="F817" s="2" t="str">
        <f>IFERROR(__xludf.DUMMYFUNCTION("""COMPUTED_VALUE"""),"BSB210109")</f>
        <v>BSB210109</v>
      </c>
      <c r="G817" s="2" t="str">
        <f>IFERROR(__xludf.DUMMYFUNCTION("""COMPUTED_VALUE"""),"Bahrain")</f>
        <v>Bahrain</v>
      </c>
      <c r="H817" s="4">
        <f>IFERROR(__xludf.DUMMYFUNCTION("""COMPUTED_VALUE"""),15.73)</f>
        <v>15.73</v>
      </c>
      <c r="I817" s="3">
        <f>IFERROR(__xludf.DUMMYFUNCTION("""COMPUTED_VALUE"""),0.0)</f>
        <v>0</v>
      </c>
      <c r="J817" s="4">
        <f>IFERROR(__xludf.DUMMYFUNCTION("""COMPUTED_VALUE"""),1.57)</f>
        <v>1.57</v>
      </c>
      <c r="K817" s="2"/>
      <c r="L817" s="2" t="str">
        <f>IFERROR(__xludf.DUMMYFUNCTION("""COMPUTED_VALUE"""),"Delivered")</f>
        <v>Delivered</v>
      </c>
      <c r="M817" s="2" t="str">
        <f>IFERROR(__xludf.DUMMYFUNCTION("""COMPUTED_VALUE"""),"BHD")</f>
        <v>BHD</v>
      </c>
      <c r="N817" s="2" t="str">
        <f>IFERROR(__xludf.DUMMYFUNCTION("""COMPUTED_VALUE"""),"Credit, Debit")</f>
        <v>Credit, Debit</v>
      </c>
      <c r="O817" s="4">
        <f>IFERROR(__xludf.DUMMYFUNCTION("""COMPUTED_VALUE"""),0.0)</f>
        <v>0</v>
      </c>
      <c r="P817" s="2">
        <f>IFERROR(__xludf.DUMMYFUNCTION("""COMPUTED_VALUE"""),24.0)</f>
        <v>24</v>
      </c>
      <c r="Q817" s="2">
        <f>IFERROR(__xludf.DUMMYFUNCTION("""COMPUTED_VALUE"""),7.0)</f>
        <v>7</v>
      </c>
      <c r="R817" s="2">
        <f>IFERROR(__xludf.DUMMYFUNCTION("""COMPUTED_VALUE"""),2025.0)</f>
        <v>2025</v>
      </c>
      <c r="S817" s="2" t="str">
        <f>IFERROR(__xludf.DUMMYFUNCTION("""COMPUTED_VALUE"""),"Digizag")</f>
        <v>Digizag</v>
      </c>
      <c r="T817" s="2" t="str">
        <f>IFERROR(__xludf.DUMMYFUNCTION("""COMPUTED_VALUE"""),"Digizag")</f>
        <v>Digizag</v>
      </c>
      <c r="U817" s="5">
        <f>IFERROR(__xludf.DUMMYFUNCTION("""COMPUTED_VALUE"""),41.73038441)</f>
        <v>41.73038441</v>
      </c>
      <c r="V817" s="2"/>
      <c r="W817" s="2"/>
      <c r="X817" s="2"/>
      <c r="Y817" s="2"/>
      <c r="Z817" s="2"/>
    </row>
    <row r="818">
      <c r="A818" s="6">
        <f>IFERROR(__xludf.DUMMYFUNCTION("""COMPUTED_VALUE"""),45862.69553240741)</f>
        <v>45862.69553</v>
      </c>
      <c r="B818" s="2" t="str">
        <f>IFERROR(__xludf.DUMMYFUNCTION("""COMPUTED_VALUE"""),"July")</f>
        <v>July</v>
      </c>
      <c r="C818" s="3">
        <f>IFERROR(__xludf.DUMMYFUNCTION("""COMPUTED_VALUE"""),433866.0)</f>
        <v>433866</v>
      </c>
      <c r="D818" s="2" t="str">
        <f>IFERROR(__xludf.DUMMYFUNCTION("""COMPUTED_VALUE"""),"MNN27")</f>
        <v>MNN27</v>
      </c>
      <c r="E818" s="2" t="str">
        <f>IFERROR(__xludf.DUMMYFUNCTION("""COMPUTED_VALUE"""),"Imported from file DigiZag Codes 25Feb25.xlsx")</f>
        <v>Imported from file DigiZag Codes 25Feb25.xlsx</v>
      </c>
      <c r="F818" s="2" t="str">
        <f>IFERROR(__xludf.DUMMYFUNCTION("""COMPUTED_VALUE"""),"WPZ631631")</f>
        <v>WPZ631631</v>
      </c>
      <c r="G818" s="2" t="str">
        <f>IFERROR(__xludf.DUMMYFUNCTION("""COMPUTED_VALUE"""),"Kuwait")</f>
        <v>Kuwait</v>
      </c>
      <c r="H818" s="4">
        <f>IFERROR(__xludf.DUMMYFUNCTION("""COMPUTED_VALUE"""),9.9)</f>
        <v>9.9</v>
      </c>
      <c r="I818" s="3">
        <f>IFERROR(__xludf.DUMMYFUNCTION("""COMPUTED_VALUE"""),0.0)</f>
        <v>0</v>
      </c>
      <c r="J818" s="4">
        <f>IFERROR(__xludf.DUMMYFUNCTION("""COMPUTED_VALUE"""),0.99)</f>
        <v>0.99</v>
      </c>
      <c r="K818" s="2"/>
      <c r="L818" s="2" t="str">
        <f>IFERROR(__xludf.DUMMYFUNCTION("""COMPUTED_VALUE"""),"Delivered")</f>
        <v>Delivered</v>
      </c>
      <c r="M818" s="2" t="str">
        <f>IFERROR(__xludf.DUMMYFUNCTION("""COMPUTED_VALUE"""),"KD")</f>
        <v>KD</v>
      </c>
      <c r="N818" s="2" t="str">
        <f>IFERROR(__xludf.DUMMYFUNCTION("""COMPUTED_VALUE"""),"Credit, Debit, Knet")</f>
        <v>Credit, Debit, Knet</v>
      </c>
      <c r="O818" s="4">
        <f>IFERROR(__xludf.DUMMYFUNCTION("""COMPUTED_VALUE"""),0.0)</f>
        <v>0</v>
      </c>
      <c r="P818" s="2">
        <f>IFERROR(__xludf.DUMMYFUNCTION("""COMPUTED_VALUE"""),24.0)</f>
        <v>24</v>
      </c>
      <c r="Q818" s="2">
        <f>IFERROR(__xludf.DUMMYFUNCTION("""COMPUTED_VALUE"""),7.0)</f>
        <v>7</v>
      </c>
      <c r="R818" s="2">
        <f>IFERROR(__xludf.DUMMYFUNCTION("""COMPUTED_VALUE"""),2025.0)</f>
        <v>2025</v>
      </c>
      <c r="S818" s="2" t="str">
        <f>IFERROR(__xludf.DUMMYFUNCTION("""COMPUTED_VALUE"""),"Digizag")</f>
        <v>Digizag</v>
      </c>
      <c r="T818" s="2" t="str">
        <f>IFERROR(__xludf.DUMMYFUNCTION("""COMPUTED_VALUE"""),"Digizag")</f>
        <v>Digizag</v>
      </c>
      <c r="U818" s="5">
        <f>IFERROR(__xludf.DUMMYFUNCTION("""COMPUTED_VALUE"""),32.280138)</f>
        <v>32.280138</v>
      </c>
      <c r="V818" s="2"/>
      <c r="W818" s="2"/>
      <c r="X818" s="2"/>
      <c r="Y818" s="2"/>
      <c r="Z818" s="2"/>
    </row>
    <row r="819">
      <c r="A819" s="6">
        <f>IFERROR(__xludf.DUMMYFUNCTION("""COMPUTED_VALUE"""),45862.70758101852)</f>
        <v>45862.70758</v>
      </c>
      <c r="B819" s="2" t="str">
        <f>IFERROR(__xludf.DUMMYFUNCTION("""COMPUTED_VALUE"""),"July")</f>
        <v>July</v>
      </c>
      <c r="C819" s="3">
        <f>IFERROR(__xludf.DUMMYFUNCTION("""COMPUTED_VALUE"""),772990.0)</f>
        <v>772990</v>
      </c>
      <c r="D819" s="2" t="str">
        <f>IFERROR(__xludf.DUMMYFUNCTION("""COMPUTED_VALUE"""),"MNN27")</f>
        <v>MNN27</v>
      </c>
      <c r="E819" s="2" t="str">
        <f>IFERROR(__xludf.DUMMYFUNCTION("""COMPUTED_VALUE"""),"Imported from file DigiZag Codes 25Feb25.xlsx")</f>
        <v>Imported from file DigiZag Codes 25Feb25.xlsx</v>
      </c>
      <c r="F819" s="2" t="str">
        <f>IFERROR(__xludf.DUMMYFUNCTION("""COMPUTED_VALUE"""),"GET459156")</f>
        <v>GET459156</v>
      </c>
      <c r="G819" s="2" t="str">
        <f>IFERROR(__xludf.DUMMYFUNCTION("""COMPUTED_VALUE"""),"UAE")</f>
        <v>UAE</v>
      </c>
      <c r="H819" s="4">
        <f>IFERROR(__xludf.DUMMYFUNCTION("""COMPUTED_VALUE"""),254.52)</f>
        <v>254.52</v>
      </c>
      <c r="I819" s="3">
        <f>IFERROR(__xludf.DUMMYFUNCTION("""COMPUTED_VALUE"""),0.0)</f>
        <v>0</v>
      </c>
      <c r="J819" s="4">
        <f>IFERROR(__xludf.DUMMYFUNCTION("""COMPUTED_VALUE"""),25.44)</f>
        <v>25.44</v>
      </c>
      <c r="K819" s="2"/>
      <c r="L819" s="2" t="str">
        <f>IFERROR(__xludf.DUMMYFUNCTION("""COMPUTED_VALUE"""),"Delivered")</f>
        <v>Delivered</v>
      </c>
      <c r="M819" s="2" t="str">
        <f>IFERROR(__xludf.DUMMYFUNCTION("""COMPUTED_VALUE"""),"")</f>
        <v></v>
      </c>
      <c r="N819" s="2" t="str">
        <f>IFERROR(__xludf.DUMMYFUNCTION("""COMPUTED_VALUE"""),"Cash")</f>
        <v>Cash</v>
      </c>
      <c r="O819" s="4">
        <f>IFERROR(__xludf.DUMMYFUNCTION("""COMPUTED_VALUE"""),0.0)</f>
        <v>0</v>
      </c>
      <c r="P819" s="2">
        <f>IFERROR(__xludf.DUMMYFUNCTION("""COMPUTED_VALUE"""),24.0)</f>
        <v>24</v>
      </c>
      <c r="Q819" s="2">
        <f>IFERROR(__xludf.DUMMYFUNCTION("""COMPUTED_VALUE"""),7.0)</f>
        <v>7</v>
      </c>
      <c r="R819" s="2">
        <f>IFERROR(__xludf.DUMMYFUNCTION("""COMPUTED_VALUE"""),2025.0)</f>
        <v>2025</v>
      </c>
      <c r="S819" s="2" t="str">
        <f>IFERROR(__xludf.DUMMYFUNCTION("""COMPUTED_VALUE"""),"Digizag")</f>
        <v>Digizag</v>
      </c>
      <c r="T819" s="2" t="str">
        <f>IFERROR(__xludf.DUMMYFUNCTION("""COMPUTED_VALUE"""),"Digizag")</f>
        <v>Digizag</v>
      </c>
      <c r="U819" s="5">
        <f>IFERROR(__xludf.DUMMYFUNCTION("""COMPUTED_VALUE"""),69.30428873256)</f>
        <v>69.30428873</v>
      </c>
      <c r="V819" s="2"/>
      <c r="W819" s="2"/>
      <c r="X819" s="2"/>
      <c r="Y819" s="2"/>
      <c r="Z819" s="2"/>
    </row>
    <row r="820">
      <c r="A820" s="6">
        <f>IFERROR(__xludf.DUMMYFUNCTION("""COMPUTED_VALUE"""),45862.86394675926)</f>
        <v>45862.86395</v>
      </c>
      <c r="B820" s="2" t="str">
        <f>IFERROR(__xludf.DUMMYFUNCTION("""COMPUTED_VALUE"""),"July")</f>
        <v>July</v>
      </c>
      <c r="C820" s="3">
        <f>IFERROR(__xludf.DUMMYFUNCTION("""COMPUTED_VALUE"""),534121.0)</f>
        <v>534121</v>
      </c>
      <c r="D820" s="2" t="str">
        <f>IFERROR(__xludf.DUMMYFUNCTION("""COMPUTED_VALUE"""),"MNN27")</f>
        <v>MNN27</v>
      </c>
      <c r="E820" s="2" t="str">
        <f>IFERROR(__xludf.DUMMYFUNCTION("""COMPUTED_VALUE"""),"Imported from file DigiZag Codes 25Feb25.xlsx")</f>
        <v>Imported from file DigiZag Codes 25Feb25.xlsx</v>
      </c>
      <c r="F820" s="2" t="str">
        <f>IFERROR(__xludf.DUMMYFUNCTION("""COMPUTED_VALUE"""),"BPN227547")</f>
        <v>BPN227547</v>
      </c>
      <c r="G820" s="2" t="str">
        <f>IFERROR(__xludf.DUMMYFUNCTION("""COMPUTED_VALUE"""),"Kuwait")</f>
        <v>Kuwait</v>
      </c>
      <c r="H820" s="4">
        <f>IFERROR(__xludf.DUMMYFUNCTION("""COMPUTED_VALUE"""),28.9)</f>
        <v>28.9</v>
      </c>
      <c r="I820" s="3">
        <f>IFERROR(__xludf.DUMMYFUNCTION("""COMPUTED_VALUE"""),0.0)</f>
        <v>0</v>
      </c>
      <c r="J820" s="4">
        <f>IFERROR(__xludf.DUMMYFUNCTION("""COMPUTED_VALUE"""),2.89)</f>
        <v>2.89</v>
      </c>
      <c r="K820" s="2"/>
      <c r="L820" s="2" t="str">
        <f>IFERROR(__xludf.DUMMYFUNCTION("""COMPUTED_VALUE"""),"Delivered")</f>
        <v>Delivered</v>
      </c>
      <c r="M820" s="2" t="str">
        <f>IFERROR(__xludf.DUMMYFUNCTION("""COMPUTED_VALUE"""),"KD")</f>
        <v>KD</v>
      </c>
      <c r="N820" s="2" t="str">
        <f>IFERROR(__xludf.DUMMYFUNCTION("""COMPUTED_VALUE"""),"Credit, Debit, Knet")</f>
        <v>Credit, Debit, Knet</v>
      </c>
      <c r="O820" s="4">
        <f>IFERROR(__xludf.DUMMYFUNCTION("""COMPUTED_VALUE"""),0.0)</f>
        <v>0</v>
      </c>
      <c r="P820" s="2">
        <f>IFERROR(__xludf.DUMMYFUNCTION("""COMPUTED_VALUE"""),24.0)</f>
        <v>24</v>
      </c>
      <c r="Q820" s="2">
        <f>IFERROR(__xludf.DUMMYFUNCTION("""COMPUTED_VALUE"""),7.0)</f>
        <v>7</v>
      </c>
      <c r="R820" s="2">
        <f>IFERROR(__xludf.DUMMYFUNCTION("""COMPUTED_VALUE"""),2025.0)</f>
        <v>2025</v>
      </c>
      <c r="S820" s="2" t="str">
        <f>IFERROR(__xludf.DUMMYFUNCTION("""COMPUTED_VALUE"""),"Digizag")</f>
        <v>Digizag</v>
      </c>
      <c r="T820" s="2" t="str">
        <f>IFERROR(__xludf.DUMMYFUNCTION("""COMPUTED_VALUE"""),"Digizag")</f>
        <v>Digizag</v>
      </c>
      <c r="U820" s="5">
        <f>IFERROR(__xludf.DUMMYFUNCTION("""COMPUTED_VALUE"""),94.231918)</f>
        <v>94.231918</v>
      </c>
      <c r="V820" s="2"/>
      <c r="W820" s="2"/>
      <c r="X820" s="2"/>
      <c r="Y820" s="2"/>
      <c r="Z820" s="2"/>
    </row>
    <row r="821">
      <c r="A821" s="6">
        <f>IFERROR(__xludf.DUMMYFUNCTION("""COMPUTED_VALUE"""),45862.87472222222)</f>
        <v>45862.87472</v>
      </c>
      <c r="B821" s="2" t="str">
        <f>IFERROR(__xludf.DUMMYFUNCTION("""COMPUTED_VALUE"""),"July")</f>
        <v>July</v>
      </c>
      <c r="C821" s="3">
        <f>IFERROR(__xludf.DUMMYFUNCTION("""COMPUTED_VALUE"""),476950.0)</f>
        <v>476950</v>
      </c>
      <c r="D821" s="2" t="str">
        <f>IFERROR(__xludf.DUMMYFUNCTION("""COMPUTED_VALUE"""),"JM")</f>
        <v>JM</v>
      </c>
      <c r="E821" s="2" t="str">
        <f>IFERROR(__xludf.DUMMYFUNCTION("""COMPUTED_VALUE"""),"Digizag")</f>
        <v>Digizag</v>
      </c>
      <c r="F821" s="2" t="str">
        <f>IFERROR(__xludf.DUMMYFUNCTION("""COMPUTED_VALUE"""),"YWY759154")</f>
        <v>YWY759154</v>
      </c>
      <c r="G821" s="2" t="str">
        <f>IFERROR(__xludf.DUMMYFUNCTION("""COMPUTED_VALUE"""),"Kuwait")</f>
        <v>Kuwait</v>
      </c>
      <c r="H821" s="4">
        <f>IFERROR(__xludf.DUMMYFUNCTION("""COMPUTED_VALUE"""),14.25)</f>
        <v>14.25</v>
      </c>
      <c r="I821" s="3">
        <f>IFERROR(__xludf.DUMMYFUNCTION("""COMPUTED_VALUE"""),0.0)</f>
        <v>0</v>
      </c>
      <c r="J821" s="4">
        <f>IFERROR(__xludf.DUMMYFUNCTION("""COMPUTED_VALUE"""),1.425)</f>
        <v>1.425</v>
      </c>
      <c r="K821" s="2"/>
      <c r="L821" s="2" t="str">
        <f>IFERROR(__xludf.DUMMYFUNCTION("""COMPUTED_VALUE"""),"Delivered")</f>
        <v>Delivered</v>
      </c>
      <c r="M821" s="2" t="str">
        <f>IFERROR(__xludf.DUMMYFUNCTION("""COMPUTED_VALUE"""),"KD")</f>
        <v>KD</v>
      </c>
      <c r="N821" s="2" t="str">
        <f>IFERROR(__xludf.DUMMYFUNCTION("""COMPUTED_VALUE"""),"Credit, Debit, Knet")</f>
        <v>Credit, Debit, Knet</v>
      </c>
      <c r="O821" s="4">
        <f>IFERROR(__xludf.DUMMYFUNCTION("""COMPUTED_VALUE"""),0.0)</f>
        <v>0</v>
      </c>
      <c r="P821" s="2">
        <f>IFERROR(__xludf.DUMMYFUNCTION("""COMPUTED_VALUE"""),24.0)</f>
        <v>24</v>
      </c>
      <c r="Q821" s="2">
        <f>IFERROR(__xludf.DUMMYFUNCTION("""COMPUTED_VALUE"""),7.0)</f>
        <v>7</v>
      </c>
      <c r="R821" s="2">
        <f>IFERROR(__xludf.DUMMYFUNCTION("""COMPUTED_VALUE"""),2025.0)</f>
        <v>2025</v>
      </c>
      <c r="S821" s="2" t="str">
        <f>IFERROR(__xludf.DUMMYFUNCTION("""COMPUTED_VALUE"""),"Digizag")</f>
        <v>Digizag</v>
      </c>
      <c r="T821" s="2" t="str">
        <f>IFERROR(__xludf.DUMMYFUNCTION("""COMPUTED_VALUE"""),"Digizag")</f>
        <v>Digizag</v>
      </c>
      <c r="U821" s="5">
        <f>IFERROR(__xludf.DUMMYFUNCTION("""COMPUTED_VALUE"""),46.463834999999996)</f>
        <v>46.463835</v>
      </c>
      <c r="V821" s="2"/>
      <c r="W821" s="2"/>
      <c r="X821" s="2"/>
      <c r="Y821" s="2"/>
      <c r="Z821" s="2"/>
    </row>
    <row r="822">
      <c r="A822" s="6">
        <f>IFERROR(__xludf.DUMMYFUNCTION("""COMPUTED_VALUE"""),45862.88085648148)</f>
        <v>45862.88086</v>
      </c>
      <c r="B822" s="2" t="str">
        <f>IFERROR(__xludf.DUMMYFUNCTION("""COMPUTED_VALUE"""),"July")</f>
        <v>July</v>
      </c>
      <c r="C822" s="3">
        <f>IFERROR(__xludf.DUMMYFUNCTION("""COMPUTED_VALUE"""),386439.0)</f>
        <v>386439</v>
      </c>
      <c r="D822" s="2" t="str">
        <f>IFERROR(__xludf.DUMMYFUNCTION("""COMPUTED_VALUE"""),"ZM22")</f>
        <v>ZM22</v>
      </c>
      <c r="E822" s="2" t="str">
        <f>IFERROR(__xludf.DUMMYFUNCTION("""COMPUTED_VALUE"""),"Imported from file Digizag.xlsx")</f>
        <v>Imported from file Digizag.xlsx</v>
      </c>
      <c r="F822" s="2" t="str">
        <f>IFERROR(__xludf.DUMMYFUNCTION("""COMPUTED_VALUE"""),"NLE848056")</f>
        <v>NLE848056</v>
      </c>
      <c r="G822" s="2" t="str">
        <f>IFERROR(__xludf.DUMMYFUNCTION("""COMPUTED_VALUE"""),"Kuwait")</f>
        <v>Kuwait</v>
      </c>
      <c r="H822" s="4">
        <f>IFERROR(__xludf.DUMMYFUNCTION("""COMPUTED_VALUE"""),25.24)</f>
        <v>25.24</v>
      </c>
      <c r="I822" s="3">
        <f>IFERROR(__xludf.DUMMYFUNCTION("""COMPUTED_VALUE"""),0.0)</f>
        <v>0</v>
      </c>
      <c r="J822" s="4">
        <f>IFERROR(__xludf.DUMMYFUNCTION("""COMPUTED_VALUE"""),2.524)</f>
        <v>2.524</v>
      </c>
      <c r="K822" s="2"/>
      <c r="L822" s="2" t="str">
        <f>IFERROR(__xludf.DUMMYFUNCTION("""COMPUTED_VALUE"""),"Delivered")</f>
        <v>Delivered</v>
      </c>
      <c r="M822" s="2" t="str">
        <f>IFERROR(__xludf.DUMMYFUNCTION("""COMPUTED_VALUE"""),"KD")</f>
        <v>KD</v>
      </c>
      <c r="N822" s="2" t="str">
        <f>IFERROR(__xludf.DUMMYFUNCTION("""COMPUTED_VALUE"""),"Credit, Debit, Knet")</f>
        <v>Credit, Debit, Knet</v>
      </c>
      <c r="O822" s="4">
        <f>IFERROR(__xludf.DUMMYFUNCTION("""COMPUTED_VALUE"""),0.0)</f>
        <v>0</v>
      </c>
      <c r="P822" s="2">
        <f>IFERROR(__xludf.DUMMYFUNCTION("""COMPUTED_VALUE"""),24.0)</f>
        <v>24</v>
      </c>
      <c r="Q822" s="2">
        <f>IFERROR(__xludf.DUMMYFUNCTION("""COMPUTED_VALUE"""),7.0)</f>
        <v>7</v>
      </c>
      <c r="R822" s="2">
        <f>IFERROR(__xludf.DUMMYFUNCTION("""COMPUTED_VALUE"""),2025.0)</f>
        <v>2025</v>
      </c>
      <c r="S822" s="2" t="str">
        <f>IFERROR(__xludf.DUMMYFUNCTION("""COMPUTED_VALUE"""),"Digizag")</f>
        <v>Digizag</v>
      </c>
      <c r="T822" s="2" t="str">
        <f>IFERROR(__xludf.DUMMYFUNCTION("""COMPUTED_VALUE"""),"Digizag")</f>
        <v>Digizag</v>
      </c>
      <c r="U822" s="5">
        <f>IFERROR(__xludf.DUMMYFUNCTION("""COMPUTED_VALUE"""),82.29804879999999)</f>
        <v>82.2980488</v>
      </c>
      <c r="V822" s="2"/>
      <c r="W822" s="2"/>
      <c r="X822" s="2"/>
      <c r="Y822" s="2"/>
      <c r="Z822" s="2"/>
    </row>
    <row r="823">
      <c r="A823" s="6">
        <f>IFERROR(__xludf.DUMMYFUNCTION("""COMPUTED_VALUE"""),45862.97915509259)</f>
        <v>45862.97916</v>
      </c>
      <c r="B823" s="2" t="str">
        <f>IFERROR(__xludf.DUMMYFUNCTION("""COMPUTED_VALUE"""),"July")</f>
        <v>July</v>
      </c>
      <c r="C823" s="3">
        <f>IFERROR(__xludf.DUMMYFUNCTION("""COMPUTED_VALUE"""),47666.0)</f>
        <v>47666</v>
      </c>
      <c r="D823" s="2" t="str">
        <f>IFERROR(__xludf.DUMMYFUNCTION("""COMPUTED_VALUE"""),"MNN27")</f>
        <v>MNN27</v>
      </c>
      <c r="E823" s="2" t="str">
        <f>IFERROR(__xludf.DUMMYFUNCTION("""COMPUTED_VALUE"""),"Imported from file DigiZag Codes 25Feb25.xlsx")</f>
        <v>Imported from file DigiZag Codes 25Feb25.xlsx</v>
      </c>
      <c r="F823" s="2" t="str">
        <f>IFERROR(__xludf.DUMMYFUNCTION("""COMPUTED_VALUE"""),"EEU568519")</f>
        <v>EEU568519</v>
      </c>
      <c r="G823" s="2" t="str">
        <f>IFERROR(__xludf.DUMMYFUNCTION("""COMPUTED_VALUE"""),"Kuwait")</f>
        <v>Kuwait</v>
      </c>
      <c r="H823" s="4">
        <f>IFERROR(__xludf.DUMMYFUNCTION("""COMPUTED_VALUE"""),18.95)</f>
        <v>18.95</v>
      </c>
      <c r="I823" s="3">
        <f>IFERROR(__xludf.DUMMYFUNCTION("""COMPUTED_VALUE"""),0.0)</f>
        <v>0</v>
      </c>
      <c r="J823" s="4">
        <f>IFERROR(__xludf.DUMMYFUNCTION("""COMPUTED_VALUE"""),1.895)</f>
        <v>1.895</v>
      </c>
      <c r="K823" s="2"/>
      <c r="L823" s="2" t="str">
        <f>IFERROR(__xludf.DUMMYFUNCTION("""COMPUTED_VALUE"""),"Delivered")</f>
        <v>Delivered</v>
      </c>
      <c r="M823" s="2" t="str">
        <f>IFERROR(__xludf.DUMMYFUNCTION("""COMPUTED_VALUE"""),"KD")</f>
        <v>KD</v>
      </c>
      <c r="N823" s="2" t="str">
        <f>IFERROR(__xludf.DUMMYFUNCTION("""COMPUTED_VALUE"""),"Credit, Debit, Knet")</f>
        <v>Credit, Debit, Knet</v>
      </c>
      <c r="O823" s="4">
        <f>IFERROR(__xludf.DUMMYFUNCTION("""COMPUTED_VALUE"""),0.0)</f>
        <v>0</v>
      </c>
      <c r="P823" s="2">
        <f>IFERROR(__xludf.DUMMYFUNCTION("""COMPUTED_VALUE"""),24.0)</f>
        <v>24</v>
      </c>
      <c r="Q823" s="2">
        <f>IFERROR(__xludf.DUMMYFUNCTION("""COMPUTED_VALUE"""),7.0)</f>
        <v>7</v>
      </c>
      <c r="R823" s="2">
        <f>IFERROR(__xludf.DUMMYFUNCTION("""COMPUTED_VALUE"""),2025.0)</f>
        <v>2025</v>
      </c>
      <c r="S823" s="2" t="str">
        <f>IFERROR(__xludf.DUMMYFUNCTION("""COMPUTED_VALUE"""),"Digizag")</f>
        <v>Digizag</v>
      </c>
      <c r="T823" s="2" t="str">
        <f>IFERROR(__xludf.DUMMYFUNCTION("""COMPUTED_VALUE"""),"Digizag")</f>
        <v>Digizag</v>
      </c>
      <c r="U823" s="5">
        <f>IFERROR(__xludf.DUMMYFUNCTION("""COMPUTED_VALUE"""),61.788748999999996)</f>
        <v>61.788749</v>
      </c>
      <c r="V823" s="2"/>
      <c r="W823" s="2"/>
      <c r="X823" s="2"/>
      <c r="Y823" s="2"/>
      <c r="Z823" s="2"/>
    </row>
    <row r="824">
      <c r="A824" s="6">
        <f>IFERROR(__xludf.DUMMYFUNCTION("""COMPUTED_VALUE"""),45863.030497685184)</f>
        <v>45863.0305</v>
      </c>
      <c r="B824" s="2" t="str">
        <f>IFERROR(__xludf.DUMMYFUNCTION("""COMPUTED_VALUE"""),"July")</f>
        <v>July</v>
      </c>
      <c r="C824" s="3">
        <f>IFERROR(__xludf.DUMMYFUNCTION("""COMPUTED_VALUE"""),776386.0)</f>
        <v>776386</v>
      </c>
      <c r="D824" s="2" t="str">
        <f>IFERROR(__xludf.DUMMYFUNCTION("""COMPUTED_VALUE"""),"MNN16")</f>
        <v>MNN16</v>
      </c>
      <c r="E824" s="2" t="str">
        <f>IFERROR(__xludf.DUMMYFUNCTION("""COMPUTED_VALUE"""),"Imported from file DigiZag Bidding Codes.xlsx")</f>
        <v>Imported from file DigiZag Bidding Codes.xlsx</v>
      </c>
      <c r="F824" s="2" t="str">
        <f>IFERROR(__xludf.DUMMYFUNCTION("""COMPUTED_VALUE"""),"XPM844322")</f>
        <v>XPM844322</v>
      </c>
      <c r="G824" s="2" t="str">
        <f>IFERROR(__xludf.DUMMYFUNCTION("""COMPUTED_VALUE"""),"Kingdom of Saudi Arabia")</f>
        <v>Kingdom of Saudi Arabia</v>
      </c>
      <c r="H824" s="4">
        <f>IFERROR(__xludf.DUMMYFUNCTION("""COMPUTED_VALUE"""),143.64)</f>
        <v>143.64</v>
      </c>
      <c r="I824" s="3">
        <f>IFERROR(__xludf.DUMMYFUNCTION("""COMPUTED_VALUE"""),1.0)</f>
        <v>1</v>
      </c>
      <c r="J824" s="4">
        <f>IFERROR(__xludf.DUMMYFUNCTION("""COMPUTED_VALUE"""),30.0)</f>
        <v>30</v>
      </c>
      <c r="K824" s="2"/>
      <c r="L824" s="2" t="str">
        <f>IFERROR(__xludf.DUMMYFUNCTION("""COMPUTED_VALUE"""),"Cancelled")</f>
        <v>Cancelled</v>
      </c>
      <c r="M824" s="2" t="str">
        <f>IFERROR(__xludf.DUMMYFUNCTION("""COMPUTED_VALUE"""),"")</f>
        <v></v>
      </c>
      <c r="N824" s="2" t="str">
        <f>IFERROR(__xludf.DUMMYFUNCTION("""COMPUTED_VALUE"""),"Credit, Debit, Apple Pay")</f>
        <v>Credit, Debit, Apple Pay</v>
      </c>
      <c r="O824" s="4">
        <f>IFERROR(__xludf.DUMMYFUNCTION("""COMPUTED_VALUE"""),113.63999999999999)</f>
        <v>113.64</v>
      </c>
      <c r="P824" s="2">
        <f>IFERROR(__xludf.DUMMYFUNCTION("""COMPUTED_VALUE"""),25.0)</f>
        <v>25</v>
      </c>
      <c r="Q824" s="2">
        <f>IFERROR(__xludf.DUMMYFUNCTION("""COMPUTED_VALUE"""),7.0)</f>
        <v>7</v>
      </c>
      <c r="R824" s="2">
        <f>IFERROR(__xludf.DUMMYFUNCTION("""COMPUTED_VALUE"""),2025.0)</f>
        <v>2025</v>
      </c>
      <c r="S824" s="2" t="str">
        <f>IFERROR(__xludf.DUMMYFUNCTION("""COMPUTED_VALUE"""),"Digizag")</f>
        <v>Digizag</v>
      </c>
      <c r="T824" s="2" t="str">
        <f>IFERROR(__xludf.DUMMYFUNCTION("""COMPUTED_VALUE"""),"Digizag")</f>
        <v>Digizag</v>
      </c>
      <c r="U824" s="5">
        <f>IFERROR(__xludf.DUMMYFUNCTION("""COMPUTED_VALUE"""),38.30103804744)</f>
        <v>38.30103805</v>
      </c>
      <c r="V824" s="2"/>
      <c r="W824" s="2"/>
      <c r="X824" s="2"/>
      <c r="Y824" s="2"/>
      <c r="Z824" s="2"/>
    </row>
    <row r="825">
      <c r="A825" s="6">
        <f>IFERROR(__xludf.DUMMYFUNCTION("""COMPUTED_VALUE"""),45863.35960648148)</f>
        <v>45863.35961</v>
      </c>
      <c r="B825" s="2" t="str">
        <f>IFERROR(__xludf.DUMMYFUNCTION("""COMPUTED_VALUE"""),"July")</f>
        <v>July</v>
      </c>
      <c r="C825" s="3">
        <f>IFERROR(__xludf.DUMMYFUNCTION("""COMPUTED_VALUE"""),114578.0)</f>
        <v>114578</v>
      </c>
      <c r="D825" s="2" t="str">
        <f>IFERROR(__xludf.DUMMYFUNCTION("""COMPUTED_VALUE"""),"JM")</f>
        <v>JM</v>
      </c>
      <c r="E825" s="2" t="str">
        <f>IFERROR(__xludf.DUMMYFUNCTION("""COMPUTED_VALUE"""),"DigiZag")</f>
        <v>DigiZag</v>
      </c>
      <c r="F825" s="2" t="str">
        <f>IFERROR(__xludf.DUMMYFUNCTION("""COMPUTED_VALUE"""),"VYG537756")</f>
        <v>VYG537756</v>
      </c>
      <c r="G825" s="2" t="str">
        <f>IFERROR(__xludf.DUMMYFUNCTION("""COMPUTED_VALUE"""),"Kingdom of Saudi Arabia")</f>
        <v>Kingdom of Saudi Arabia</v>
      </c>
      <c r="H825" s="4">
        <f>IFERROR(__xludf.DUMMYFUNCTION("""COMPUTED_VALUE"""),212.73)</f>
        <v>212.73</v>
      </c>
      <c r="I825" s="3">
        <f>IFERROR(__xludf.DUMMYFUNCTION("""COMPUTED_VALUE"""),0.0)</f>
        <v>0</v>
      </c>
      <c r="J825" s="4">
        <f>IFERROR(__xludf.DUMMYFUNCTION("""COMPUTED_VALUE"""),30.0)</f>
        <v>30</v>
      </c>
      <c r="K825" s="2"/>
      <c r="L825" s="2" t="str">
        <f>IFERROR(__xludf.DUMMYFUNCTION("""COMPUTED_VALUE"""),"Delivered")</f>
        <v>Delivered</v>
      </c>
      <c r="M825" s="2" t="str">
        <f>IFERROR(__xludf.DUMMYFUNCTION("""COMPUTED_VALUE"""),"")</f>
        <v></v>
      </c>
      <c r="N825" s="2" t="str">
        <f>IFERROR(__xludf.DUMMYFUNCTION("""COMPUTED_VALUE"""),"Credit, Debit, Apple Pay")</f>
        <v>Credit, Debit, Apple Pay</v>
      </c>
      <c r="O825" s="4">
        <f>IFERROR(__xludf.DUMMYFUNCTION("""COMPUTED_VALUE"""),0.0)</f>
        <v>0</v>
      </c>
      <c r="P825" s="2">
        <f>IFERROR(__xludf.DUMMYFUNCTION("""COMPUTED_VALUE"""),25.0)</f>
        <v>25</v>
      </c>
      <c r="Q825" s="2">
        <f>IFERROR(__xludf.DUMMYFUNCTION("""COMPUTED_VALUE"""),7.0)</f>
        <v>7</v>
      </c>
      <c r="R825" s="2">
        <f>IFERROR(__xludf.DUMMYFUNCTION("""COMPUTED_VALUE"""),2025.0)</f>
        <v>2025</v>
      </c>
      <c r="S825" s="2" t="str">
        <f>IFERROR(__xludf.DUMMYFUNCTION("""COMPUTED_VALUE"""),"Digizag")</f>
        <v>Digizag</v>
      </c>
      <c r="T825" s="2" t="str">
        <f>IFERROR(__xludf.DUMMYFUNCTION("""COMPUTED_VALUE"""),"Digizag")</f>
        <v>Digizag</v>
      </c>
      <c r="U825" s="5">
        <f>IFERROR(__xludf.DUMMYFUNCTION("""COMPUTED_VALUE"""),56.72361336558)</f>
        <v>56.72361337</v>
      </c>
      <c r="V825" s="2"/>
      <c r="W825" s="2"/>
      <c r="X825" s="2"/>
      <c r="Y825" s="2"/>
      <c r="Z825" s="2"/>
    </row>
    <row r="826">
      <c r="A826" s="6">
        <f>IFERROR(__xludf.DUMMYFUNCTION("""COMPUTED_VALUE"""),45863.43556712963)</f>
        <v>45863.43557</v>
      </c>
      <c r="B826" s="2" t="str">
        <f>IFERROR(__xludf.DUMMYFUNCTION("""COMPUTED_VALUE"""),"July")</f>
        <v>July</v>
      </c>
      <c r="C826" s="3">
        <f>IFERROR(__xludf.DUMMYFUNCTION("""COMPUTED_VALUE"""),177258.0)</f>
        <v>177258</v>
      </c>
      <c r="D826" s="2" t="str">
        <f>IFERROR(__xludf.DUMMYFUNCTION("""COMPUTED_VALUE"""),"DB1")</f>
        <v>DB1</v>
      </c>
      <c r="E826" s="2" t="str">
        <f>IFERROR(__xludf.DUMMYFUNCTION("""COMPUTED_VALUE"""),"Imported from file Digizag.xlsx")</f>
        <v>Imported from file Digizag.xlsx</v>
      </c>
      <c r="F826" s="2" t="str">
        <f>IFERROR(__xludf.DUMMYFUNCTION("""COMPUTED_VALUE"""),"HKX125255")</f>
        <v>HKX125255</v>
      </c>
      <c r="G826" s="2" t="str">
        <f>IFERROR(__xludf.DUMMYFUNCTION("""COMPUTED_VALUE"""),"Bahrain")</f>
        <v>Bahrain</v>
      </c>
      <c r="H826" s="4">
        <f>IFERROR(__xludf.DUMMYFUNCTION("""COMPUTED_VALUE"""),16.07)</f>
        <v>16.07</v>
      </c>
      <c r="I826" s="3">
        <f>IFERROR(__xludf.DUMMYFUNCTION("""COMPUTED_VALUE"""),0.0)</f>
        <v>0</v>
      </c>
      <c r="J826" s="4">
        <f>IFERROR(__xludf.DUMMYFUNCTION("""COMPUTED_VALUE"""),1.6)</f>
        <v>1.6</v>
      </c>
      <c r="K826" s="2"/>
      <c r="L826" s="2" t="str">
        <f>IFERROR(__xludf.DUMMYFUNCTION("""COMPUTED_VALUE"""),"Delivered")</f>
        <v>Delivered</v>
      </c>
      <c r="M826" s="2" t="str">
        <f>IFERROR(__xludf.DUMMYFUNCTION("""COMPUTED_VALUE"""),"BHD")</f>
        <v>BHD</v>
      </c>
      <c r="N826" s="2" t="str">
        <f>IFERROR(__xludf.DUMMYFUNCTION("""COMPUTED_VALUE"""),"Credit, Debit")</f>
        <v>Credit, Debit</v>
      </c>
      <c r="O826" s="4">
        <f>IFERROR(__xludf.DUMMYFUNCTION("""COMPUTED_VALUE"""),0.0)</f>
        <v>0</v>
      </c>
      <c r="P826" s="2">
        <f>IFERROR(__xludf.DUMMYFUNCTION("""COMPUTED_VALUE"""),25.0)</f>
        <v>25</v>
      </c>
      <c r="Q826" s="2">
        <f>IFERROR(__xludf.DUMMYFUNCTION("""COMPUTED_VALUE"""),7.0)</f>
        <v>7</v>
      </c>
      <c r="R826" s="2">
        <f>IFERROR(__xludf.DUMMYFUNCTION("""COMPUTED_VALUE"""),2025.0)</f>
        <v>2025</v>
      </c>
      <c r="S826" s="2" t="str">
        <f>IFERROR(__xludf.DUMMYFUNCTION("""COMPUTED_VALUE"""),"Digizag")</f>
        <v>Digizag</v>
      </c>
      <c r="T826" s="2" t="str">
        <f>IFERROR(__xludf.DUMMYFUNCTION("""COMPUTED_VALUE"""),"Digizag")</f>
        <v>Digizag</v>
      </c>
      <c r="U826" s="5">
        <f>IFERROR(__xludf.DUMMYFUNCTION("""COMPUTED_VALUE"""),42.63237619)</f>
        <v>42.63237619</v>
      </c>
      <c r="V826" s="2"/>
      <c r="W826" s="2"/>
      <c r="X826" s="2"/>
      <c r="Y826" s="2"/>
      <c r="Z826" s="2"/>
    </row>
    <row r="827">
      <c r="A827" s="6">
        <f>IFERROR(__xludf.DUMMYFUNCTION("""COMPUTED_VALUE"""),45863.5221875)</f>
        <v>45863.52219</v>
      </c>
      <c r="B827" s="2" t="str">
        <f>IFERROR(__xludf.DUMMYFUNCTION("""COMPUTED_VALUE"""),"July")</f>
        <v>July</v>
      </c>
      <c r="C827" s="3">
        <f>IFERROR(__xludf.DUMMYFUNCTION("""COMPUTED_VALUE"""),776595.0)</f>
        <v>776595</v>
      </c>
      <c r="D827" s="2" t="str">
        <f>IFERROR(__xludf.DUMMYFUNCTION("""COMPUTED_VALUE"""),"DG3")</f>
        <v>DG3</v>
      </c>
      <c r="E827" s="2" t="str">
        <f>IFERROR(__xludf.DUMMYFUNCTION("""COMPUTED_VALUE"""),"Imported from file Digizag.xlsx")</f>
        <v>Imported from file Digizag.xlsx</v>
      </c>
      <c r="F827" s="2" t="str">
        <f>IFERROR(__xludf.DUMMYFUNCTION("""COMPUTED_VALUE"""),"TZZ876677")</f>
        <v>TZZ876677</v>
      </c>
      <c r="G827" s="2" t="str">
        <f>IFERROR(__xludf.DUMMYFUNCTION("""COMPUTED_VALUE"""),"Kuwait")</f>
        <v>Kuwait</v>
      </c>
      <c r="H827" s="4">
        <f>IFERROR(__xludf.DUMMYFUNCTION("""COMPUTED_VALUE"""),8.95)</f>
        <v>8.95</v>
      </c>
      <c r="I827" s="3">
        <f>IFERROR(__xludf.DUMMYFUNCTION("""COMPUTED_VALUE"""),0.0)</f>
        <v>0</v>
      </c>
      <c r="J827" s="4">
        <f>IFERROR(__xludf.DUMMYFUNCTION("""COMPUTED_VALUE"""),0.895)</f>
        <v>0.895</v>
      </c>
      <c r="K827" s="2"/>
      <c r="L827" s="2" t="str">
        <f>IFERROR(__xludf.DUMMYFUNCTION("""COMPUTED_VALUE"""),"Delivered")</f>
        <v>Delivered</v>
      </c>
      <c r="M827" s="2" t="str">
        <f>IFERROR(__xludf.DUMMYFUNCTION("""COMPUTED_VALUE"""),"KD")</f>
        <v>KD</v>
      </c>
      <c r="N827" s="2" t="str">
        <f>IFERROR(__xludf.DUMMYFUNCTION("""COMPUTED_VALUE"""),"Credit, Debit, Knet")</f>
        <v>Credit, Debit, Knet</v>
      </c>
      <c r="O827" s="4">
        <f>IFERROR(__xludf.DUMMYFUNCTION("""COMPUTED_VALUE"""),0.0)</f>
        <v>0</v>
      </c>
      <c r="P827" s="2">
        <f>IFERROR(__xludf.DUMMYFUNCTION("""COMPUTED_VALUE"""),25.0)</f>
        <v>25</v>
      </c>
      <c r="Q827" s="2">
        <f>IFERROR(__xludf.DUMMYFUNCTION("""COMPUTED_VALUE"""),7.0)</f>
        <v>7</v>
      </c>
      <c r="R827" s="2">
        <f>IFERROR(__xludf.DUMMYFUNCTION("""COMPUTED_VALUE"""),2025.0)</f>
        <v>2025</v>
      </c>
      <c r="S827" s="2" t="str">
        <f>IFERROR(__xludf.DUMMYFUNCTION("""COMPUTED_VALUE"""),"Digizag")</f>
        <v>Digizag</v>
      </c>
      <c r="T827" s="2" t="str">
        <f>IFERROR(__xludf.DUMMYFUNCTION("""COMPUTED_VALUE"""),"Digizag")</f>
        <v>Digizag</v>
      </c>
      <c r="U827" s="5">
        <f>IFERROR(__xludf.DUMMYFUNCTION("""COMPUTED_VALUE"""),29.182548999999998)</f>
        <v>29.182549</v>
      </c>
      <c r="V827" s="2"/>
      <c r="W827" s="2"/>
      <c r="X827" s="2"/>
      <c r="Y827" s="2"/>
      <c r="Z827" s="2"/>
    </row>
    <row r="828">
      <c r="A828" s="6">
        <f>IFERROR(__xludf.DUMMYFUNCTION("""COMPUTED_VALUE"""),45863.53674768518)</f>
        <v>45863.53675</v>
      </c>
      <c r="B828" s="2" t="str">
        <f>IFERROR(__xludf.DUMMYFUNCTION("""COMPUTED_VALUE"""),"July")</f>
        <v>July</v>
      </c>
      <c r="C828" s="3">
        <f>IFERROR(__xludf.DUMMYFUNCTION("""COMPUTED_VALUE"""),395992.0)</f>
        <v>395992</v>
      </c>
      <c r="D828" s="2" t="str">
        <f>IFERROR(__xludf.DUMMYFUNCTION("""COMPUTED_VALUE"""),"ZM22")</f>
        <v>ZM22</v>
      </c>
      <c r="E828" s="2" t="str">
        <f>IFERROR(__xludf.DUMMYFUNCTION("""COMPUTED_VALUE"""),"Imported from file Digizag.xlsx")</f>
        <v>Imported from file Digizag.xlsx</v>
      </c>
      <c r="F828" s="2" t="str">
        <f>IFERROR(__xludf.DUMMYFUNCTION("""COMPUTED_VALUE"""),"BZP423089")</f>
        <v>BZP423089</v>
      </c>
      <c r="G828" s="2" t="str">
        <f>IFERROR(__xludf.DUMMYFUNCTION("""COMPUTED_VALUE"""),"UAE")</f>
        <v>UAE</v>
      </c>
      <c r="H828" s="4">
        <f>IFERROR(__xludf.DUMMYFUNCTION("""COMPUTED_VALUE"""),423.29)</f>
        <v>423.29</v>
      </c>
      <c r="I828" s="3">
        <f>IFERROR(__xludf.DUMMYFUNCTION("""COMPUTED_VALUE"""),0.0)</f>
        <v>0</v>
      </c>
      <c r="J828" s="4">
        <f>IFERROR(__xludf.DUMMYFUNCTION("""COMPUTED_VALUE"""),42.32)</f>
        <v>42.32</v>
      </c>
      <c r="K828" s="2"/>
      <c r="L828" s="2" t="str">
        <f>IFERROR(__xludf.DUMMYFUNCTION("""COMPUTED_VALUE"""),"Delivered")</f>
        <v>Delivered</v>
      </c>
      <c r="M828" s="2" t="str">
        <f>IFERROR(__xludf.DUMMYFUNCTION("""COMPUTED_VALUE"""),"")</f>
        <v></v>
      </c>
      <c r="N828" s="2" t="str">
        <f>IFERROR(__xludf.DUMMYFUNCTION("""COMPUTED_VALUE"""),"Tamara: split in 3, interest-free")</f>
        <v>Tamara: split in 3, interest-free</v>
      </c>
      <c r="O828" s="4">
        <f>IFERROR(__xludf.DUMMYFUNCTION("""COMPUTED_VALUE"""),0.0)</f>
        <v>0</v>
      </c>
      <c r="P828" s="2">
        <f>IFERROR(__xludf.DUMMYFUNCTION("""COMPUTED_VALUE"""),25.0)</f>
        <v>25</v>
      </c>
      <c r="Q828" s="2">
        <f>IFERROR(__xludf.DUMMYFUNCTION("""COMPUTED_VALUE"""),7.0)</f>
        <v>7</v>
      </c>
      <c r="R828" s="2">
        <f>IFERROR(__xludf.DUMMYFUNCTION("""COMPUTED_VALUE"""),2025.0)</f>
        <v>2025</v>
      </c>
      <c r="S828" s="2" t="str">
        <f>IFERROR(__xludf.DUMMYFUNCTION("""COMPUTED_VALUE"""),"Digizag")</f>
        <v>Digizag</v>
      </c>
      <c r="T828" s="2" t="str">
        <f>IFERROR(__xludf.DUMMYFUNCTION("""COMPUTED_VALUE"""),"Digizag")</f>
        <v>Digizag</v>
      </c>
      <c r="U828" s="5">
        <f>IFERROR(__xludf.DUMMYFUNCTION("""COMPUTED_VALUE"""),115.25936027662)</f>
        <v>115.2593603</v>
      </c>
      <c r="V828" s="2"/>
      <c r="W828" s="2"/>
      <c r="X828" s="2"/>
      <c r="Y828" s="2"/>
      <c r="Z828" s="2"/>
    </row>
    <row r="829">
      <c r="A829" s="6">
        <f>IFERROR(__xludf.DUMMYFUNCTION("""COMPUTED_VALUE"""),45863.54487268518)</f>
        <v>45863.54487</v>
      </c>
      <c r="B829" s="2" t="str">
        <f>IFERROR(__xludf.DUMMYFUNCTION("""COMPUTED_VALUE"""),"July")</f>
        <v>July</v>
      </c>
      <c r="C829" s="3">
        <f>IFERROR(__xludf.DUMMYFUNCTION("""COMPUTED_VALUE"""),425778.0)</f>
        <v>425778</v>
      </c>
      <c r="D829" s="2" t="str">
        <f>IFERROR(__xludf.DUMMYFUNCTION("""COMPUTED_VALUE"""),"ZM22")</f>
        <v>ZM22</v>
      </c>
      <c r="E829" s="2" t="str">
        <f>IFERROR(__xludf.DUMMYFUNCTION("""COMPUTED_VALUE"""),"Imported from file Digizag.xlsx")</f>
        <v>Imported from file Digizag.xlsx</v>
      </c>
      <c r="F829" s="2" t="str">
        <f>IFERROR(__xludf.DUMMYFUNCTION("""COMPUTED_VALUE"""),"TSM776081")</f>
        <v>TSM776081</v>
      </c>
      <c r="G829" s="2" t="str">
        <f>IFERROR(__xludf.DUMMYFUNCTION("""COMPUTED_VALUE"""),"UAE")</f>
        <v>UAE</v>
      </c>
      <c r="H829" s="4">
        <f>IFERROR(__xludf.DUMMYFUNCTION("""COMPUTED_VALUE"""),173.81)</f>
        <v>173.81</v>
      </c>
      <c r="I829" s="3">
        <f>IFERROR(__xludf.DUMMYFUNCTION("""COMPUTED_VALUE"""),0.0)</f>
        <v>0</v>
      </c>
      <c r="J829" s="4">
        <f>IFERROR(__xludf.DUMMYFUNCTION("""COMPUTED_VALUE"""),17.37)</f>
        <v>17.37</v>
      </c>
      <c r="K829" s="2"/>
      <c r="L829" s="2" t="str">
        <f>IFERROR(__xludf.DUMMYFUNCTION("""COMPUTED_VALUE"""),"Delivered")</f>
        <v>Delivered</v>
      </c>
      <c r="M829" s="2" t="str">
        <f>IFERROR(__xludf.DUMMYFUNCTION("""COMPUTED_VALUE"""),"")</f>
        <v></v>
      </c>
      <c r="N829" s="2" t="str">
        <f>IFERROR(__xludf.DUMMYFUNCTION("""COMPUTED_VALUE"""),"Credit, Debit , Apple Pay")</f>
        <v>Credit, Debit , Apple Pay</v>
      </c>
      <c r="O829" s="4">
        <f>IFERROR(__xludf.DUMMYFUNCTION("""COMPUTED_VALUE"""),0.0)</f>
        <v>0</v>
      </c>
      <c r="P829" s="2">
        <f>IFERROR(__xludf.DUMMYFUNCTION("""COMPUTED_VALUE"""),25.0)</f>
        <v>25</v>
      </c>
      <c r="Q829" s="2">
        <f>IFERROR(__xludf.DUMMYFUNCTION("""COMPUTED_VALUE"""),7.0)</f>
        <v>7</v>
      </c>
      <c r="R829" s="2">
        <f>IFERROR(__xludf.DUMMYFUNCTION("""COMPUTED_VALUE"""),2025.0)</f>
        <v>2025</v>
      </c>
      <c r="S829" s="2" t="str">
        <f>IFERROR(__xludf.DUMMYFUNCTION("""COMPUTED_VALUE"""),"Digizag")</f>
        <v>Digizag</v>
      </c>
      <c r="T829" s="2" t="str">
        <f>IFERROR(__xludf.DUMMYFUNCTION("""COMPUTED_VALUE"""),"Digizag")</f>
        <v>Digizag</v>
      </c>
      <c r="U829" s="5">
        <f>IFERROR(__xludf.DUMMYFUNCTION("""COMPUTED_VALUE"""),47.32743369718)</f>
        <v>47.3274337</v>
      </c>
      <c r="V829" s="2"/>
      <c r="W829" s="2"/>
      <c r="X829" s="2"/>
      <c r="Y829" s="2"/>
      <c r="Z829" s="2"/>
    </row>
    <row r="830">
      <c r="A830" s="6">
        <f>IFERROR(__xludf.DUMMYFUNCTION("""COMPUTED_VALUE"""),45863.64537037037)</f>
        <v>45863.64537</v>
      </c>
      <c r="B830" s="2" t="str">
        <f>IFERROR(__xludf.DUMMYFUNCTION("""COMPUTED_VALUE"""),"July")</f>
        <v>July</v>
      </c>
      <c r="C830" s="3">
        <f>IFERROR(__xludf.DUMMYFUNCTION("""COMPUTED_VALUE"""),770230.0)</f>
        <v>770230</v>
      </c>
      <c r="D830" s="2" t="str">
        <f>IFERROR(__xludf.DUMMYFUNCTION("""COMPUTED_VALUE"""),"MNN16")</f>
        <v>MNN16</v>
      </c>
      <c r="E830" s="2" t="str">
        <f>IFERROR(__xludf.DUMMYFUNCTION("""COMPUTED_VALUE"""),"Imported from file DigiZag Bidding Codes.xlsx")</f>
        <v>Imported from file DigiZag Bidding Codes.xlsx</v>
      </c>
      <c r="F830" s="2" t="str">
        <f>IFERROR(__xludf.DUMMYFUNCTION("""COMPUTED_VALUE"""),"JDB257687")</f>
        <v>JDB257687</v>
      </c>
      <c r="G830" s="2" t="str">
        <f>IFERROR(__xludf.DUMMYFUNCTION("""COMPUTED_VALUE"""),"Kingdom of Saudi Arabia")</f>
        <v>Kingdom of Saudi Arabia</v>
      </c>
      <c r="H830" s="4">
        <f>IFERROR(__xludf.DUMMYFUNCTION("""COMPUTED_VALUE"""),114.55)</f>
        <v>114.55</v>
      </c>
      <c r="I830" s="3">
        <f>IFERROR(__xludf.DUMMYFUNCTION("""COMPUTED_VALUE"""),0.0)</f>
        <v>0</v>
      </c>
      <c r="J830" s="4">
        <f>IFERROR(__xludf.DUMMYFUNCTION("""COMPUTED_VALUE"""),28.63)</f>
        <v>28.63</v>
      </c>
      <c r="K830" s="2"/>
      <c r="L830" s="2" t="str">
        <f>IFERROR(__xludf.DUMMYFUNCTION("""COMPUTED_VALUE"""),"Delivered")</f>
        <v>Delivered</v>
      </c>
      <c r="M830" s="2" t="str">
        <f>IFERROR(__xludf.DUMMYFUNCTION("""COMPUTED_VALUE"""),"")</f>
        <v></v>
      </c>
      <c r="N830" s="2" t="str">
        <f>IFERROR(__xludf.DUMMYFUNCTION("""COMPUTED_VALUE"""),"Credit, Debit, Apple Pay")</f>
        <v>Credit, Debit, Apple Pay</v>
      </c>
      <c r="O830" s="4">
        <f>IFERROR(__xludf.DUMMYFUNCTION("""COMPUTED_VALUE"""),0.0)</f>
        <v>0</v>
      </c>
      <c r="P830" s="2">
        <f>IFERROR(__xludf.DUMMYFUNCTION("""COMPUTED_VALUE"""),25.0)</f>
        <v>25</v>
      </c>
      <c r="Q830" s="2">
        <f>IFERROR(__xludf.DUMMYFUNCTION("""COMPUTED_VALUE"""),7.0)</f>
        <v>7</v>
      </c>
      <c r="R830" s="2">
        <f>IFERROR(__xludf.DUMMYFUNCTION("""COMPUTED_VALUE"""),2025.0)</f>
        <v>2025</v>
      </c>
      <c r="S830" s="2" t="str">
        <f>IFERROR(__xludf.DUMMYFUNCTION("""COMPUTED_VALUE"""),"Digizag")</f>
        <v>Digizag</v>
      </c>
      <c r="T830" s="2" t="str">
        <f>IFERROR(__xludf.DUMMYFUNCTION("""COMPUTED_VALUE"""),"Digizag")</f>
        <v>Digizag</v>
      </c>
      <c r="U830" s="5">
        <f>IFERROR(__xludf.DUMMYFUNCTION("""COMPUTED_VALUE"""),30.544304569300003)</f>
        <v>30.54430457</v>
      </c>
      <c r="V830" s="2"/>
      <c r="W830" s="2"/>
      <c r="X830" s="2"/>
      <c r="Y830" s="2"/>
      <c r="Z830" s="2"/>
    </row>
    <row r="831">
      <c r="A831" s="6">
        <f>IFERROR(__xludf.DUMMYFUNCTION("""COMPUTED_VALUE"""),45863.77564814815)</f>
        <v>45863.77565</v>
      </c>
      <c r="B831" s="2" t="str">
        <f>IFERROR(__xludf.DUMMYFUNCTION("""COMPUTED_VALUE"""),"July")</f>
        <v>July</v>
      </c>
      <c r="C831" s="3">
        <f>IFERROR(__xludf.DUMMYFUNCTION("""COMPUTED_VALUE"""),776813.0)</f>
        <v>776813</v>
      </c>
      <c r="D831" s="2" t="str">
        <f>IFERROR(__xludf.DUMMYFUNCTION("""COMPUTED_VALUE"""),"RR22")</f>
        <v>RR22</v>
      </c>
      <c r="E831" s="2" t="str">
        <f>IFERROR(__xludf.DUMMYFUNCTION("""COMPUTED_VALUE"""),"Imported from file Digizag.xlsx")</f>
        <v>Imported from file Digizag.xlsx</v>
      </c>
      <c r="F831" s="2" t="str">
        <f>IFERROR(__xludf.DUMMYFUNCTION("""COMPUTED_VALUE"""),"AQA118589")</f>
        <v>AQA118589</v>
      </c>
      <c r="G831" s="2" t="str">
        <f>IFERROR(__xludf.DUMMYFUNCTION("""COMPUTED_VALUE"""),"UAE")</f>
        <v>UAE</v>
      </c>
      <c r="H831" s="4">
        <f>IFERROR(__xludf.DUMMYFUNCTION("""COMPUTED_VALUE"""),775.9)</f>
        <v>775.9</v>
      </c>
      <c r="I831" s="3">
        <f>IFERROR(__xludf.DUMMYFUNCTION("""COMPUTED_VALUE"""),0.0)</f>
        <v>0</v>
      </c>
      <c r="J831" s="4">
        <f>IFERROR(__xludf.DUMMYFUNCTION("""COMPUTED_VALUE"""),77.59)</f>
        <v>77.59</v>
      </c>
      <c r="K831" s="2"/>
      <c r="L831" s="2" t="str">
        <f>IFERROR(__xludf.DUMMYFUNCTION("""COMPUTED_VALUE"""),"Delivered")</f>
        <v>Delivered</v>
      </c>
      <c r="M831" s="2" t="str">
        <f>IFERROR(__xludf.DUMMYFUNCTION("""COMPUTED_VALUE"""),"")</f>
        <v></v>
      </c>
      <c r="N831" s="2" t="str">
        <f>IFERROR(__xludf.DUMMYFUNCTION("""COMPUTED_VALUE"""),"Credit, Debit , Apple Pay")</f>
        <v>Credit, Debit , Apple Pay</v>
      </c>
      <c r="O831" s="4">
        <f>IFERROR(__xludf.DUMMYFUNCTION("""COMPUTED_VALUE"""),0.0)</f>
        <v>0</v>
      </c>
      <c r="P831" s="2">
        <f>IFERROR(__xludf.DUMMYFUNCTION("""COMPUTED_VALUE"""),25.0)</f>
        <v>25</v>
      </c>
      <c r="Q831" s="2">
        <f>IFERROR(__xludf.DUMMYFUNCTION("""COMPUTED_VALUE"""),7.0)</f>
        <v>7</v>
      </c>
      <c r="R831" s="2">
        <f>IFERROR(__xludf.DUMMYFUNCTION("""COMPUTED_VALUE"""),2025.0)</f>
        <v>2025</v>
      </c>
      <c r="S831" s="2" t="str">
        <f>IFERROR(__xludf.DUMMYFUNCTION("""COMPUTED_VALUE"""),"Digizag")</f>
        <v>Digizag</v>
      </c>
      <c r="T831" s="2" t="str">
        <f>IFERROR(__xludf.DUMMYFUNCTION("""COMPUTED_VALUE"""),"Digizag")</f>
        <v>Digizag</v>
      </c>
      <c r="U831" s="5">
        <f>IFERROR(__xludf.DUMMYFUNCTION("""COMPUTED_VALUE"""),211.2729751202)</f>
        <v>211.2729751</v>
      </c>
      <c r="V831" s="2"/>
      <c r="W831" s="2"/>
      <c r="X831" s="2"/>
      <c r="Y831" s="2"/>
      <c r="Z831" s="2"/>
    </row>
    <row r="832">
      <c r="A832" s="6">
        <f>IFERROR(__xludf.DUMMYFUNCTION("""COMPUTED_VALUE"""),45863.82730324074)</f>
        <v>45863.8273</v>
      </c>
      <c r="B832" s="2" t="str">
        <f>IFERROR(__xludf.DUMMYFUNCTION("""COMPUTED_VALUE"""),"July")</f>
        <v>July</v>
      </c>
      <c r="C832" s="3">
        <f>IFERROR(__xludf.DUMMYFUNCTION("""COMPUTED_VALUE"""),454293.0)</f>
        <v>454293</v>
      </c>
      <c r="D832" s="2" t="str">
        <f>IFERROR(__xludf.DUMMYFUNCTION("""COMPUTED_VALUE"""),"JM")</f>
        <v>JM</v>
      </c>
      <c r="E832" s="2" t="str">
        <f>IFERROR(__xludf.DUMMYFUNCTION("""COMPUTED_VALUE"""),"DigiZag")</f>
        <v>DigiZag</v>
      </c>
      <c r="F832" s="2" t="str">
        <f>IFERROR(__xludf.DUMMYFUNCTION("""COMPUTED_VALUE"""),"AKB901931")</f>
        <v>AKB901931</v>
      </c>
      <c r="G832" s="2" t="str">
        <f>IFERROR(__xludf.DUMMYFUNCTION("""COMPUTED_VALUE"""),"Bahrain")</f>
        <v>Bahrain</v>
      </c>
      <c r="H832" s="4">
        <f>IFERROR(__xludf.DUMMYFUNCTION("""COMPUTED_VALUE"""),13.35)</f>
        <v>13.35</v>
      </c>
      <c r="I832" s="3">
        <f>IFERROR(__xludf.DUMMYFUNCTION("""COMPUTED_VALUE"""),0.0)</f>
        <v>0</v>
      </c>
      <c r="J832" s="4">
        <f>IFERROR(__xludf.DUMMYFUNCTION("""COMPUTED_VALUE"""),1.33)</f>
        <v>1.33</v>
      </c>
      <c r="K832" s="2"/>
      <c r="L832" s="2" t="str">
        <f>IFERROR(__xludf.DUMMYFUNCTION("""COMPUTED_VALUE"""),"Delivered")</f>
        <v>Delivered</v>
      </c>
      <c r="M832" s="2" t="str">
        <f>IFERROR(__xludf.DUMMYFUNCTION("""COMPUTED_VALUE"""),"BHD")</f>
        <v>BHD</v>
      </c>
      <c r="N832" s="2" t="str">
        <f>IFERROR(__xludf.DUMMYFUNCTION("""COMPUTED_VALUE"""),"Credit, Debit")</f>
        <v>Credit, Debit</v>
      </c>
      <c r="O832" s="4">
        <f>IFERROR(__xludf.DUMMYFUNCTION("""COMPUTED_VALUE"""),0.0)</f>
        <v>0</v>
      </c>
      <c r="P832" s="2">
        <f>IFERROR(__xludf.DUMMYFUNCTION("""COMPUTED_VALUE"""),25.0)</f>
        <v>25</v>
      </c>
      <c r="Q832" s="2">
        <f>IFERROR(__xludf.DUMMYFUNCTION("""COMPUTED_VALUE"""),7.0)</f>
        <v>7</v>
      </c>
      <c r="R832" s="2">
        <f>IFERROR(__xludf.DUMMYFUNCTION("""COMPUTED_VALUE"""),2025.0)</f>
        <v>2025</v>
      </c>
      <c r="S832" s="2" t="str">
        <f>IFERROR(__xludf.DUMMYFUNCTION("""COMPUTED_VALUE"""),"Digizag")</f>
        <v>Digizag</v>
      </c>
      <c r="T832" s="2" t="str">
        <f>IFERROR(__xludf.DUMMYFUNCTION("""COMPUTED_VALUE"""),"Digizag")</f>
        <v>Digizag</v>
      </c>
      <c r="U832" s="5">
        <f>IFERROR(__xludf.DUMMYFUNCTION("""COMPUTED_VALUE"""),35.41644195)</f>
        <v>35.41644195</v>
      </c>
      <c r="V832" s="2"/>
      <c r="W832" s="2"/>
      <c r="X832" s="2"/>
      <c r="Y832" s="2"/>
      <c r="Z832" s="2"/>
    </row>
    <row r="833">
      <c r="A833" s="6">
        <f>IFERROR(__xludf.DUMMYFUNCTION("""COMPUTED_VALUE"""),45863.93655092592)</f>
        <v>45863.93655</v>
      </c>
      <c r="B833" s="2" t="str">
        <f>IFERROR(__xludf.DUMMYFUNCTION("""COMPUTED_VALUE"""),"July")</f>
        <v>July</v>
      </c>
      <c r="C833" s="3">
        <f>IFERROR(__xludf.DUMMYFUNCTION("""COMPUTED_VALUE"""),776894.0)</f>
        <v>776894</v>
      </c>
      <c r="D833" s="2" t="str">
        <f>IFERROR(__xludf.DUMMYFUNCTION("""COMPUTED_VALUE"""),"WFR")</f>
        <v>WFR</v>
      </c>
      <c r="E833" s="2" t="str">
        <f>IFERROR(__xludf.DUMMYFUNCTION("""COMPUTED_VALUE"""),"Imported from file Digizag.xlsx")</f>
        <v>Imported from file Digizag.xlsx</v>
      </c>
      <c r="F833" s="2" t="str">
        <f>IFERROR(__xludf.DUMMYFUNCTION("""COMPUTED_VALUE"""),"TZY426709")</f>
        <v>TZY426709</v>
      </c>
      <c r="G833" s="2" t="str">
        <f>IFERROR(__xludf.DUMMYFUNCTION("""COMPUTED_VALUE"""),"UAE")</f>
        <v>UAE</v>
      </c>
      <c r="H833" s="4">
        <f>IFERROR(__xludf.DUMMYFUNCTION("""COMPUTED_VALUE"""),341.6)</f>
        <v>341.6</v>
      </c>
      <c r="I833" s="3">
        <f>IFERROR(__xludf.DUMMYFUNCTION("""COMPUTED_VALUE"""),0.0)</f>
        <v>0</v>
      </c>
      <c r="J833" s="4">
        <f>IFERROR(__xludf.DUMMYFUNCTION("""COMPUTED_VALUE"""),34.16)</f>
        <v>34.16</v>
      </c>
      <c r="K833" s="2"/>
      <c r="L833" s="2" t="str">
        <f>IFERROR(__xludf.DUMMYFUNCTION("""COMPUTED_VALUE"""),"Delivered")</f>
        <v>Delivered</v>
      </c>
      <c r="M833" s="2" t="str">
        <f>IFERROR(__xludf.DUMMYFUNCTION("""COMPUTED_VALUE"""),"")</f>
        <v></v>
      </c>
      <c r="N833" s="2" t="str">
        <f>IFERROR(__xludf.DUMMYFUNCTION("""COMPUTED_VALUE"""),"Cash")</f>
        <v>Cash</v>
      </c>
      <c r="O833" s="4">
        <f>IFERROR(__xludf.DUMMYFUNCTION("""COMPUTED_VALUE"""),0.0)</f>
        <v>0</v>
      </c>
      <c r="P833" s="2">
        <f>IFERROR(__xludf.DUMMYFUNCTION("""COMPUTED_VALUE"""),25.0)</f>
        <v>25</v>
      </c>
      <c r="Q833" s="2">
        <f>IFERROR(__xludf.DUMMYFUNCTION("""COMPUTED_VALUE"""),7.0)</f>
        <v>7</v>
      </c>
      <c r="R833" s="2">
        <f>IFERROR(__xludf.DUMMYFUNCTION("""COMPUTED_VALUE"""),2025.0)</f>
        <v>2025</v>
      </c>
      <c r="S833" s="2" t="str">
        <f>IFERROR(__xludf.DUMMYFUNCTION("""COMPUTED_VALUE"""),"Digizag")</f>
        <v>Digizag</v>
      </c>
      <c r="T833" s="2" t="str">
        <f>IFERROR(__xludf.DUMMYFUNCTION("""COMPUTED_VALUE"""),"Digizag")</f>
        <v>Digizag</v>
      </c>
      <c r="U833" s="5">
        <f>IFERROR(__xludf.DUMMYFUNCTION("""COMPUTED_VALUE"""),93.01565704480001)</f>
        <v>93.01565704</v>
      </c>
      <c r="V833" s="2"/>
      <c r="W833" s="2"/>
      <c r="X833" s="2"/>
      <c r="Y833" s="2"/>
      <c r="Z833" s="2"/>
    </row>
    <row r="834">
      <c r="A834" s="6">
        <f>IFERROR(__xludf.DUMMYFUNCTION("""COMPUTED_VALUE"""),45864.64916666666)</f>
        <v>45864.64917</v>
      </c>
      <c r="B834" s="2" t="str">
        <f>IFERROR(__xludf.DUMMYFUNCTION("""COMPUTED_VALUE"""),"July")</f>
        <v>July</v>
      </c>
      <c r="C834" s="3">
        <f>IFERROR(__xludf.DUMMYFUNCTION("""COMPUTED_VALUE"""),777180.0)</f>
        <v>777180</v>
      </c>
      <c r="D834" s="2" t="str">
        <f>IFERROR(__xludf.DUMMYFUNCTION("""COMPUTED_VALUE"""),"MNN27")</f>
        <v>MNN27</v>
      </c>
      <c r="E834" s="2" t="str">
        <f>IFERROR(__xludf.DUMMYFUNCTION("""COMPUTED_VALUE"""),"Imported from file DigiZag Bidding Codes.xlsx")</f>
        <v>Imported from file DigiZag Bidding Codes.xlsx</v>
      </c>
      <c r="F834" s="2" t="str">
        <f>IFERROR(__xludf.DUMMYFUNCTION("""COMPUTED_VALUE"""),"SVB126222")</f>
        <v>SVB126222</v>
      </c>
      <c r="G834" s="2" t="str">
        <f>IFERROR(__xludf.DUMMYFUNCTION("""COMPUTED_VALUE"""),"Kingdom of Saudi Arabia")</f>
        <v>Kingdom of Saudi Arabia</v>
      </c>
      <c r="H834" s="4">
        <f>IFERROR(__xludf.DUMMYFUNCTION("""COMPUTED_VALUE"""),59.08)</f>
        <v>59.08</v>
      </c>
      <c r="I834" s="3">
        <f>IFERROR(__xludf.DUMMYFUNCTION("""COMPUTED_VALUE"""),0.0)</f>
        <v>0</v>
      </c>
      <c r="J834" s="4">
        <f>IFERROR(__xludf.DUMMYFUNCTION("""COMPUTED_VALUE"""),14.77)</f>
        <v>14.77</v>
      </c>
      <c r="K834" s="2"/>
      <c r="L834" s="2" t="str">
        <f>IFERROR(__xludf.DUMMYFUNCTION("""COMPUTED_VALUE"""),"Delivered")</f>
        <v>Delivered</v>
      </c>
      <c r="M834" s="2" t="str">
        <f>IFERROR(__xludf.DUMMYFUNCTION("""COMPUTED_VALUE"""),"")</f>
        <v></v>
      </c>
      <c r="N834" s="2" t="str">
        <f>IFERROR(__xludf.DUMMYFUNCTION("""COMPUTED_VALUE"""),"Credit, Debit, Apple Pay")</f>
        <v>Credit, Debit, Apple Pay</v>
      </c>
      <c r="O834" s="4">
        <f>IFERROR(__xludf.DUMMYFUNCTION("""COMPUTED_VALUE"""),0.0)</f>
        <v>0</v>
      </c>
      <c r="P834" s="2">
        <f>IFERROR(__xludf.DUMMYFUNCTION("""COMPUTED_VALUE"""),26.0)</f>
        <v>26</v>
      </c>
      <c r="Q834" s="2">
        <f>IFERROR(__xludf.DUMMYFUNCTION("""COMPUTED_VALUE"""),7.0)</f>
        <v>7</v>
      </c>
      <c r="R834" s="2">
        <f>IFERROR(__xludf.DUMMYFUNCTION("""COMPUTED_VALUE"""),2025.0)</f>
        <v>2025</v>
      </c>
      <c r="S834" s="2" t="str">
        <f>IFERROR(__xludf.DUMMYFUNCTION("""COMPUTED_VALUE"""),"Digizag")</f>
        <v>Digizag</v>
      </c>
      <c r="T834" s="2" t="str">
        <f>IFERROR(__xludf.DUMMYFUNCTION("""COMPUTED_VALUE"""),"Digizag")</f>
        <v>Digizag</v>
      </c>
      <c r="U834" s="5">
        <f>IFERROR(__xludf.DUMMYFUNCTION("""COMPUTED_VALUE"""),15.753448397680001)</f>
        <v>15.7534484</v>
      </c>
      <c r="V834" s="2"/>
      <c r="W834" s="2"/>
      <c r="X834" s="2"/>
      <c r="Y834" s="2"/>
      <c r="Z834" s="2"/>
    </row>
    <row r="835">
      <c r="A835" s="6">
        <f>IFERROR(__xludf.DUMMYFUNCTION("""COMPUTED_VALUE"""),45864.87212962963)</f>
        <v>45864.87213</v>
      </c>
      <c r="B835" s="2" t="str">
        <f>IFERROR(__xludf.DUMMYFUNCTION("""COMPUTED_VALUE"""),"July")</f>
        <v>July</v>
      </c>
      <c r="C835" s="3">
        <f>IFERROR(__xludf.DUMMYFUNCTION("""COMPUTED_VALUE"""),96574.0)</f>
        <v>96574</v>
      </c>
      <c r="D835" s="2" t="str">
        <f>IFERROR(__xludf.DUMMYFUNCTION("""COMPUTED_VALUE"""),"ZM22")</f>
        <v>ZM22</v>
      </c>
      <c r="E835" s="2" t="str">
        <f>IFERROR(__xludf.DUMMYFUNCTION("""COMPUTED_VALUE"""),"Imported from file Digizag.xlsx")</f>
        <v>Imported from file Digizag.xlsx</v>
      </c>
      <c r="F835" s="2" t="str">
        <f>IFERROR(__xludf.DUMMYFUNCTION("""COMPUTED_VALUE"""),"JKV432919")</f>
        <v>JKV432919</v>
      </c>
      <c r="G835" s="2" t="str">
        <f>IFERROR(__xludf.DUMMYFUNCTION("""COMPUTED_VALUE"""),"UAE")</f>
        <v>UAE</v>
      </c>
      <c r="H835" s="4">
        <f>IFERROR(__xludf.DUMMYFUNCTION("""COMPUTED_VALUE"""),202.0)</f>
        <v>202</v>
      </c>
      <c r="I835" s="3">
        <f>IFERROR(__xludf.DUMMYFUNCTION("""COMPUTED_VALUE"""),0.0)</f>
        <v>0</v>
      </c>
      <c r="J835" s="4">
        <f>IFERROR(__xludf.DUMMYFUNCTION("""COMPUTED_VALUE"""),20.2)</f>
        <v>20.2</v>
      </c>
      <c r="K835" s="2"/>
      <c r="L835" s="2" t="str">
        <f>IFERROR(__xludf.DUMMYFUNCTION("""COMPUTED_VALUE"""),"Delivered")</f>
        <v>Delivered</v>
      </c>
      <c r="M835" s="2" t="str">
        <f>IFERROR(__xludf.DUMMYFUNCTION("""COMPUTED_VALUE"""),"")</f>
        <v></v>
      </c>
      <c r="N835" s="2" t="str">
        <f>IFERROR(__xludf.DUMMYFUNCTION("""COMPUTED_VALUE"""),"Credit, Debit , Apple Pay")</f>
        <v>Credit, Debit , Apple Pay</v>
      </c>
      <c r="O835" s="4">
        <f>IFERROR(__xludf.DUMMYFUNCTION("""COMPUTED_VALUE"""),0.0)</f>
        <v>0</v>
      </c>
      <c r="P835" s="2">
        <f>IFERROR(__xludf.DUMMYFUNCTION("""COMPUTED_VALUE"""),26.0)</f>
        <v>26</v>
      </c>
      <c r="Q835" s="2">
        <f>IFERROR(__xludf.DUMMYFUNCTION("""COMPUTED_VALUE"""),7.0)</f>
        <v>7</v>
      </c>
      <c r="R835" s="2">
        <f>IFERROR(__xludf.DUMMYFUNCTION("""COMPUTED_VALUE"""),2025.0)</f>
        <v>2025</v>
      </c>
      <c r="S835" s="2" t="str">
        <f>IFERROR(__xludf.DUMMYFUNCTION("""COMPUTED_VALUE"""),"Digizag")</f>
        <v>Digizag</v>
      </c>
      <c r="T835" s="2" t="str">
        <f>IFERROR(__xludf.DUMMYFUNCTION("""COMPUTED_VALUE"""),"Digizag")</f>
        <v>Digizag</v>
      </c>
      <c r="U835" s="5">
        <f>IFERROR(__xludf.DUMMYFUNCTION("""COMPUTED_VALUE"""),55.003403756)</f>
        <v>55.00340376</v>
      </c>
      <c r="V835" s="2"/>
      <c r="W835" s="2"/>
      <c r="X835" s="2"/>
      <c r="Y835" s="2"/>
      <c r="Z835" s="2"/>
    </row>
    <row r="836">
      <c r="A836" s="6">
        <f>IFERROR(__xludf.DUMMYFUNCTION("""COMPUTED_VALUE"""),45865.6268287037)</f>
        <v>45865.62683</v>
      </c>
      <c r="B836" s="2" t="str">
        <f>IFERROR(__xludf.DUMMYFUNCTION("""COMPUTED_VALUE"""),"July")</f>
        <v>July</v>
      </c>
      <c r="C836" s="3">
        <f>IFERROR(__xludf.DUMMYFUNCTION("""COMPUTED_VALUE"""),760504.0)</f>
        <v>760504</v>
      </c>
      <c r="D836" s="2" t="str">
        <f>IFERROR(__xludf.DUMMYFUNCTION("""COMPUTED_VALUE"""),"ZM22")</f>
        <v>ZM22</v>
      </c>
      <c r="E836" s="2" t="str">
        <f>IFERROR(__xludf.DUMMYFUNCTION("""COMPUTED_VALUE"""),"Imported from file Digizag.xlsx")</f>
        <v>Imported from file Digizag.xlsx</v>
      </c>
      <c r="F836" s="2" t="str">
        <f>IFERROR(__xludf.DUMMYFUNCTION("""COMPUTED_VALUE"""),"LZC330019")</f>
        <v>LZC330019</v>
      </c>
      <c r="G836" s="2" t="str">
        <f>IFERROR(__xludf.DUMMYFUNCTION("""COMPUTED_VALUE"""),"UAE")</f>
        <v>UAE</v>
      </c>
      <c r="H836" s="4">
        <f>IFERROR(__xludf.DUMMYFUNCTION("""COMPUTED_VALUE"""),312.0)</f>
        <v>312</v>
      </c>
      <c r="I836" s="3">
        <f>IFERROR(__xludf.DUMMYFUNCTION("""COMPUTED_VALUE"""),0.0)</f>
        <v>0</v>
      </c>
      <c r="J836" s="4">
        <f>IFERROR(__xludf.DUMMYFUNCTION("""COMPUTED_VALUE"""),31.2)</f>
        <v>31.2</v>
      </c>
      <c r="K836" s="2"/>
      <c r="L836" s="2" t="str">
        <f>IFERROR(__xludf.DUMMYFUNCTION("""COMPUTED_VALUE"""),"Delivered")</f>
        <v>Delivered</v>
      </c>
      <c r="M836" s="2" t="str">
        <f>IFERROR(__xludf.DUMMYFUNCTION("""COMPUTED_VALUE"""),"")</f>
        <v></v>
      </c>
      <c r="N836" s="2" t="str">
        <f>IFERROR(__xludf.DUMMYFUNCTION("""COMPUTED_VALUE"""),"Credit, Debit , Apple Pay")</f>
        <v>Credit, Debit , Apple Pay</v>
      </c>
      <c r="O836" s="4">
        <f>IFERROR(__xludf.DUMMYFUNCTION("""COMPUTED_VALUE"""),0.0)</f>
        <v>0</v>
      </c>
      <c r="P836" s="2">
        <f>IFERROR(__xludf.DUMMYFUNCTION("""COMPUTED_VALUE"""),27.0)</f>
        <v>27</v>
      </c>
      <c r="Q836" s="2">
        <f>IFERROR(__xludf.DUMMYFUNCTION("""COMPUTED_VALUE"""),7.0)</f>
        <v>7</v>
      </c>
      <c r="R836" s="2">
        <f>IFERROR(__xludf.DUMMYFUNCTION("""COMPUTED_VALUE"""),2025.0)</f>
        <v>2025</v>
      </c>
      <c r="S836" s="2" t="str">
        <f>IFERROR(__xludf.DUMMYFUNCTION("""COMPUTED_VALUE"""),"Digizag")</f>
        <v>Digizag</v>
      </c>
      <c r="T836" s="2" t="str">
        <f>IFERROR(__xludf.DUMMYFUNCTION("""COMPUTED_VALUE"""),"Digizag")</f>
        <v>Digizag</v>
      </c>
      <c r="U836" s="5">
        <f>IFERROR(__xludf.DUMMYFUNCTION("""COMPUTED_VALUE"""),84.955752336)</f>
        <v>84.95575234</v>
      </c>
      <c r="V836" s="2"/>
      <c r="W836" s="2"/>
      <c r="X836" s="2"/>
      <c r="Y836" s="2"/>
      <c r="Z836" s="2"/>
    </row>
    <row r="837">
      <c r="A837" s="6">
        <f>IFERROR(__xludf.DUMMYFUNCTION("""COMPUTED_VALUE"""),45865.66884259259)</f>
        <v>45865.66884</v>
      </c>
      <c r="B837" s="2" t="str">
        <f>IFERROR(__xludf.DUMMYFUNCTION("""COMPUTED_VALUE"""),"July")</f>
        <v>July</v>
      </c>
      <c r="C837" s="3">
        <f>IFERROR(__xludf.DUMMYFUNCTION("""COMPUTED_VALUE"""),281021.0)</f>
        <v>281021</v>
      </c>
      <c r="D837" s="2" t="str">
        <f>IFERROR(__xludf.DUMMYFUNCTION("""COMPUTED_VALUE"""),"JM")</f>
        <v>JM</v>
      </c>
      <c r="E837" s="2" t="str">
        <f>IFERROR(__xludf.DUMMYFUNCTION("""COMPUTED_VALUE"""),"DigiZag")</f>
        <v>DigiZag</v>
      </c>
      <c r="F837" s="2" t="str">
        <f>IFERROR(__xludf.DUMMYFUNCTION("""COMPUTED_VALUE"""),"YHR985392")</f>
        <v>YHR985392</v>
      </c>
      <c r="G837" s="2" t="str">
        <f>IFERROR(__xludf.DUMMYFUNCTION("""COMPUTED_VALUE"""),"Bahrain")</f>
        <v>Bahrain</v>
      </c>
      <c r="H837" s="4">
        <f>IFERROR(__xludf.DUMMYFUNCTION("""COMPUTED_VALUE"""),15.0)</f>
        <v>15</v>
      </c>
      <c r="I837" s="3">
        <f>IFERROR(__xludf.DUMMYFUNCTION("""COMPUTED_VALUE"""),0.0)</f>
        <v>0</v>
      </c>
      <c r="J837" s="4">
        <f>IFERROR(__xludf.DUMMYFUNCTION("""COMPUTED_VALUE"""),1.5)</f>
        <v>1.5</v>
      </c>
      <c r="K837" s="2"/>
      <c r="L837" s="2" t="str">
        <f>IFERROR(__xludf.DUMMYFUNCTION("""COMPUTED_VALUE"""),"Delivered")</f>
        <v>Delivered</v>
      </c>
      <c r="M837" s="2" t="str">
        <f>IFERROR(__xludf.DUMMYFUNCTION("""COMPUTED_VALUE"""),"BHD")</f>
        <v>BHD</v>
      </c>
      <c r="N837" s="2" t="str">
        <f>IFERROR(__xludf.DUMMYFUNCTION("""COMPUTED_VALUE"""),"Credit, Debit")</f>
        <v>Credit, Debit</v>
      </c>
      <c r="O837" s="4">
        <f>IFERROR(__xludf.DUMMYFUNCTION("""COMPUTED_VALUE"""),0.0)</f>
        <v>0</v>
      </c>
      <c r="P837" s="2">
        <f>IFERROR(__xludf.DUMMYFUNCTION("""COMPUTED_VALUE"""),27.0)</f>
        <v>27</v>
      </c>
      <c r="Q837" s="2">
        <f>IFERROR(__xludf.DUMMYFUNCTION("""COMPUTED_VALUE"""),7.0)</f>
        <v>7</v>
      </c>
      <c r="R837" s="2">
        <f>IFERROR(__xludf.DUMMYFUNCTION("""COMPUTED_VALUE"""),2025.0)</f>
        <v>2025</v>
      </c>
      <c r="S837" s="2" t="str">
        <f>IFERROR(__xludf.DUMMYFUNCTION("""COMPUTED_VALUE"""),"Digizag")</f>
        <v>Digizag</v>
      </c>
      <c r="T837" s="2" t="str">
        <f>IFERROR(__xludf.DUMMYFUNCTION("""COMPUTED_VALUE"""),"Digizag")</f>
        <v>Digizag</v>
      </c>
      <c r="U837" s="5">
        <f>IFERROR(__xludf.DUMMYFUNCTION("""COMPUTED_VALUE"""),39.793755)</f>
        <v>39.793755</v>
      </c>
      <c r="V837" s="2"/>
      <c r="W837" s="2"/>
      <c r="X837" s="2"/>
      <c r="Y837" s="2"/>
      <c r="Z837" s="2"/>
    </row>
    <row r="838">
      <c r="A838" s="6">
        <f>IFERROR(__xludf.DUMMYFUNCTION("""COMPUTED_VALUE"""),45865.80376157407)</f>
        <v>45865.80376</v>
      </c>
      <c r="B838" s="2" t="str">
        <f>IFERROR(__xludf.DUMMYFUNCTION("""COMPUTED_VALUE"""),"July")</f>
        <v>July</v>
      </c>
      <c r="C838" s="3">
        <f>IFERROR(__xludf.DUMMYFUNCTION("""COMPUTED_VALUE"""),190696.0)</f>
        <v>190696</v>
      </c>
      <c r="D838" s="2" t="str">
        <f>IFERROR(__xludf.DUMMYFUNCTION("""COMPUTED_VALUE"""),"MNN27")</f>
        <v>MNN27</v>
      </c>
      <c r="E838" s="2" t="str">
        <f>IFERROR(__xludf.DUMMYFUNCTION("""COMPUTED_VALUE"""),"Imported from file DigiZag Bidding Codes.xlsx")</f>
        <v>Imported from file DigiZag Bidding Codes.xlsx</v>
      </c>
      <c r="F838" s="2" t="str">
        <f>IFERROR(__xludf.DUMMYFUNCTION("""COMPUTED_VALUE"""),"LBW144523")</f>
        <v>LBW144523</v>
      </c>
      <c r="G838" s="2" t="str">
        <f>IFERROR(__xludf.DUMMYFUNCTION("""COMPUTED_VALUE"""),"Kingdom of Saudi Arabia")</f>
        <v>Kingdom of Saudi Arabia</v>
      </c>
      <c r="H838" s="4">
        <f>IFERROR(__xludf.DUMMYFUNCTION("""COMPUTED_VALUE"""),246.0)</f>
        <v>246</v>
      </c>
      <c r="I838" s="3">
        <f>IFERROR(__xludf.DUMMYFUNCTION("""COMPUTED_VALUE"""),0.0)</f>
        <v>0</v>
      </c>
      <c r="J838" s="4">
        <f>IFERROR(__xludf.DUMMYFUNCTION("""COMPUTED_VALUE"""),30.0)</f>
        <v>30</v>
      </c>
      <c r="K838" s="2"/>
      <c r="L838" s="2" t="str">
        <f>IFERROR(__xludf.DUMMYFUNCTION("""COMPUTED_VALUE"""),"Delivered")</f>
        <v>Delivered</v>
      </c>
      <c r="M838" s="2" t="str">
        <f>IFERROR(__xludf.DUMMYFUNCTION("""COMPUTED_VALUE"""),"")</f>
        <v></v>
      </c>
      <c r="N838" s="2" t="str">
        <f>IFERROR(__xludf.DUMMYFUNCTION("""COMPUTED_VALUE"""),"Credit, Debit, Apple Pay")</f>
        <v>Credit, Debit, Apple Pay</v>
      </c>
      <c r="O838" s="4">
        <f>IFERROR(__xludf.DUMMYFUNCTION("""COMPUTED_VALUE"""),0.0)</f>
        <v>0</v>
      </c>
      <c r="P838" s="2">
        <f>IFERROR(__xludf.DUMMYFUNCTION("""COMPUTED_VALUE"""),27.0)</f>
        <v>27</v>
      </c>
      <c r="Q838" s="2">
        <f>IFERROR(__xludf.DUMMYFUNCTION("""COMPUTED_VALUE"""),7.0)</f>
        <v>7</v>
      </c>
      <c r="R838" s="2">
        <f>IFERROR(__xludf.DUMMYFUNCTION("""COMPUTED_VALUE"""),2025.0)</f>
        <v>2025</v>
      </c>
      <c r="S838" s="2" t="str">
        <f>IFERROR(__xludf.DUMMYFUNCTION("""COMPUTED_VALUE"""),"Digizag")</f>
        <v>Digizag</v>
      </c>
      <c r="T838" s="2" t="str">
        <f>IFERROR(__xludf.DUMMYFUNCTION("""COMPUTED_VALUE"""),"Digizag")</f>
        <v>Digizag</v>
      </c>
      <c r="U838" s="5">
        <f>IFERROR(__xludf.DUMMYFUNCTION("""COMPUTED_VALUE"""),65.59492731600001)</f>
        <v>65.59492732</v>
      </c>
      <c r="V838" s="2"/>
      <c r="W838" s="2"/>
      <c r="X838" s="2"/>
      <c r="Y838" s="2"/>
      <c r="Z838" s="2"/>
    </row>
    <row r="839">
      <c r="A839" s="6">
        <f>IFERROR(__xludf.DUMMYFUNCTION("""COMPUTED_VALUE"""),45865.89974537037)</f>
        <v>45865.89975</v>
      </c>
      <c r="B839" s="2" t="str">
        <f>IFERROR(__xludf.DUMMYFUNCTION("""COMPUTED_VALUE"""),"July")</f>
        <v>July</v>
      </c>
      <c r="C839" s="3">
        <f>IFERROR(__xludf.DUMMYFUNCTION("""COMPUTED_VALUE"""),115009.0)</f>
        <v>115009</v>
      </c>
      <c r="D839" s="2" t="str">
        <f>IFERROR(__xludf.DUMMYFUNCTION("""COMPUTED_VALUE"""),"DG10")</f>
        <v>DG10</v>
      </c>
      <c r="E839" s="2" t="str">
        <f>IFERROR(__xludf.DUMMYFUNCTION("""COMPUTED_VALUE"""),"Imported from file Digizag.xlsx")</f>
        <v>Imported from file Digizag.xlsx</v>
      </c>
      <c r="F839" s="2" t="str">
        <f>IFERROR(__xludf.DUMMYFUNCTION("""COMPUTED_VALUE"""),"KRD319520")</f>
        <v>KRD319520</v>
      </c>
      <c r="G839" s="2" t="str">
        <f>IFERROR(__xludf.DUMMYFUNCTION("""COMPUTED_VALUE"""),"Kingdom of Saudi Arabia")</f>
        <v>Kingdom of Saudi Arabia</v>
      </c>
      <c r="H839" s="4">
        <f>IFERROR(__xludf.DUMMYFUNCTION("""COMPUTED_VALUE"""),150.0)</f>
        <v>150</v>
      </c>
      <c r="I839" s="3">
        <f>IFERROR(__xludf.DUMMYFUNCTION("""COMPUTED_VALUE"""),0.0)</f>
        <v>0</v>
      </c>
      <c r="J839" s="4">
        <f>IFERROR(__xludf.DUMMYFUNCTION("""COMPUTED_VALUE"""),30.0)</f>
        <v>30</v>
      </c>
      <c r="K839" s="2"/>
      <c r="L839" s="2" t="str">
        <f>IFERROR(__xludf.DUMMYFUNCTION("""COMPUTED_VALUE"""),"Delivered")</f>
        <v>Delivered</v>
      </c>
      <c r="M839" s="2" t="str">
        <f>IFERROR(__xludf.DUMMYFUNCTION("""COMPUTED_VALUE"""),"")</f>
        <v></v>
      </c>
      <c r="N839" s="2" t="str">
        <f>IFERROR(__xludf.DUMMYFUNCTION("""COMPUTED_VALUE"""),"Credit, Debit, Apple Pay")</f>
        <v>Credit, Debit, Apple Pay</v>
      </c>
      <c r="O839" s="4">
        <f>IFERROR(__xludf.DUMMYFUNCTION("""COMPUTED_VALUE"""),0.0)</f>
        <v>0</v>
      </c>
      <c r="P839" s="2">
        <f>IFERROR(__xludf.DUMMYFUNCTION("""COMPUTED_VALUE"""),27.0)</f>
        <v>27</v>
      </c>
      <c r="Q839" s="2">
        <f>IFERROR(__xludf.DUMMYFUNCTION("""COMPUTED_VALUE"""),7.0)</f>
        <v>7</v>
      </c>
      <c r="R839" s="2">
        <f>IFERROR(__xludf.DUMMYFUNCTION("""COMPUTED_VALUE"""),2025.0)</f>
        <v>2025</v>
      </c>
      <c r="S839" s="2" t="str">
        <f>IFERROR(__xludf.DUMMYFUNCTION("""COMPUTED_VALUE"""),"Digizag")</f>
        <v>Digizag</v>
      </c>
      <c r="T839" s="2" t="str">
        <f>IFERROR(__xludf.DUMMYFUNCTION("""COMPUTED_VALUE"""),"Digizag")</f>
        <v>Digizag</v>
      </c>
      <c r="U839" s="5">
        <f>IFERROR(__xludf.DUMMYFUNCTION("""COMPUTED_VALUE"""),39.996906900000006)</f>
        <v>39.9969069</v>
      </c>
      <c r="V839" s="2"/>
      <c r="W839" s="2"/>
      <c r="X839" s="2"/>
      <c r="Y839" s="2"/>
      <c r="Z839" s="2"/>
    </row>
    <row r="840">
      <c r="A840" s="6">
        <f>IFERROR(__xludf.DUMMYFUNCTION("""COMPUTED_VALUE"""),45866.356469907405)</f>
        <v>45866.35647</v>
      </c>
      <c r="B840" s="2" t="str">
        <f>IFERROR(__xludf.DUMMYFUNCTION("""COMPUTED_VALUE"""),"July")</f>
        <v>July</v>
      </c>
      <c r="C840" s="3">
        <f>IFERROR(__xludf.DUMMYFUNCTION("""COMPUTED_VALUE"""),777958.0)</f>
        <v>777958</v>
      </c>
      <c r="D840" s="2" t="str">
        <f>IFERROR(__xludf.DUMMYFUNCTION("""COMPUTED_VALUE"""),"RR22")</f>
        <v>RR22</v>
      </c>
      <c r="E840" s="2" t="str">
        <f>IFERROR(__xludf.DUMMYFUNCTION("""COMPUTED_VALUE"""),"Imported from file Digizag.xlsx")</f>
        <v>Imported from file Digizag.xlsx</v>
      </c>
      <c r="F840" s="2" t="str">
        <f>IFERROR(__xludf.DUMMYFUNCTION("""COMPUTED_VALUE"""),"WZM675964")</f>
        <v>WZM675964</v>
      </c>
      <c r="G840" s="2" t="str">
        <f>IFERROR(__xludf.DUMMYFUNCTION("""COMPUTED_VALUE"""),"UAE")</f>
        <v>UAE</v>
      </c>
      <c r="H840" s="4">
        <f>IFERROR(__xludf.DUMMYFUNCTION("""COMPUTED_VALUE"""),120.0)</f>
        <v>120</v>
      </c>
      <c r="I840" s="3">
        <f>IFERROR(__xludf.DUMMYFUNCTION("""COMPUTED_VALUE"""),0.0)</f>
        <v>0</v>
      </c>
      <c r="J840" s="4">
        <f>IFERROR(__xludf.DUMMYFUNCTION("""COMPUTED_VALUE"""),12.0)</f>
        <v>12</v>
      </c>
      <c r="K840" s="2"/>
      <c r="L840" s="2" t="str">
        <f>IFERROR(__xludf.DUMMYFUNCTION("""COMPUTED_VALUE"""),"Delivered")</f>
        <v>Delivered</v>
      </c>
      <c r="M840" s="2" t="str">
        <f>IFERROR(__xludf.DUMMYFUNCTION("""COMPUTED_VALUE"""),"")</f>
        <v></v>
      </c>
      <c r="N840" s="2" t="str">
        <f>IFERROR(__xludf.DUMMYFUNCTION("""COMPUTED_VALUE"""),"Credit, Debit , Apple Pay")</f>
        <v>Credit, Debit , Apple Pay</v>
      </c>
      <c r="O840" s="4">
        <f>IFERROR(__xludf.DUMMYFUNCTION("""COMPUTED_VALUE"""),0.0)</f>
        <v>0</v>
      </c>
      <c r="P840" s="2">
        <f>IFERROR(__xludf.DUMMYFUNCTION("""COMPUTED_VALUE"""),28.0)</f>
        <v>28</v>
      </c>
      <c r="Q840" s="2">
        <f>IFERROR(__xludf.DUMMYFUNCTION("""COMPUTED_VALUE"""),7.0)</f>
        <v>7</v>
      </c>
      <c r="R840" s="2">
        <f>IFERROR(__xludf.DUMMYFUNCTION("""COMPUTED_VALUE"""),2025.0)</f>
        <v>2025</v>
      </c>
      <c r="S840" s="2" t="str">
        <f>IFERROR(__xludf.DUMMYFUNCTION("""COMPUTED_VALUE"""),"Digizag")</f>
        <v>Digizag</v>
      </c>
      <c r="T840" s="2" t="str">
        <f>IFERROR(__xludf.DUMMYFUNCTION("""COMPUTED_VALUE"""),"Digizag")</f>
        <v>Digizag</v>
      </c>
      <c r="U840" s="5">
        <f>IFERROR(__xludf.DUMMYFUNCTION("""COMPUTED_VALUE"""),32.67528936)</f>
        <v>32.67528936</v>
      </c>
      <c r="V840" s="2"/>
      <c r="W840" s="2"/>
      <c r="X840" s="2"/>
      <c r="Y840" s="2"/>
      <c r="Z840" s="2"/>
    </row>
    <row r="841">
      <c r="A841" s="6">
        <f>IFERROR(__xludf.DUMMYFUNCTION("""COMPUTED_VALUE"""),45866.71898148148)</f>
        <v>45866.71898</v>
      </c>
      <c r="B841" s="2" t="str">
        <f>IFERROR(__xludf.DUMMYFUNCTION("""COMPUTED_VALUE"""),"July")</f>
        <v>July</v>
      </c>
      <c r="C841" s="3">
        <f>IFERROR(__xludf.DUMMYFUNCTION("""COMPUTED_VALUE"""),537497.0)</f>
        <v>537497</v>
      </c>
      <c r="D841" s="2" t="str">
        <f>IFERROR(__xludf.DUMMYFUNCTION("""COMPUTED_VALUE"""),"RR22")</f>
        <v>RR22</v>
      </c>
      <c r="E841" s="2" t="str">
        <f>IFERROR(__xludf.DUMMYFUNCTION("""COMPUTED_VALUE"""),"Imported from file Digizag.xlsx")</f>
        <v>Imported from file Digizag.xlsx</v>
      </c>
      <c r="F841" s="2" t="str">
        <f>IFERROR(__xludf.DUMMYFUNCTION("""COMPUTED_VALUE"""),"DQC432569")</f>
        <v>DQC432569</v>
      </c>
      <c r="G841" s="2" t="str">
        <f>IFERROR(__xludf.DUMMYFUNCTION("""COMPUTED_VALUE"""),"UAE")</f>
        <v>UAE</v>
      </c>
      <c r="H841" s="4">
        <f>IFERROR(__xludf.DUMMYFUNCTION("""COMPUTED_VALUE"""),125.0)</f>
        <v>125</v>
      </c>
      <c r="I841" s="3">
        <f>IFERROR(__xludf.DUMMYFUNCTION("""COMPUTED_VALUE"""),0.0)</f>
        <v>0</v>
      </c>
      <c r="J841" s="4">
        <f>IFERROR(__xludf.DUMMYFUNCTION("""COMPUTED_VALUE"""),12.5)</f>
        <v>12.5</v>
      </c>
      <c r="K841" s="2"/>
      <c r="L841" s="2" t="str">
        <f>IFERROR(__xludf.DUMMYFUNCTION("""COMPUTED_VALUE"""),"Delivered")</f>
        <v>Delivered</v>
      </c>
      <c r="M841" s="2" t="str">
        <f>IFERROR(__xludf.DUMMYFUNCTION("""COMPUTED_VALUE"""),"")</f>
        <v></v>
      </c>
      <c r="N841" s="2" t="str">
        <f>IFERROR(__xludf.DUMMYFUNCTION("""COMPUTED_VALUE"""),"Credit, Debit , Apple Pay")</f>
        <v>Credit, Debit , Apple Pay</v>
      </c>
      <c r="O841" s="4">
        <f>IFERROR(__xludf.DUMMYFUNCTION("""COMPUTED_VALUE"""),0.0)</f>
        <v>0</v>
      </c>
      <c r="P841" s="2">
        <f>IFERROR(__xludf.DUMMYFUNCTION("""COMPUTED_VALUE"""),28.0)</f>
        <v>28</v>
      </c>
      <c r="Q841" s="2">
        <f>IFERROR(__xludf.DUMMYFUNCTION("""COMPUTED_VALUE"""),7.0)</f>
        <v>7</v>
      </c>
      <c r="R841" s="2">
        <f>IFERROR(__xludf.DUMMYFUNCTION("""COMPUTED_VALUE"""),2025.0)</f>
        <v>2025</v>
      </c>
      <c r="S841" s="2" t="str">
        <f>IFERROR(__xludf.DUMMYFUNCTION("""COMPUTED_VALUE"""),"Digizag")</f>
        <v>Digizag</v>
      </c>
      <c r="T841" s="2" t="str">
        <f>IFERROR(__xludf.DUMMYFUNCTION("""COMPUTED_VALUE"""),"Digizag")</f>
        <v>Digizag</v>
      </c>
      <c r="U841" s="5">
        <f>IFERROR(__xludf.DUMMYFUNCTION("""COMPUTED_VALUE"""),34.03675975)</f>
        <v>34.03675975</v>
      </c>
      <c r="V841" s="2"/>
      <c r="W841" s="2"/>
      <c r="X841" s="2"/>
      <c r="Y841" s="2"/>
      <c r="Z841" s="2"/>
    </row>
    <row r="842">
      <c r="A842" s="6">
        <f>IFERROR(__xludf.DUMMYFUNCTION("""COMPUTED_VALUE"""),45866.75222222222)</f>
        <v>45866.75222</v>
      </c>
      <c r="B842" s="2" t="str">
        <f>IFERROR(__xludf.DUMMYFUNCTION("""COMPUTED_VALUE"""),"July")</f>
        <v>July</v>
      </c>
      <c r="C842" s="3">
        <f>IFERROR(__xludf.DUMMYFUNCTION("""COMPUTED_VALUE"""),35318.0)</f>
        <v>35318</v>
      </c>
      <c r="D842" s="2" t="str">
        <f>IFERROR(__xludf.DUMMYFUNCTION("""COMPUTED_VALUE"""),"JM")</f>
        <v>JM</v>
      </c>
      <c r="E842" s="2" t="str">
        <f>IFERROR(__xludf.DUMMYFUNCTION("""COMPUTED_VALUE"""),"DigiZag")</f>
        <v>DigiZag</v>
      </c>
      <c r="F842" s="2" t="str">
        <f>IFERROR(__xludf.DUMMYFUNCTION("""COMPUTED_VALUE"""),"MKD335821")</f>
        <v>MKD335821</v>
      </c>
      <c r="G842" s="2" t="str">
        <f>IFERROR(__xludf.DUMMYFUNCTION("""COMPUTED_VALUE"""),"Kingdom of Saudi Arabia")</f>
        <v>Kingdom of Saudi Arabia</v>
      </c>
      <c r="H842" s="4">
        <f>IFERROR(__xludf.DUMMYFUNCTION("""COMPUTED_VALUE"""),467.78)</f>
        <v>467.78</v>
      </c>
      <c r="I842" s="3">
        <f>IFERROR(__xludf.DUMMYFUNCTION("""COMPUTED_VALUE"""),0.0)</f>
        <v>0</v>
      </c>
      <c r="J842" s="4">
        <f>IFERROR(__xludf.DUMMYFUNCTION("""COMPUTED_VALUE"""),30.0)</f>
        <v>30</v>
      </c>
      <c r="K842" s="2"/>
      <c r="L842" s="2" t="str">
        <f>IFERROR(__xludf.DUMMYFUNCTION("""COMPUTED_VALUE"""),"Delivered")</f>
        <v>Delivered</v>
      </c>
      <c r="M842" s="2" t="str">
        <f>IFERROR(__xludf.DUMMYFUNCTION("""COMPUTED_VALUE"""),"")</f>
        <v></v>
      </c>
      <c r="N842" s="2" t="str">
        <f>IFERROR(__xludf.DUMMYFUNCTION("""COMPUTED_VALUE"""),"Credit, Debit, Apple Pay")</f>
        <v>Credit, Debit, Apple Pay</v>
      </c>
      <c r="O842" s="4">
        <f>IFERROR(__xludf.DUMMYFUNCTION("""COMPUTED_VALUE"""),0.0)</f>
        <v>0</v>
      </c>
      <c r="P842" s="2">
        <f>IFERROR(__xludf.DUMMYFUNCTION("""COMPUTED_VALUE"""),28.0)</f>
        <v>28</v>
      </c>
      <c r="Q842" s="2">
        <f>IFERROR(__xludf.DUMMYFUNCTION("""COMPUTED_VALUE"""),7.0)</f>
        <v>7</v>
      </c>
      <c r="R842" s="2">
        <f>IFERROR(__xludf.DUMMYFUNCTION("""COMPUTED_VALUE"""),2025.0)</f>
        <v>2025</v>
      </c>
      <c r="S842" s="2" t="str">
        <f>IFERROR(__xludf.DUMMYFUNCTION("""COMPUTED_VALUE"""),"Digizag")</f>
        <v>Digizag</v>
      </c>
      <c r="T842" s="2" t="str">
        <f>IFERROR(__xludf.DUMMYFUNCTION("""COMPUTED_VALUE"""),"Digizag")</f>
        <v>Digizag</v>
      </c>
      <c r="U842" s="5">
        <f>IFERROR(__xludf.DUMMYFUNCTION("""COMPUTED_VALUE"""),124.73168739788001)</f>
        <v>124.7316874</v>
      </c>
      <c r="V842" s="2"/>
      <c r="W842" s="2"/>
      <c r="X842" s="2"/>
      <c r="Y842" s="2"/>
      <c r="Z842" s="2"/>
    </row>
    <row r="843">
      <c r="A843" s="6">
        <f>IFERROR(__xludf.DUMMYFUNCTION("""COMPUTED_VALUE"""),45867.37799768518)</f>
        <v>45867.378</v>
      </c>
      <c r="B843" s="2" t="str">
        <f>IFERROR(__xludf.DUMMYFUNCTION("""COMPUTED_VALUE"""),"July")</f>
        <v>July</v>
      </c>
      <c r="C843" s="3">
        <f>IFERROR(__xludf.DUMMYFUNCTION("""COMPUTED_VALUE"""),252971.0)</f>
        <v>252971</v>
      </c>
      <c r="D843" s="2" t="str">
        <f>IFERROR(__xludf.DUMMYFUNCTION("""COMPUTED_VALUE"""),"JM")</f>
        <v>JM</v>
      </c>
      <c r="E843" s="2" t="str">
        <f>IFERROR(__xludf.DUMMYFUNCTION("""COMPUTED_VALUE"""),"DigiZag")</f>
        <v>DigiZag</v>
      </c>
      <c r="F843" s="2" t="str">
        <f>IFERROR(__xludf.DUMMYFUNCTION("""COMPUTED_VALUE"""),"GMN349353")</f>
        <v>GMN349353</v>
      </c>
      <c r="G843" s="2" t="str">
        <f>IFERROR(__xludf.DUMMYFUNCTION("""COMPUTED_VALUE"""),"Kingdom of Saudi Arabia")</f>
        <v>Kingdom of Saudi Arabia</v>
      </c>
      <c r="H843" s="4">
        <f>IFERROR(__xludf.DUMMYFUNCTION("""COMPUTED_VALUE"""),87.36)</f>
        <v>87.36</v>
      </c>
      <c r="I843" s="3">
        <f>IFERROR(__xludf.DUMMYFUNCTION("""COMPUTED_VALUE"""),0.0)</f>
        <v>0</v>
      </c>
      <c r="J843" s="4">
        <f>IFERROR(__xludf.DUMMYFUNCTION("""COMPUTED_VALUE"""),21.84)</f>
        <v>21.84</v>
      </c>
      <c r="K843" s="2"/>
      <c r="L843" s="2" t="str">
        <f>IFERROR(__xludf.DUMMYFUNCTION("""COMPUTED_VALUE"""),"Delivered")</f>
        <v>Delivered</v>
      </c>
      <c r="M843" s="2" t="str">
        <f>IFERROR(__xludf.DUMMYFUNCTION("""COMPUTED_VALUE"""),"")</f>
        <v></v>
      </c>
      <c r="N843" s="2" t="str">
        <f>IFERROR(__xludf.DUMMYFUNCTION("""COMPUTED_VALUE"""),"Credit, Debit, Apple Pay")</f>
        <v>Credit, Debit, Apple Pay</v>
      </c>
      <c r="O843" s="4">
        <f>IFERROR(__xludf.DUMMYFUNCTION("""COMPUTED_VALUE"""),0.0)</f>
        <v>0</v>
      </c>
      <c r="P843" s="2">
        <f>IFERROR(__xludf.DUMMYFUNCTION("""COMPUTED_VALUE"""),29.0)</f>
        <v>29</v>
      </c>
      <c r="Q843" s="2">
        <f>IFERROR(__xludf.DUMMYFUNCTION("""COMPUTED_VALUE"""),7.0)</f>
        <v>7</v>
      </c>
      <c r="R843" s="2">
        <f>IFERROR(__xludf.DUMMYFUNCTION("""COMPUTED_VALUE"""),2025.0)</f>
        <v>2025</v>
      </c>
      <c r="S843" s="2" t="str">
        <f>IFERROR(__xludf.DUMMYFUNCTION("""COMPUTED_VALUE"""),"Digizag")</f>
        <v>Digizag</v>
      </c>
      <c r="T843" s="2" t="str">
        <f>IFERROR(__xludf.DUMMYFUNCTION("""COMPUTED_VALUE"""),"Digizag")</f>
        <v>Digizag</v>
      </c>
      <c r="U843" s="5">
        <f>IFERROR(__xludf.DUMMYFUNCTION("""COMPUTED_VALUE"""),23.294198578560003)</f>
        <v>23.29419858</v>
      </c>
      <c r="V843" s="2"/>
      <c r="W843" s="2"/>
      <c r="X843" s="2"/>
      <c r="Y843" s="2"/>
      <c r="Z843" s="2"/>
    </row>
    <row r="844">
      <c r="A844" s="6">
        <f>IFERROR(__xludf.DUMMYFUNCTION("""COMPUTED_VALUE"""),45867.4702662037)</f>
        <v>45867.47027</v>
      </c>
      <c r="B844" s="2" t="str">
        <f>IFERROR(__xludf.DUMMYFUNCTION("""COMPUTED_VALUE"""),"July")</f>
        <v>July</v>
      </c>
      <c r="C844" s="3">
        <f>IFERROR(__xludf.DUMMYFUNCTION("""COMPUTED_VALUE"""),27411.0)</f>
        <v>27411</v>
      </c>
      <c r="D844" s="2" t="str">
        <f>IFERROR(__xludf.DUMMYFUNCTION("""COMPUTED_VALUE"""),"ZM22")</f>
        <v>ZM22</v>
      </c>
      <c r="E844" s="2" t="str">
        <f>IFERROR(__xludf.DUMMYFUNCTION("""COMPUTED_VALUE"""),"Imported from file Digizag.xlsx")</f>
        <v>Imported from file Digizag.xlsx</v>
      </c>
      <c r="F844" s="2" t="str">
        <f>IFERROR(__xludf.DUMMYFUNCTION("""COMPUTED_VALUE"""),"BAJ727027")</f>
        <v>BAJ727027</v>
      </c>
      <c r="G844" s="2" t="str">
        <f>IFERROR(__xludf.DUMMYFUNCTION("""COMPUTED_VALUE"""),"UAE")</f>
        <v>UAE</v>
      </c>
      <c r="H844" s="4">
        <f>IFERROR(__xludf.DUMMYFUNCTION("""COMPUTED_VALUE"""),169.0)</f>
        <v>169</v>
      </c>
      <c r="I844" s="3">
        <f>IFERROR(__xludf.DUMMYFUNCTION("""COMPUTED_VALUE"""),0.0)</f>
        <v>0</v>
      </c>
      <c r="J844" s="4">
        <f>IFERROR(__xludf.DUMMYFUNCTION("""COMPUTED_VALUE"""),16.9)</f>
        <v>16.9</v>
      </c>
      <c r="K844" s="2"/>
      <c r="L844" s="2" t="str">
        <f>IFERROR(__xludf.DUMMYFUNCTION("""COMPUTED_VALUE"""),"Delivered")</f>
        <v>Delivered</v>
      </c>
      <c r="M844" s="2" t="str">
        <f>IFERROR(__xludf.DUMMYFUNCTION("""COMPUTED_VALUE"""),"")</f>
        <v></v>
      </c>
      <c r="N844" s="2" t="str">
        <f>IFERROR(__xludf.DUMMYFUNCTION("""COMPUTED_VALUE"""),"Credit, Debit , Apple Pay")</f>
        <v>Credit, Debit , Apple Pay</v>
      </c>
      <c r="O844" s="4">
        <f>IFERROR(__xludf.DUMMYFUNCTION("""COMPUTED_VALUE"""),0.0)</f>
        <v>0</v>
      </c>
      <c r="P844" s="2">
        <f>IFERROR(__xludf.DUMMYFUNCTION("""COMPUTED_VALUE"""),29.0)</f>
        <v>29</v>
      </c>
      <c r="Q844" s="2">
        <f>IFERROR(__xludf.DUMMYFUNCTION("""COMPUTED_VALUE"""),7.0)</f>
        <v>7</v>
      </c>
      <c r="R844" s="2">
        <f>IFERROR(__xludf.DUMMYFUNCTION("""COMPUTED_VALUE"""),2025.0)</f>
        <v>2025</v>
      </c>
      <c r="S844" s="2" t="str">
        <f>IFERROR(__xludf.DUMMYFUNCTION("""COMPUTED_VALUE"""),"Digizag")</f>
        <v>Digizag</v>
      </c>
      <c r="T844" s="2" t="str">
        <f>IFERROR(__xludf.DUMMYFUNCTION("""COMPUTED_VALUE"""),"Digizag")</f>
        <v>Digizag</v>
      </c>
      <c r="U844" s="5">
        <f>IFERROR(__xludf.DUMMYFUNCTION("""COMPUTED_VALUE"""),46.017699182)</f>
        <v>46.01769918</v>
      </c>
      <c r="V844" s="2"/>
      <c r="W844" s="2"/>
      <c r="X844" s="2"/>
      <c r="Y844" s="2"/>
      <c r="Z844" s="2"/>
    </row>
    <row r="845">
      <c r="A845" s="6">
        <f>IFERROR(__xludf.DUMMYFUNCTION("""COMPUTED_VALUE"""),45867.95868055555)</f>
        <v>45867.95868</v>
      </c>
      <c r="B845" s="2" t="str">
        <f>IFERROR(__xludf.DUMMYFUNCTION("""COMPUTED_VALUE"""),"July")</f>
        <v>July</v>
      </c>
      <c r="C845" s="3">
        <f>IFERROR(__xludf.DUMMYFUNCTION("""COMPUTED_VALUE"""),778846.0)</f>
        <v>778846</v>
      </c>
      <c r="D845" s="2" t="str">
        <f>IFERROR(__xludf.DUMMYFUNCTION("""COMPUTED_VALUE"""),"MNN27")</f>
        <v>MNN27</v>
      </c>
      <c r="E845" s="2" t="str">
        <f>IFERROR(__xludf.DUMMYFUNCTION("""COMPUTED_VALUE"""),"Imported from file DigiZag Bidding Codes.xlsx")</f>
        <v>Imported from file DigiZag Bidding Codes.xlsx</v>
      </c>
      <c r="F845" s="2" t="str">
        <f>IFERROR(__xludf.DUMMYFUNCTION("""COMPUTED_VALUE"""),"QCA546442")</f>
        <v>QCA546442</v>
      </c>
      <c r="G845" s="2" t="str">
        <f>IFERROR(__xludf.DUMMYFUNCTION("""COMPUTED_VALUE"""),"Kingdom of Saudi Arabia")</f>
        <v>Kingdom of Saudi Arabia</v>
      </c>
      <c r="H845" s="4">
        <f>IFERROR(__xludf.DUMMYFUNCTION("""COMPUTED_VALUE"""),180.87)</f>
        <v>180.87</v>
      </c>
      <c r="I845" s="3">
        <f>IFERROR(__xludf.DUMMYFUNCTION("""COMPUTED_VALUE"""),0.0)</f>
        <v>0</v>
      </c>
      <c r="J845" s="4">
        <f>IFERROR(__xludf.DUMMYFUNCTION("""COMPUTED_VALUE"""),30.0)</f>
        <v>30</v>
      </c>
      <c r="K845" s="2"/>
      <c r="L845" s="2" t="str">
        <f>IFERROR(__xludf.DUMMYFUNCTION("""COMPUTED_VALUE"""),"Delivered")</f>
        <v>Delivered</v>
      </c>
      <c r="M845" s="2" t="str">
        <f>IFERROR(__xludf.DUMMYFUNCTION("""COMPUTED_VALUE"""),"")</f>
        <v></v>
      </c>
      <c r="N845" s="2" t="str">
        <f>IFERROR(__xludf.DUMMYFUNCTION("""COMPUTED_VALUE"""),"Credit, Debit, Apple Pay")</f>
        <v>Credit, Debit, Apple Pay</v>
      </c>
      <c r="O845" s="4">
        <f>IFERROR(__xludf.DUMMYFUNCTION("""COMPUTED_VALUE"""),0.0)</f>
        <v>0</v>
      </c>
      <c r="P845" s="2">
        <f>IFERROR(__xludf.DUMMYFUNCTION("""COMPUTED_VALUE"""),29.0)</f>
        <v>29</v>
      </c>
      <c r="Q845" s="2">
        <f>IFERROR(__xludf.DUMMYFUNCTION("""COMPUTED_VALUE"""),7.0)</f>
        <v>7</v>
      </c>
      <c r="R845" s="2">
        <f>IFERROR(__xludf.DUMMYFUNCTION("""COMPUTED_VALUE"""),2025.0)</f>
        <v>2025</v>
      </c>
      <c r="S845" s="2" t="str">
        <f>IFERROR(__xludf.DUMMYFUNCTION("""COMPUTED_VALUE"""),"Digizag")</f>
        <v>Digizag</v>
      </c>
      <c r="T845" s="2" t="str">
        <f>IFERROR(__xludf.DUMMYFUNCTION("""COMPUTED_VALUE"""),"Digizag")</f>
        <v>Digizag</v>
      </c>
      <c r="U845" s="5">
        <f>IFERROR(__xludf.DUMMYFUNCTION("""COMPUTED_VALUE"""),48.22827034002)</f>
        <v>48.22827034</v>
      </c>
      <c r="V845" s="2"/>
      <c r="W845" s="2"/>
      <c r="X845" s="2"/>
      <c r="Y845" s="2"/>
      <c r="Z845" s="2"/>
    </row>
    <row r="846">
      <c r="A846" s="6">
        <f>IFERROR(__xludf.DUMMYFUNCTION("""COMPUTED_VALUE"""),45868.376134259255)</f>
        <v>45868.37613</v>
      </c>
      <c r="B846" s="2" t="str">
        <f>IFERROR(__xludf.DUMMYFUNCTION("""COMPUTED_VALUE"""),"July")</f>
        <v>July</v>
      </c>
      <c r="C846" s="3">
        <f>IFERROR(__xludf.DUMMYFUNCTION("""COMPUTED_VALUE"""),613092.0)</f>
        <v>613092</v>
      </c>
      <c r="D846" s="2" t="str">
        <f>IFERROR(__xludf.DUMMYFUNCTION("""COMPUTED_VALUE"""),"ZM22")</f>
        <v>ZM22</v>
      </c>
      <c r="E846" s="2" t="str">
        <f>IFERROR(__xludf.DUMMYFUNCTION("""COMPUTED_VALUE"""),"Imported from file Digizag.xlsx")</f>
        <v>Imported from file Digizag.xlsx</v>
      </c>
      <c r="F846" s="2" t="str">
        <f>IFERROR(__xludf.DUMMYFUNCTION("""COMPUTED_VALUE"""),"VUN266894")</f>
        <v>VUN266894</v>
      </c>
      <c r="G846" s="2" t="str">
        <f>IFERROR(__xludf.DUMMYFUNCTION("""COMPUTED_VALUE"""),"UAE")</f>
        <v>UAE</v>
      </c>
      <c r="H846" s="4">
        <f>IFERROR(__xludf.DUMMYFUNCTION("""COMPUTED_VALUE"""),119.0)</f>
        <v>119</v>
      </c>
      <c r="I846" s="3">
        <f>IFERROR(__xludf.DUMMYFUNCTION("""COMPUTED_VALUE"""),0.0)</f>
        <v>0</v>
      </c>
      <c r="J846" s="4">
        <f>IFERROR(__xludf.DUMMYFUNCTION("""COMPUTED_VALUE"""),11.9)</f>
        <v>11.9</v>
      </c>
      <c r="K846" s="2"/>
      <c r="L846" s="2" t="str">
        <f>IFERROR(__xludf.DUMMYFUNCTION("""COMPUTED_VALUE"""),"Delivered")</f>
        <v>Delivered</v>
      </c>
      <c r="M846" s="2" t="str">
        <f>IFERROR(__xludf.DUMMYFUNCTION("""COMPUTED_VALUE"""),"")</f>
        <v></v>
      </c>
      <c r="N846" s="2" t="str">
        <f>IFERROR(__xludf.DUMMYFUNCTION("""COMPUTED_VALUE"""),"Credit, Debit , Apple Pay")</f>
        <v>Credit, Debit , Apple Pay</v>
      </c>
      <c r="O846" s="4">
        <f>IFERROR(__xludf.DUMMYFUNCTION("""COMPUTED_VALUE"""),0.0)</f>
        <v>0</v>
      </c>
      <c r="P846" s="2">
        <f>IFERROR(__xludf.DUMMYFUNCTION("""COMPUTED_VALUE"""),30.0)</f>
        <v>30</v>
      </c>
      <c r="Q846" s="2">
        <f>IFERROR(__xludf.DUMMYFUNCTION("""COMPUTED_VALUE"""),7.0)</f>
        <v>7</v>
      </c>
      <c r="R846" s="2">
        <f>IFERROR(__xludf.DUMMYFUNCTION("""COMPUTED_VALUE"""),2025.0)</f>
        <v>2025</v>
      </c>
      <c r="S846" s="2" t="str">
        <f>IFERROR(__xludf.DUMMYFUNCTION("""COMPUTED_VALUE"""),"Digizag")</f>
        <v>Digizag</v>
      </c>
      <c r="T846" s="2" t="str">
        <f>IFERROR(__xludf.DUMMYFUNCTION("""COMPUTED_VALUE"""),"Digizag")</f>
        <v>Digizag</v>
      </c>
      <c r="U846" s="5">
        <f>IFERROR(__xludf.DUMMYFUNCTION("""COMPUTED_VALUE"""),32.402995282)</f>
        <v>32.40299528</v>
      </c>
      <c r="V846" s="2"/>
      <c r="W846" s="2"/>
      <c r="X846" s="2"/>
      <c r="Y846" s="2"/>
      <c r="Z846" s="2"/>
    </row>
    <row r="847">
      <c r="A847" s="6">
        <f>IFERROR(__xludf.DUMMYFUNCTION("""COMPUTED_VALUE"""),45868.51792824074)</f>
        <v>45868.51793</v>
      </c>
      <c r="B847" s="2" t="str">
        <f>IFERROR(__xludf.DUMMYFUNCTION("""COMPUTED_VALUE"""),"July")</f>
        <v>July</v>
      </c>
      <c r="C847" s="3">
        <f>IFERROR(__xludf.DUMMYFUNCTION("""COMPUTED_VALUE"""),778451.0)</f>
        <v>778451</v>
      </c>
      <c r="D847" s="2" t="str">
        <f>IFERROR(__xludf.DUMMYFUNCTION("""COMPUTED_VALUE"""),"ZM22")</f>
        <v>ZM22</v>
      </c>
      <c r="E847" s="2" t="str">
        <f>IFERROR(__xludf.DUMMYFUNCTION("""COMPUTED_VALUE"""),"Imported from file Digizag.xlsx")</f>
        <v>Imported from file Digizag.xlsx</v>
      </c>
      <c r="F847" s="2" t="str">
        <f>IFERROR(__xludf.DUMMYFUNCTION("""COMPUTED_VALUE"""),"TPZ899368")</f>
        <v>TPZ899368</v>
      </c>
      <c r="G847" s="2" t="str">
        <f>IFERROR(__xludf.DUMMYFUNCTION("""COMPUTED_VALUE"""),"UAE")</f>
        <v>UAE</v>
      </c>
      <c r="H847" s="4">
        <f>IFERROR(__xludf.DUMMYFUNCTION("""COMPUTED_VALUE"""),218.1)</f>
        <v>218.1</v>
      </c>
      <c r="I847" s="3">
        <f>IFERROR(__xludf.DUMMYFUNCTION("""COMPUTED_VALUE"""),0.0)</f>
        <v>0</v>
      </c>
      <c r="J847" s="4">
        <f>IFERROR(__xludf.DUMMYFUNCTION("""COMPUTED_VALUE"""),21.81)</f>
        <v>21.81</v>
      </c>
      <c r="K847" s="2"/>
      <c r="L847" s="2" t="str">
        <f>IFERROR(__xludf.DUMMYFUNCTION("""COMPUTED_VALUE"""),"Delivered")</f>
        <v>Delivered</v>
      </c>
      <c r="M847" s="2" t="str">
        <f>IFERROR(__xludf.DUMMYFUNCTION("""COMPUTED_VALUE"""),"")</f>
        <v></v>
      </c>
      <c r="N847" s="2" t="str">
        <f>IFERROR(__xludf.DUMMYFUNCTION("""COMPUTED_VALUE"""),"Credit, Debit , Apple Pay")</f>
        <v>Credit, Debit , Apple Pay</v>
      </c>
      <c r="O847" s="4">
        <f>IFERROR(__xludf.DUMMYFUNCTION("""COMPUTED_VALUE"""),0.0)</f>
        <v>0</v>
      </c>
      <c r="P847" s="2">
        <f>IFERROR(__xludf.DUMMYFUNCTION("""COMPUTED_VALUE"""),30.0)</f>
        <v>30</v>
      </c>
      <c r="Q847" s="2">
        <f>IFERROR(__xludf.DUMMYFUNCTION("""COMPUTED_VALUE"""),7.0)</f>
        <v>7</v>
      </c>
      <c r="R847" s="2">
        <f>IFERROR(__xludf.DUMMYFUNCTION("""COMPUTED_VALUE"""),2025.0)</f>
        <v>2025</v>
      </c>
      <c r="S847" s="2" t="str">
        <f>IFERROR(__xludf.DUMMYFUNCTION("""COMPUTED_VALUE"""),"Digizag")</f>
        <v>Digizag</v>
      </c>
      <c r="T847" s="2" t="str">
        <f>IFERROR(__xludf.DUMMYFUNCTION("""COMPUTED_VALUE"""),"Digizag")</f>
        <v>Digizag</v>
      </c>
      <c r="U847" s="5">
        <f>IFERROR(__xludf.DUMMYFUNCTION("""COMPUTED_VALUE"""),59.387338411799995)</f>
        <v>59.38733841</v>
      </c>
      <c r="V847" s="2"/>
      <c r="W847" s="2"/>
      <c r="X847" s="2"/>
      <c r="Y847" s="2"/>
      <c r="Z847" s="2"/>
    </row>
    <row r="848">
      <c r="A848" s="6">
        <f>IFERROR(__xludf.DUMMYFUNCTION("""COMPUTED_VALUE"""),45868.60252314815)</f>
        <v>45868.60252</v>
      </c>
      <c r="B848" s="2" t="str">
        <f>IFERROR(__xludf.DUMMYFUNCTION("""COMPUTED_VALUE"""),"July")</f>
        <v>July</v>
      </c>
      <c r="C848" s="3">
        <f>IFERROR(__xludf.DUMMYFUNCTION("""COMPUTED_VALUE"""),779113.0)</f>
        <v>779113</v>
      </c>
      <c r="D848" s="2" t="str">
        <f>IFERROR(__xludf.DUMMYFUNCTION("""COMPUTED_VALUE"""),"JM")</f>
        <v>JM</v>
      </c>
      <c r="E848" s="2" t="str">
        <f>IFERROR(__xludf.DUMMYFUNCTION("""COMPUTED_VALUE"""),"Digizag")</f>
        <v>Digizag</v>
      </c>
      <c r="F848" s="2" t="str">
        <f>IFERROR(__xludf.DUMMYFUNCTION("""COMPUTED_VALUE"""),"KBK186736")</f>
        <v>KBK186736</v>
      </c>
      <c r="G848" s="2" t="str">
        <f>IFERROR(__xludf.DUMMYFUNCTION("""COMPUTED_VALUE"""),"Kuwait")</f>
        <v>Kuwait</v>
      </c>
      <c r="H848" s="4">
        <f>IFERROR(__xludf.DUMMYFUNCTION("""COMPUTED_VALUE"""),17.5)</f>
        <v>17.5</v>
      </c>
      <c r="I848" s="3">
        <f>IFERROR(__xludf.DUMMYFUNCTION("""COMPUTED_VALUE"""),0.0)</f>
        <v>0</v>
      </c>
      <c r="J848" s="4">
        <f>IFERROR(__xludf.DUMMYFUNCTION("""COMPUTED_VALUE"""),1.75)</f>
        <v>1.75</v>
      </c>
      <c r="K848" s="2"/>
      <c r="L848" s="2" t="str">
        <f>IFERROR(__xludf.DUMMYFUNCTION("""COMPUTED_VALUE"""),"Delivered")</f>
        <v>Delivered</v>
      </c>
      <c r="M848" s="2" t="str">
        <f>IFERROR(__xludf.DUMMYFUNCTION("""COMPUTED_VALUE"""),"KD")</f>
        <v>KD</v>
      </c>
      <c r="N848" s="2" t="str">
        <f>IFERROR(__xludf.DUMMYFUNCTION("""COMPUTED_VALUE"""),"Credit, Debit, Knet")</f>
        <v>Credit, Debit, Knet</v>
      </c>
      <c r="O848" s="4">
        <f>IFERROR(__xludf.DUMMYFUNCTION("""COMPUTED_VALUE"""),0.0)</f>
        <v>0</v>
      </c>
      <c r="P848" s="2">
        <f>IFERROR(__xludf.DUMMYFUNCTION("""COMPUTED_VALUE"""),30.0)</f>
        <v>30</v>
      </c>
      <c r="Q848" s="2">
        <f>IFERROR(__xludf.DUMMYFUNCTION("""COMPUTED_VALUE"""),7.0)</f>
        <v>7</v>
      </c>
      <c r="R848" s="2">
        <f>IFERROR(__xludf.DUMMYFUNCTION("""COMPUTED_VALUE"""),2025.0)</f>
        <v>2025</v>
      </c>
      <c r="S848" s="2" t="str">
        <f>IFERROR(__xludf.DUMMYFUNCTION("""COMPUTED_VALUE"""),"Digizag")</f>
        <v>Digizag</v>
      </c>
      <c r="T848" s="2" t="str">
        <f>IFERROR(__xludf.DUMMYFUNCTION("""COMPUTED_VALUE"""),"Digizag")</f>
        <v>Digizag</v>
      </c>
      <c r="U848" s="5">
        <f>IFERROR(__xludf.DUMMYFUNCTION("""COMPUTED_VALUE"""),57.060849999999995)</f>
        <v>57.06085</v>
      </c>
      <c r="V848" s="2"/>
      <c r="W848" s="2"/>
      <c r="X848" s="2"/>
      <c r="Y848" s="2"/>
      <c r="Z848" s="2"/>
    </row>
    <row r="849">
      <c r="A849" s="6">
        <f>IFERROR(__xludf.DUMMYFUNCTION("""COMPUTED_VALUE"""),45868.71858796296)</f>
        <v>45868.71859</v>
      </c>
      <c r="B849" s="2" t="str">
        <f>IFERROR(__xludf.DUMMYFUNCTION("""COMPUTED_VALUE"""),"July")</f>
        <v>July</v>
      </c>
      <c r="C849" s="3">
        <f>IFERROR(__xludf.DUMMYFUNCTION("""COMPUTED_VALUE"""),407875.0)</f>
        <v>407875</v>
      </c>
      <c r="D849" s="2" t="str">
        <f>IFERROR(__xludf.DUMMYFUNCTION("""COMPUTED_VALUE"""),"MNN27")</f>
        <v>MNN27</v>
      </c>
      <c r="E849" s="2" t="str">
        <f>IFERROR(__xludf.DUMMYFUNCTION("""COMPUTED_VALUE"""),"Imported from file DigiZag Bidding Codes.xlsx")</f>
        <v>Imported from file DigiZag Bidding Codes.xlsx</v>
      </c>
      <c r="F849" s="2" t="str">
        <f>IFERROR(__xludf.DUMMYFUNCTION("""COMPUTED_VALUE"""),"LYW358275")</f>
        <v>LYW358275</v>
      </c>
      <c r="G849" s="2" t="str">
        <f>IFERROR(__xludf.DUMMYFUNCTION("""COMPUTED_VALUE"""),"Kingdom of Saudi Arabia")</f>
        <v>Kingdom of Saudi Arabia</v>
      </c>
      <c r="H849" s="4">
        <f>IFERROR(__xludf.DUMMYFUNCTION("""COMPUTED_VALUE"""),77.38)</f>
        <v>77.38</v>
      </c>
      <c r="I849" s="3">
        <f>IFERROR(__xludf.DUMMYFUNCTION("""COMPUTED_VALUE"""),0.0)</f>
        <v>0</v>
      </c>
      <c r="J849" s="4">
        <f>IFERROR(__xludf.DUMMYFUNCTION("""COMPUTED_VALUE"""),19.34)</f>
        <v>19.34</v>
      </c>
      <c r="K849" s="2"/>
      <c r="L849" s="2" t="str">
        <f>IFERROR(__xludf.DUMMYFUNCTION("""COMPUTED_VALUE"""),"Delivered")</f>
        <v>Delivered</v>
      </c>
      <c r="M849" s="2" t="str">
        <f>IFERROR(__xludf.DUMMYFUNCTION("""COMPUTED_VALUE"""),"")</f>
        <v></v>
      </c>
      <c r="N849" s="2" t="str">
        <f>IFERROR(__xludf.DUMMYFUNCTION("""COMPUTED_VALUE"""),"Credit, Debit, Apple Pay")</f>
        <v>Credit, Debit, Apple Pay</v>
      </c>
      <c r="O849" s="4">
        <f>IFERROR(__xludf.DUMMYFUNCTION("""COMPUTED_VALUE"""),0.0)</f>
        <v>0</v>
      </c>
      <c r="P849" s="2">
        <f>IFERROR(__xludf.DUMMYFUNCTION("""COMPUTED_VALUE"""),30.0)</f>
        <v>30</v>
      </c>
      <c r="Q849" s="2">
        <f>IFERROR(__xludf.DUMMYFUNCTION("""COMPUTED_VALUE"""),7.0)</f>
        <v>7</v>
      </c>
      <c r="R849" s="2">
        <f>IFERROR(__xludf.DUMMYFUNCTION("""COMPUTED_VALUE"""),2025.0)</f>
        <v>2025</v>
      </c>
      <c r="S849" s="2" t="str">
        <f>IFERROR(__xludf.DUMMYFUNCTION("""COMPUTED_VALUE"""),"Digizag")</f>
        <v>Digizag</v>
      </c>
      <c r="T849" s="2" t="str">
        <f>IFERROR(__xludf.DUMMYFUNCTION("""COMPUTED_VALUE"""),"Digizag")</f>
        <v>Digizag</v>
      </c>
      <c r="U849" s="5">
        <f>IFERROR(__xludf.DUMMYFUNCTION("""COMPUTED_VALUE"""),20.63307103948)</f>
        <v>20.63307104</v>
      </c>
      <c r="V849" s="2"/>
      <c r="W849" s="2"/>
      <c r="X849" s="2"/>
      <c r="Y849" s="2"/>
      <c r="Z849" s="2"/>
    </row>
    <row r="850">
      <c r="A850" s="6">
        <f>IFERROR(__xludf.DUMMYFUNCTION("""COMPUTED_VALUE"""),45869.23751157407)</f>
        <v>45869.23751</v>
      </c>
      <c r="B850" s="2" t="str">
        <f>IFERROR(__xludf.DUMMYFUNCTION("""COMPUTED_VALUE"""),"July")</f>
        <v>July</v>
      </c>
      <c r="C850" s="3">
        <f>IFERROR(__xludf.DUMMYFUNCTION("""COMPUTED_VALUE"""),252268.0)</f>
        <v>252268</v>
      </c>
      <c r="D850" s="2" t="str">
        <f>IFERROR(__xludf.DUMMYFUNCTION("""COMPUTED_VALUE"""),"ZM22")</f>
        <v>ZM22</v>
      </c>
      <c r="E850" s="2" t="str">
        <f>IFERROR(__xludf.DUMMYFUNCTION("""COMPUTED_VALUE"""),"Imported from file Digizag.xlsx")</f>
        <v>Imported from file Digizag.xlsx</v>
      </c>
      <c r="F850" s="2" t="str">
        <f>IFERROR(__xludf.DUMMYFUNCTION("""COMPUTED_VALUE"""),"DAE795780")</f>
        <v>DAE795780</v>
      </c>
      <c r="G850" s="2" t="str">
        <f>IFERROR(__xludf.DUMMYFUNCTION("""COMPUTED_VALUE"""),"Kingdom of Saudi Arabia")</f>
        <v>Kingdom of Saudi Arabia</v>
      </c>
      <c r="H850" s="4">
        <f>IFERROR(__xludf.DUMMYFUNCTION("""COMPUTED_VALUE"""),21.0)</f>
        <v>21</v>
      </c>
      <c r="I850" s="3">
        <f>IFERROR(__xludf.DUMMYFUNCTION("""COMPUTED_VALUE"""),0.0)</f>
        <v>0</v>
      </c>
      <c r="J850" s="4">
        <f>IFERROR(__xludf.DUMMYFUNCTION("""COMPUTED_VALUE"""),5.25)</f>
        <v>5.25</v>
      </c>
      <c r="K850" s="2"/>
      <c r="L850" s="2" t="str">
        <f>IFERROR(__xludf.DUMMYFUNCTION("""COMPUTED_VALUE"""),"Delivered")</f>
        <v>Delivered</v>
      </c>
      <c r="M850" s="2" t="str">
        <f>IFERROR(__xludf.DUMMYFUNCTION("""COMPUTED_VALUE"""),"")</f>
        <v></v>
      </c>
      <c r="N850" s="2" t="str">
        <f>IFERROR(__xludf.DUMMYFUNCTION("""COMPUTED_VALUE"""),"Credit, Debit, Apple Pay")</f>
        <v>Credit, Debit, Apple Pay</v>
      </c>
      <c r="O850" s="4">
        <f>IFERROR(__xludf.DUMMYFUNCTION("""COMPUTED_VALUE"""),0.0)</f>
        <v>0</v>
      </c>
      <c r="P850" s="2">
        <f>IFERROR(__xludf.DUMMYFUNCTION("""COMPUTED_VALUE"""),31.0)</f>
        <v>31</v>
      </c>
      <c r="Q850" s="2">
        <f>IFERROR(__xludf.DUMMYFUNCTION("""COMPUTED_VALUE"""),7.0)</f>
        <v>7</v>
      </c>
      <c r="R850" s="2">
        <f>IFERROR(__xludf.DUMMYFUNCTION("""COMPUTED_VALUE"""),2025.0)</f>
        <v>2025</v>
      </c>
      <c r="S850" s="2" t="str">
        <f>IFERROR(__xludf.DUMMYFUNCTION("""COMPUTED_VALUE"""),"Digizag")</f>
        <v>Digizag</v>
      </c>
      <c r="T850" s="2" t="str">
        <f>IFERROR(__xludf.DUMMYFUNCTION("""COMPUTED_VALUE"""),"Digizag")</f>
        <v>Digizag</v>
      </c>
      <c r="U850" s="5">
        <f>IFERROR(__xludf.DUMMYFUNCTION("""COMPUTED_VALUE"""),5.599566966)</f>
        <v>5.599566966</v>
      </c>
      <c r="V850" s="2"/>
      <c r="W850" s="2"/>
      <c r="X850" s="2"/>
      <c r="Y850" s="2"/>
      <c r="Z850" s="2"/>
    </row>
    <row r="851">
      <c r="A851" s="6">
        <f>IFERROR(__xludf.DUMMYFUNCTION("""COMPUTED_VALUE"""),45869.28790509259)</f>
        <v>45869.28791</v>
      </c>
      <c r="B851" s="2" t="str">
        <f>IFERROR(__xludf.DUMMYFUNCTION("""COMPUTED_VALUE"""),"July")</f>
        <v>July</v>
      </c>
      <c r="C851" s="3">
        <f>IFERROR(__xludf.DUMMYFUNCTION("""COMPUTED_VALUE"""),779397.0)</f>
        <v>779397</v>
      </c>
      <c r="D851" s="2" t="str">
        <f>IFERROR(__xludf.DUMMYFUNCTION("""COMPUTED_VALUE"""),"MNN27")</f>
        <v>MNN27</v>
      </c>
      <c r="E851" s="2" t="str">
        <f>IFERROR(__xludf.DUMMYFUNCTION("""COMPUTED_VALUE"""),"Imported from file DigiZag Bidding Codes.xlsx")</f>
        <v>Imported from file DigiZag Bidding Codes.xlsx</v>
      </c>
      <c r="F851" s="2" t="str">
        <f>IFERROR(__xludf.DUMMYFUNCTION("""COMPUTED_VALUE"""),"PMC764847")</f>
        <v>PMC764847</v>
      </c>
      <c r="G851" s="2" t="str">
        <f>IFERROR(__xludf.DUMMYFUNCTION("""COMPUTED_VALUE"""),"Kingdom of Saudi Arabia")</f>
        <v>Kingdom of Saudi Arabia</v>
      </c>
      <c r="H851" s="4">
        <f>IFERROR(__xludf.DUMMYFUNCTION("""COMPUTED_VALUE"""),239.28)</f>
        <v>239.28</v>
      </c>
      <c r="I851" s="3">
        <f>IFERROR(__xludf.DUMMYFUNCTION("""COMPUTED_VALUE"""),0.0)</f>
        <v>0</v>
      </c>
      <c r="J851" s="4">
        <f>IFERROR(__xludf.DUMMYFUNCTION("""COMPUTED_VALUE"""),30.0)</f>
        <v>30</v>
      </c>
      <c r="K851" s="2"/>
      <c r="L851" s="2" t="str">
        <f>IFERROR(__xludf.DUMMYFUNCTION("""COMPUTED_VALUE"""),"Delivered")</f>
        <v>Delivered</v>
      </c>
      <c r="M851" s="2" t="str">
        <f>IFERROR(__xludf.DUMMYFUNCTION("""COMPUTED_VALUE"""),"")</f>
        <v></v>
      </c>
      <c r="N851" s="2" t="str">
        <f>IFERROR(__xludf.DUMMYFUNCTION("""COMPUTED_VALUE"""),"Credit, Debit, Apple Pay")</f>
        <v>Credit, Debit, Apple Pay</v>
      </c>
      <c r="O851" s="4">
        <f>IFERROR(__xludf.DUMMYFUNCTION("""COMPUTED_VALUE"""),0.0)</f>
        <v>0</v>
      </c>
      <c r="P851" s="2">
        <f>IFERROR(__xludf.DUMMYFUNCTION("""COMPUTED_VALUE"""),31.0)</f>
        <v>31</v>
      </c>
      <c r="Q851" s="2">
        <f>IFERROR(__xludf.DUMMYFUNCTION("""COMPUTED_VALUE"""),7.0)</f>
        <v>7</v>
      </c>
      <c r="R851" s="2">
        <f>IFERROR(__xludf.DUMMYFUNCTION("""COMPUTED_VALUE"""),2025.0)</f>
        <v>2025</v>
      </c>
      <c r="S851" s="2" t="str">
        <f>IFERROR(__xludf.DUMMYFUNCTION("""COMPUTED_VALUE"""),"Digizag")</f>
        <v>Digizag</v>
      </c>
      <c r="T851" s="2" t="str">
        <f>IFERROR(__xludf.DUMMYFUNCTION("""COMPUTED_VALUE"""),"Digizag")</f>
        <v>Digizag</v>
      </c>
      <c r="U851" s="5">
        <f>IFERROR(__xludf.DUMMYFUNCTION("""COMPUTED_VALUE"""),63.803065886880006)</f>
        <v>63.80306589</v>
      </c>
      <c r="V851" s="2"/>
      <c r="W851" s="2"/>
      <c r="X851" s="2"/>
      <c r="Y851" s="2"/>
      <c r="Z851" s="2"/>
    </row>
    <row r="852">
      <c r="A852" s="6">
        <f>IFERROR(__xludf.DUMMYFUNCTION("""COMPUTED_VALUE"""),45869.402395833335)</f>
        <v>45869.4024</v>
      </c>
      <c r="B852" s="2" t="str">
        <f>IFERROR(__xludf.DUMMYFUNCTION("""COMPUTED_VALUE"""),"July")</f>
        <v>July</v>
      </c>
      <c r="C852" s="3">
        <f>IFERROR(__xludf.DUMMYFUNCTION("""COMPUTED_VALUE"""),11919.0)</f>
        <v>11919</v>
      </c>
      <c r="D852" s="2" t="str">
        <f>IFERROR(__xludf.DUMMYFUNCTION("""COMPUTED_VALUE"""),"DG10")</f>
        <v>DG10</v>
      </c>
      <c r="E852" s="2" t="str">
        <f>IFERROR(__xludf.DUMMYFUNCTION("""COMPUTED_VALUE"""),"Imported from file Digizag.xlsx")</f>
        <v>Imported from file Digizag.xlsx</v>
      </c>
      <c r="F852" s="2" t="str">
        <f>IFERROR(__xludf.DUMMYFUNCTION("""COMPUTED_VALUE"""),"HDM484205")</f>
        <v>HDM484205</v>
      </c>
      <c r="G852" s="2" t="str">
        <f>IFERROR(__xludf.DUMMYFUNCTION("""COMPUTED_VALUE"""),"Kingdom of Saudi Arabia")</f>
        <v>Kingdom of Saudi Arabia</v>
      </c>
      <c r="H852" s="4">
        <f>IFERROR(__xludf.DUMMYFUNCTION("""COMPUTED_VALUE"""),520.0)</f>
        <v>520</v>
      </c>
      <c r="I852" s="3">
        <f>IFERROR(__xludf.DUMMYFUNCTION("""COMPUTED_VALUE"""),0.0)</f>
        <v>0</v>
      </c>
      <c r="J852" s="4">
        <f>IFERROR(__xludf.DUMMYFUNCTION("""COMPUTED_VALUE"""),30.0)</f>
        <v>30</v>
      </c>
      <c r="K852" s="2"/>
      <c r="L852" s="2" t="str">
        <f>IFERROR(__xludf.DUMMYFUNCTION("""COMPUTED_VALUE"""),"Delivered")</f>
        <v>Delivered</v>
      </c>
      <c r="M852" s="2" t="str">
        <f>IFERROR(__xludf.DUMMYFUNCTION("""COMPUTED_VALUE"""),"")</f>
        <v></v>
      </c>
      <c r="N852" s="2" t="str">
        <f>IFERROR(__xludf.DUMMYFUNCTION("""COMPUTED_VALUE"""),"Credit, Debit, Apple Pay")</f>
        <v>Credit, Debit, Apple Pay</v>
      </c>
      <c r="O852" s="4">
        <f>IFERROR(__xludf.DUMMYFUNCTION("""COMPUTED_VALUE"""),0.0)</f>
        <v>0</v>
      </c>
      <c r="P852" s="2">
        <f>IFERROR(__xludf.DUMMYFUNCTION("""COMPUTED_VALUE"""),31.0)</f>
        <v>31</v>
      </c>
      <c r="Q852" s="2">
        <f>IFERROR(__xludf.DUMMYFUNCTION("""COMPUTED_VALUE"""),7.0)</f>
        <v>7</v>
      </c>
      <c r="R852" s="2">
        <f>IFERROR(__xludf.DUMMYFUNCTION("""COMPUTED_VALUE"""),2025.0)</f>
        <v>2025</v>
      </c>
      <c r="S852" s="2" t="str">
        <f>IFERROR(__xludf.DUMMYFUNCTION("""COMPUTED_VALUE"""),"Digizag")</f>
        <v>Digizag</v>
      </c>
      <c r="T852" s="2" t="str">
        <f>IFERROR(__xludf.DUMMYFUNCTION("""COMPUTED_VALUE"""),"Digizag")</f>
        <v>Digizag</v>
      </c>
      <c r="U852" s="5">
        <f>IFERROR(__xludf.DUMMYFUNCTION("""COMPUTED_VALUE"""),138.65594392000003)</f>
        <v>138.6559439</v>
      </c>
      <c r="V852" s="2"/>
      <c r="W852" s="2"/>
      <c r="X852" s="2"/>
      <c r="Y852" s="2"/>
      <c r="Z852" s="2"/>
    </row>
    <row r="853">
      <c r="A853" s="6">
        <f>IFERROR(__xludf.DUMMYFUNCTION("""COMPUTED_VALUE"""),45869.52149305555)</f>
        <v>45869.52149</v>
      </c>
      <c r="B853" s="2" t="str">
        <f>IFERROR(__xludf.DUMMYFUNCTION("""COMPUTED_VALUE"""),"July")</f>
        <v>July</v>
      </c>
      <c r="C853" s="3">
        <f>IFERROR(__xludf.DUMMYFUNCTION("""COMPUTED_VALUE"""),779486.0)</f>
        <v>779486</v>
      </c>
      <c r="D853" s="2" t="str">
        <f>IFERROR(__xludf.DUMMYFUNCTION("""COMPUTED_VALUE"""),"MNN27")</f>
        <v>MNN27</v>
      </c>
      <c r="E853" s="2" t="str">
        <f>IFERROR(__xludf.DUMMYFUNCTION("""COMPUTED_VALUE"""),"Imported from file DigiZag Codes 25Feb25.xlsx")</f>
        <v>Imported from file DigiZag Codes 25Feb25.xlsx</v>
      </c>
      <c r="F853" s="2" t="str">
        <f>IFERROR(__xludf.DUMMYFUNCTION("""COMPUTED_VALUE"""),"XUG250413")</f>
        <v>XUG250413</v>
      </c>
      <c r="G853" s="2" t="str">
        <f>IFERROR(__xludf.DUMMYFUNCTION("""COMPUTED_VALUE"""),"Kuwait")</f>
        <v>Kuwait</v>
      </c>
      <c r="H853" s="4">
        <f>IFERROR(__xludf.DUMMYFUNCTION("""COMPUTED_VALUE"""),9.95)</f>
        <v>9.95</v>
      </c>
      <c r="I853" s="3">
        <f>IFERROR(__xludf.DUMMYFUNCTION("""COMPUTED_VALUE"""),0.0)</f>
        <v>0</v>
      </c>
      <c r="J853" s="4">
        <f>IFERROR(__xludf.DUMMYFUNCTION("""COMPUTED_VALUE"""),0.995)</f>
        <v>0.995</v>
      </c>
      <c r="K853" s="2"/>
      <c r="L853" s="2" t="str">
        <f>IFERROR(__xludf.DUMMYFUNCTION("""COMPUTED_VALUE"""),"Delivered")</f>
        <v>Delivered</v>
      </c>
      <c r="M853" s="2" t="str">
        <f>IFERROR(__xludf.DUMMYFUNCTION("""COMPUTED_VALUE"""),"KD")</f>
        <v>KD</v>
      </c>
      <c r="N853" s="2" t="str">
        <f>IFERROR(__xludf.DUMMYFUNCTION("""COMPUTED_VALUE"""),"Credit, Debit, Knet")</f>
        <v>Credit, Debit, Knet</v>
      </c>
      <c r="O853" s="4">
        <f>IFERROR(__xludf.DUMMYFUNCTION("""COMPUTED_VALUE"""),0.0)</f>
        <v>0</v>
      </c>
      <c r="P853" s="2">
        <f>IFERROR(__xludf.DUMMYFUNCTION("""COMPUTED_VALUE"""),31.0)</f>
        <v>31</v>
      </c>
      <c r="Q853" s="2">
        <f>IFERROR(__xludf.DUMMYFUNCTION("""COMPUTED_VALUE"""),7.0)</f>
        <v>7</v>
      </c>
      <c r="R853" s="2">
        <f>IFERROR(__xludf.DUMMYFUNCTION("""COMPUTED_VALUE"""),2025.0)</f>
        <v>2025</v>
      </c>
      <c r="S853" s="2" t="str">
        <f>IFERROR(__xludf.DUMMYFUNCTION("""COMPUTED_VALUE"""),"Digizag")</f>
        <v>Digizag</v>
      </c>
      <c r="T853" s="2" t="str">
        <f>IFERROR(__xludf.DUMMYFUNCTION("""COMPUTED_VALUE"""),"Digizag")</f>
        <v>Digizag</v>
      </c>
      <c r="U853" s="5">
        <f>IFERROR(__xludf.DUMMYFUNCTION("""COMPUTED_VALUE"""),32.443169)</f>
        <v>32.443169</v>
      </c>
      <c r="V853" s="2"/>
      <c r="W853" s="2"/>
      <c r="X853" s="2"/>
      <c r="Y853" s="2"/>
      <c r="Z853" s="2"/>
    </row>
    <row r="854">
      <c r="A854" s="6">
        <f>IFERROR(__xludf.DUMMYFUNCTION("""COMPUTED_VALUE"""),45869.85192129629)</f>
        <v>45869.85192</v>
      </c>
      <c r="B854" s="2" t="str">
        <f>IFERROR(__xludf.DUMMYFUNCTION("""COMPUTED_VALUE"""),"July")</f>
        <v>July</v>
      </c>
      <c r="C854" s="3">
        <f>IFERROR(__xludf.DUMMYFUNCTION("""COMPUTED_VALUE"""),222730.0)</f>
        <v>222730</v>
      </c>
      <c r="D854" s="2" t="str">
        <f>IFERROR(__xludf.DUMMYFUNCTION("""COMPUTED_VALUE"""),"MNN27")</f>
        <v>MNN27</v>
      </c>
      <c r="E854" s="2" t="str">
        <f>IFERROR(__xludf.DUMMYFUNCTION("""COMPUTED_VALUE"""),"Imported from file DigiZag Codes 25Feb25.xlsx")</f>
        <v>Imported from file DigiZag Codes 25Feb25.xlsx</v>
      </c>
      <c r="F854" s="2" t="str">
        <f>IFERROR(__xludf.DUMMYFUNCTION("""COMPUTED_VALUE"""),"TKJ821184")</f>
        <v>TKJ821184</v>
      </c>
      <c r="G854" s="2" t="str">
        <f>IFERROR(__xludf.DUMMYFUNCTION("""COMPUTED_VALUE"""),"Kuwait")</f>
        <v>Kuwait</v>
      </c>
      <c r="H854" s="4">
        <f>IFERROR(__xludf.DUMMYFUNCTION("""COMPUTED_VALUE"""),21.85)</f>
        <v>21.85</v>
      </c>
      <c r="I854" s="3">
        <f>IFERROR(__xludf.DUMMYFUNCTION("""COMPUTED_VALUE"""),0.0)</f>
        <v>0</v>
      </c>
      <c r="J854" s="4">
        <f>IFERROR(__xludf.DUMMYFUNCTION("""COMPUTED_VALUE"""),2.185)</f>
        <v>2.185</v>
      </c>
      <c r="K854" s="2"/>
      <c r="L854" s="2" t="str">
        <f>IFERROR(__xludf.DUMMYFUNCTION("""COMPUTED_VALUE"""),"Delivered")</f>
        <v>Delivered</v>
      </c>
      <c r="M854" s="2" t="str">
        <f>IFERROR(__xludf.DUMMYFUNCTION("""COMPUTED_VALUE"""),"KD")</f>
        <v>KD</v>
      </c>
      <c r="N854" s="2" t="str">
        <f>IFERROR(__xludf.DUMMYFUNCTION("""COMPUTED_VALUE"""),"Credit, Debit, Knet")</f>
        <v>Credit, Debit, Knet</v>
      </c>
      <c r="O854" s="4">
        <f>IFERROR(__xludf.DUMMYFUNCTION("""COMPUTED_VALUE"""),0.0)</f>
        <v>0</v>
      </c>
      <c r="P854" s="2">
        <f>IFERROR(__xludf.DUMMYFUNCTION("""COMPUTED_VALUE"""),31.0)</f>
        <v>31</v>
      </c>
      <c r="Q854" s="2">
        <f>IFERROR(__xludf.DUMMYFUNCTION("""COMPUTED_VALUE"""),7.0)</f>
        <v>7</v>
      </c>
      <c r="R854" s="2">
        <f>IFERROR(__xludf.DUMMYFUNCTION("""COMPUTED_VALUE"""),2025.0)</f>
        <v>2025</v>
      </c>
      <c r="S854" s="2" t="str">
        <f>IFERROR(__xludf.DUMMYFUNCTION("""COMPUTED_VALUE"""),"Digizag")</f>
        <v>Digizag</v>
      </c>
      <c r="T854" s="2" t="str">
        <f>IFERROR(__xludf.DUMMYFUNCTION("""COMPUTED_VALUE"""),"Digizag")</f>
        <v>Digizag</v>
      </c>
      <c r="U854" s="5">
        <f>IFERROR(__xludf.DUMMYFUNCTION("""COMPUTED_VALUE"""),71.244547)</f>
        <v>71.244547</v>
      </c>
      <c r="V854" s="2"/>
      <c r="W854" s="2"/>
      <c r="X854" s="2"/>
      <c r="Y854" s="2"/>
      <c r="Z854" s="2"/>
    </row>
    <row r="855">
      <c r="A855" s="6">
        <f>IFERROR(__xludf.DUMMYFUNCTION("""COMPUTED_VALUE"""),45869.90116898148)</f>
        <v>45869.90117</v>
      </c>
      <c r="B855" s="2" t="str">
        <f>IFERROR(__xludf.DUMMYFUNCTION("""COMPUTED_VALUE"""),"July")</f>
        <v>July</v>
      </c>
      <c r="C855" s="3">
        <f>IFERROR(__xludf.DUMMYFUNCTION("""COMPUTED_VALUE"""),39580.0)</f>
        <v>39580</v>
      </c>
      <c r="D855" s="2" t="str">
        <f>IFERROR(__xludf.DUMMYFUNCTION("""COMPUTED_VALUE"""),"RR22")</f>
        <v>RR22</v>
      </c>
      <c r="E855" s="2" t="str">
        <f>IFERROR(__xludf.DUMMYFUNCTION("""COMPUTED_VALUE"""),"Imported from file Digizag.xlsx")</f>
        <v>Imported from file Digizag.xlsx</v>
      </c>
      <c r="F855" s="2" t="str">
        <f>IFERROR(__xludf.DUMMYFUNCTION("""COMPUTED_VALUE"""),"MSD841740")</f>
        <v>MSD841740</v>
      </c>
      <c r="G855" s="2" t="str">
        <f>IFERROR(__xludf.DUMMYFUNCTION("""COMPUTED_VALUE"""),"UAE")</f>
        <v>UAE</v>
      </c>
      <c r="H855" s="4">
        <f>IFERROR(__xludf.DUMMYFUNCTION("""COMPUTED_VALUE"""),459.0)</f>
        <v>459</v>
      </c>
      <c r="I855" s="3">
        <f>IFERROR(__xludf.DUMMYFUNCTION("""COMPUTED_VALUE"""),0.0)</f>
        <v>0</v>
      </c>
      <c r="J855" s="4">
        <f>IFERROR(__xludf.DUMMYFUNCTION("""COMPUTED_VALUE"""),45.9)</f>
        <v>45.9</v>
      </c>
      <c r="K855" s="2"/>
      <c r="L855" s="2" t="str">
        <f>IFERROR(__xludf.DUMMYFUNCTION("""COMPUTED_VALUE"""),"Delivered")</f>
        <v>Delivered</v>
      </c>
      <c r="M855" s="2" t="str">
        <f>IFERROR(__xludf.DUMMYFUNCTION("""COMPUTED_VALUE"""),"")</f>
        <v></v>
      </c>
      <c r="N855" s="2" t="str">
        <f>IFERROR(__xludf.DUMMYFUNCTION("""COMPUTED_VALUE"""),"Credit, Debit , Apple Pay")</f>
        <v>Credit, Debit , Apple Pay</v>
      </c>
      <c r="O855" s="4">
        <f>IFERROR(__xludf.DUMMYFUNCTION("""COMPUTED_VALUE"""),0.0)</f>
        <v>0</v>
      </c>
      <c r="P855" s="2">
        <f>IFERROR(__xludf.DUMMYFUNCTION("""COMPUTED_VALUE"""),31.0)</f>
        <v>31</v>
      </c>
      <c r="Q855" s="2">
        <f>IFERROR(__xludf.DUMMYFUNCTION("""COMPUTED_VALUE"""),7.0)</f>
        <v>7</v>
      </c>
      <c r="R855" s="2">
        <f>IFERROR(__xludf.DUMMYFUNCTION("""COMPUTED_VALUE"""),2025.0)</f>
        <v>2025</v>
      </c>
      <c r="S855" s="2" t="str">
        <f>IFERROR(__xludf.DUMMYFUNCTION("""COMPUTED_VALUE"""),"Digizag")</f>
        <v>Digizag</v>
      </c>
      <c r="T855" s="2" t="str">
        <f>IFERROR(__xludf.DUMMYFUNCTION("""COMPUTED_VALUE"""),"Digizag")</f>
        <v>Digizag</v>
      </c>
      <c r="U855" s="5">
        <f>IFERROR(__xludf.DUMMYFUNCTION("""COMPUTED_VALUE"""),124.982981802)</f>
        <v>124.9829818</v>
      </c>
      <c r="V855" s="2"/>
      <c r="W855" s="2"/>
      <c r="X855" s="2"/>
      <c r="Y855" s="2"/>
      <c r="Z855" s="2"/>
    </row>
    <row r="856">
      <c r="A856" s="6">
        <f>IFERROR(__xludf.DUMMYFUNCTION("""COMPUTED_VALUE"""),45870.0134375)</f>
        <v>45870.01344</v>
      </c>
      <c r="B856" s="2" t="str">
        <f>IFERROR(__xludf.DUMMYFUNCTION("""COMPUTED_VALUE"""),"August")</f>
        <v>August</v>
      </c>
      <c r="C856" s="3">
        <f>IFERROR(__xludf.DUMMYFUNCTION("""COMPUTED_VALUE"""),26569.0)</f>
        <v>26569</v>
      </c>
      <c r="D856" s="2" t="str">
        <f>IFERROR(__xludf.DUMMYFUNCTION("""COMPUTED_VALUE"""),"MNN27")</f>
        <v>MNN27</v>
      </c>
      <c r="E856" s="2" t="str">
        <f>IFERROR(__xludf.DUMMYFUNCTION("""COMPUTED_VALUE"""),"Imported from file DigiZag Bidding Codes.xlsx")</f>
        <v>Imported from file DigiZag Bidding Codes.xlsx</v>
      </c>
      <c r="F856" s="2" t="str">
        <f>IFERROR(__xludf.DUMMYFUNCTION("""COMPUTED_VALUE"""),"CEC718991")</f>
        <v>CEC718991</v>
      </c>
      <c r="G856" s="2" t="str">
        <f>IFERROR(__xludf.DUMMYFUNCTION("""COMPUTED_VALUE"""),"Kingdom of Saudi Arabia")</f>
        <v>Kingdom of Saudi Arabia</v>
      </c>
      <c r="H856" s="4">
        <f>IFERROR(__xludf.DUMMYFUNCTION("""COMPUTED_VALUE"""),287.49)</f>
        <v>287.49</v>
      </c>
      <c r="I856" s="3">
        <f>IFERROR(__xludf.DUMMYFUNCTION("""COMPUTED_VALUE"""),0.0)</f>
        <v>0</v>
      </c>
      <c r="J856" s="4">
        <f>IFERROR(__xludf.DUMMYFUNCTION("""COMPUTED_VALUE"""),30.0)</f>
        <v>30</v>
      </c>
      <c r="K856" s="2"/>
      <c r="L856" s="2" t="str">
        <f>IFERROR(__xludf.DUMMYFUNCTION("""COMPUTED_VALUE"""),"Delivered")</f>
        <v>Delivered</v>
      </c>
      <c r="M856" s="2" t="str">
        <f>IFERROR(__xludf.DUMMYFUNCTION("""COMPUTED_VALUE"""),"")</f>
        <v></v>
      </c>
      <c r="N856" s="2" t="str">
        <f>IFERROR(__xludf.DUMMYFUNCTION("""COMPUTED_VALUE"""),"Credit, Debit, Apple Pay")</f>
        <v>Credit, Debit, Apple Pay</v>
      </c>
      <c r="O856" s="4">
        <f>IFERROR(__xludf.DUMMYFUNCTION("""COMPUTED_VALUE"""),0.0)</f>
        <v>0</v>
      </c>
      <c r="P856" s="2">
        <f>IFERROR(__xludf.DUMMYFUNCTION("""COMPUTED_VALUE"""),1.0)</f>
        <v>1</v>
      </c>
      <c r="Q856" s="2">
        <f>IFERROR(__xludf.DUMMYFUNCTION("""COMPUTED_VALUE"""),8.0)</f>
        <v>8</v>
      </c>
      <c r="R856" s="2">
        <f>IFERROR(__xludf.DUMMYFUNCTION("""COMPUTED_VALUE"""),2025.0)</f>
        <v>2025</v>
      </c>
      <c r="S856" s="2" t="str">
        <f>IFERROR(__xludf.DUMMYFUNCTION("""COMPUTED_VALUE"""),"Digizag")</f>
        <v>Digizag</v>
      </c>
      <c r="T856" s="2" t="str">
        <f>IFERROR(__xludf.DUMMYFUNCTION("""COMPUTED_VALUE"""),"Digizag")</f>
        <v>Digizag</v>
      </c>
      <c r="U856" s="5">
        <f>IFERROR(__xludf.DUMMYFUNCTION("""COMPUTED_VALUE"""),76.65807176454001)</f>
        <v>76.65807176</v>
      </c>
      <c r="V856" s="2"/>
      <c r="W856" s="2"/>
      <c r="X856" s="2"/>
      <c r="Y856" s="2"/>
      <c r="Z856" s="2"/>
    </row>
    <row r="857">
      <c r="A857" s="6">
        <f>IFERROR(__xludf.DUMMYFUNCTION("""COMPUTED_VALUE"""),45870.09306712963)</f>
        <v>45870.09307</v>
      </c>
      <c r="B857" s="2" t="str">
        <f>IFERROR(__xludf.DUMMYFUNCTION("""COMPUTED_VALUE"""),"August")</f>
        <v>August</v>
      </c>
      <c r="C857" s="3">
        <f>IFERROR(__xludf.DUMMYFUNCTION("""COMPUTED_VALUE"""),566470.0)</f>
        <v>566470</v>
      </c>
      <c r="D857" s="2" t="str">
        <f>IFERROR(__xludf.DUMMYFUNCTION("""COMPUTED_VALUE"""),"ZM22")</f>
        <v>ZM22</v>
      </c>
      <c r="E857" s="2" t="str">
        <f>IFERROR(__xludf.DUMMYFUNCTION("""COMPUTED_VALUE"""),"Imported from file Digizag.xlsx")</f>
        <v>Imported from file Digizag.xlsx</v>
      </c>
      <c r="F857" s="2" t="str">
        <f>IFERROR(__xludf.DUMMYFUNCTION("""COMPUTED_VALUE"""),"PJX260865")</f>
        <v>PJX260865</v>
      </c>
      <c r="G857" s="2" t="str">
        <f>IFERROR(__xludf.DUMMYFUNCTION("""COMPUTED_VALUE"""),"UAE")</f>
        <v>UAE</v>
      </c>
      <c r="H857" s="4">
        <f>IFERROR(__xludf.DUMMYFUNCTION("""COMPUTED_VALUE"""),112.38)</f>
        <v>112.38</v>
      </c>
      <c r="I857" s="3">
        <f>IFERROR(__xludf.DUMMYFUNCTION("""COMPUTED_VALUE"""),0.0)</f>
        <v>0</v>
      </c>
      <c r="J857" s="4">
        <f>IFERROR(__xludf.DUMMYFUNCTION("""COMPUTED_VALUE"""),11.22)</f>
        <v>11.22</v>
      </c>
      <c r="K857" s="2"/>
      <c r="L857" s="2" t="str">
        <f>IFERROR(__xludf.DUMMYFUNCTION("""COMPUTED_VALUE"""),"Delivered")</f>
        <v>Delivered</v>
      </c>
      <c r="M857" s="2" t="str">
        <f>IFERROR(__xludf.DUMMYFUNCTION("""COMPUTED_VALUE"""),"")</f>
        <v></v>
      </c>
      <c r="N857" s="2" t="str">
        <f>IFERROR(__xludf.DUMMYFUNCTION("""COMPUTED_VALUE"""),"Credit, Debit , Apple Pay")</f>
        <v>Credit, Debit , Apple Pay</v>
      </c>
      <c r="O857" s="4">
        <f>IFERROR(__xludf.DUMMYFUNCTION("""COMPUTED_VALUE"""),0.0)</f>
        <v>0</v>
      </c>
      <c r="P857" s="2">
        <f>IFERROR(__xludf.DUMMYFUNCTION("""COMPUTED_VALUE"""),1.0)</f>
        <v>1</v>
      </c>
      <c r="Q857" s="2">
        <f>IFERROR(__xludf.DUMMYFUNCTION("""COMPUTED_VALUE"""),8.0)</f>
        <v>8</v>
      </c>
      <c r="R857" s="2">
        <f>IFERROR(__xludf.DUMMYFUNCTION("""COMPUTED_VALUE"""),2025.0)</f>
        <v>2025</v>
      </c>
      <c r="S857" s="2" t="str">
        <f>IFERROR(__xludf.DUMMYFUNCTION("""COMPUTED_VALUE"""),"Digizag")</f>
        <v>Digizag</v>
      </c>
      <c r="T857" s="2" t="str">
        <f>IFERROR(__xludf.DUMMYFUNCTION("""COMPUTED_VALUE"""),"Digizag")</f>
        <v>Digizag</v>
      </c>
      <c r="U857" s="5">
        <f>IFERROR(__xludf.DUMMYFUNCTION("""COMPUTED_VALUE"""),30.60040848564)</f>
        <v>30.60040849</v>
      </c>
      <c r="V857" s="2"/>
      <c r="W857" s="2"/>
      <c r="X857" s="2"/>
      <c r="Y857" s="2"/>
      <c r="Z857" s="2"/>
    </row>
    <row r="858">
      <c r="A858" s="6">
        <f>IFERROR(__xludf.DUMMYFUNCTION("""COMPUTED_VALUE"""),45870.29792824074)</f>
        <v>45870.29793</v>
      </c>
      <c r="B858" s="2" t="str">
        <f>IFERROR(__xludf.DUMMYFUNCTION("""COMPUTED_VALUE"""),"August")</f>
        <v>August</v>
      </c>
      <c r="C858" s="3">
        <f>IFERROR(__xludf.DUMMYFUNCTION("""COMPUTED_VALUE"""),21175.0)</f>
        <v>21175</v>
      </c>
      <c r="D858" s="2" t="str">
        <f>IFERROR(__xludf.DUMMYFUNCTION("""COMPUTED_VALUE"""),"MNN27")</f>
        <v>MNN27</v>
      </c>
      <c r="E858" s="2" t="str">
        <f>IFERROR(__xludf.DUMMYFUNCTION("""COMPUTED_VALUE"""),"Imported from file DigiZag Bidding Codes.xlsx")</f>
        <v>Imported from file DigiZag Bidding Codes.xlsx</v>
      </c>
      <c r="F858" s="2" t="str">
        <f>IFERROR(__xludf.DUMMYFUNCTION("""COMPUTED_VALUE"""),"JWG225316")</f>
        <v>JWG225316</v>
      </c>
      <c r="G858" s="2" t="str">
        <f>IFERROR(__xludf.DUMMYFUNCTION("""COMPUTED_VALUE"""),"Kingdom of Saudi Arabia")</f>
        <v>Kingdom of Saudi Arabia</v>
      </c>
      <c r="H858" s="4">
        <f>IFERROR(__xludf.DUMMYFUNCTION("""COMPUTED_VALUE"""),85.74)</f>
        <v>85.74</v>
      </c>
      <c r="I858" s="3">
        <f>IFERROR(__xludf.DUMMYFUNCTION("""COMPUTED_VALUE"""),0.0)</f>
        <v>0</v>
      </c>
      <c r="J858" s="4">
        <f>IFERROR(__xludf.DUMMYFUNCTION("""COMPUTED_VALUE"""),21.43)</f>
        <v>21.43</v>
      </c>
      <c r="K858" s="2"/>
      <c r="L858" s="2" t="str">
        <f>IFERROR(__xludf.DUMMYFUNCTION("""COMPUTED_VALUE"""),"Delivered")</f>
        <v>Delivered</v>
      </c>
      <c r="M858" s="2" t="str">
        <f>IFERROR(__xludf.DUMMYFUNCTION("""COMPUTED_VALUE"""),"")</f>
        <v></v>
      </c>
      <c r="N858" s="2" t="str">
        <f>IFERROR(__xludf.DUMMYFUNCTION("""COMPUTED_VALUE"""),"Credit, Debit, Apple Pay")</f>
        <v>Credit, Debit, Apple Pay</v>
      </c>
      <c r="O858" s="4">
        <f>IFERROR(__xludf.DUMMYFUNCTION("""COMPUTED_VALUE"""),0.0)</f>
        <v>0</v>
      </c>
      <c r="P858" s="2">
        <f>IFERROR(__xludf.DUMMYFUNCTION("""COMPUTED_VALUE"""),1.0)</f>
        <v>1</v>
      </c>
      <c r="Q858" s="2">
        <f>IFERROR(__xludf.DUMMYFUNCTION("""COMPUTED_VALUE"""),8.0)</f>
        <v>8</v>
      </c>
      <c r="R858" s="2">
        <f>IFERROR(__xludf.DUMMYFUNCTION("""COMPUTED_VALUE"""),2025.0)</f>
        <v>2025</v>
      </c>
      <c r="S858" s="2" t="str">
        <f>IFERROR(__xludf.DUMMYFUNCTION("""COMPUTED_VALUE"""),"Digizag")</f>
        <v>Digizag</v>
      </c>
      <c r="T858" s="2" t="str">
        <f>IFERROR(__xludf.DUMMYFUNCTION("""COMPUTED_VALUE"""),"Digizag")</f>
        <v>Digizag</v>
      </c>
      <c r="U858" s="5">
        <f>IFERROR(__xludf.DUMMYFUNCTION("""COMPUTED_VALUE"""),22.86223198404)</f>
        <v>22.86223198</v>
      </c>
      <c r="V858" s="2"/>
      <c r="W858" s="2"/>
      <c r="X858" s="2"/>
      <c r="Y858" s="2"/>
      <c r="Z858" s="2"/>
    </row>
    <row r="859">
      <c r="A859" s="6">
        <f>IFERROR(__xludf.DUMMYFUNCTION("""COMPUTED_VALUE"""),45870.42010416667)</f>
        <v>45870.4201</v>
      </c>
      <c r="B859" s="2" t="str">
        <f>IFERROR(__xludf.DUMMYFUNCTION("""COMPUTED_VALUE"""),"August")</f>
        <v>August</v>
      </c>
      <c r="C859" s="3">
        <f>IFERROR(__xludf.DUMMYFUNCTION("""COMPUTED_VALUE"""),620245.0)</f>
        <v>620245</v>
      </c>
      <c r="D859" s="2" t="str">
        <f>IFERROR(__xludf.DUMMYFUNCTION("""COMPUTED_VALUE"""),"ZM22")</f>
        <v>ZM22</v>
      </c>
      <c r="E859" s="2" t="str">
        <f>IFERROR(__xludf.DUMMYFUNCTION("""COMPUTED_VALUE"""),"Imported from file Digizag.xlsx")</f>
        <v>Imported from file Digizag.xlsx</v>
      </c>
      <c r="F859" s="2" t="str">
        <f>IFERROR(__xludf.DUMMYFUNCTION("""COMPUTED_VALUE"""),"KRW816322")</f>
        <v>KRW816322</v>
      </c>
      <c r="G859" s="2" t="str">
        <f>IFERROR(__xludf.DUMMYFUNCTION("""COMPUTED_VALUE"""),"Kingdom of Saudi Arabia")</f>
        <v>Kingdom of Saudi Arabia</v>
      </c>
      <c r="H859" s="4">
        <f>IFERROR(__xludf.DUMMYFUNCTION("""COMPUTED_VALUE"""),82.61)</f>
        <v>82.61</v>
      </c>
      <c r="I859" s="3">
        <f>IFERROR(__xludf.DUMMYFUNCTION("""COMPUTED_VALUE"""),0.0)</f>
        <v>0</v>
      </c>
      <c r="J859" s="4">
        <f>IFERROR(__xludf.DUMMYFUNCTION("""COMPUTED_VALUE"""),20.65)</f>
        <v>20.65</v>
      </c>
      <c r="K859" s="2"/>
      <c r="L859" s="2" t="str">
        <f>IFERROR(__xludf.DUMMYFUNCTION("""COMPUTED_VALUE"""),"Delivered")</f>
        <v>Delivered</v>
      </c>
      <c r="M859" s="2" t="str">
        <f>IFERROR(__xludf.DUMMYFUNCTION("""COMPUTED_VALUE"""),"")</f>
        <v></v>
      </c>
      <c r="N859" s="2" t="str">
        <f>IFERROR(__xludf.DUMMYFUNCTION("""COMPUTED_VALUE"""),"Credit, Debit, Apple Pay")</f>
        <v>Credit, Debit, Apple Pay</v>
      </c>
      <c r="O859" s="4">
        <f>IFERROR(__xludf.DUMMYFUNCTION("""COMPUTED_VALUE"""),0.0)</f>
        <v>0</v>
      </c>
      <c r="P859" s="2">
        <f>IFERROR(__xludf.DUMMYFUNCTION("""COMPUTED_VALUE"""),1.0)</f>
        <v>1</v>
      </c>
      <c r="Q859" s="2">
        <f>IFERROR(__xludf.DUMMYFUNCTION("""COMPUTED_VALUE"""),8.0)</f>
        <v>8</v>
      </c>
      <c r="R859" s="2">
        <f>IFERROR(__xludf.DUMMYFUNCTION("""COMPUTED_VALUE"""),2025.0)</f>
        <v>2025</v>
      </c>
      <c r="S859" s="2" t="str">
        <f>IFERROR(__xludf.DUMMYFUNCTION("""COMPUTED_VALUE"""),"Digizag")</f>
        <v>Digizag</v>
      </c>
      <c r="T859" s="2" t="str">
        <f>IFERROR(__xludf.DUMMYFUNCTION("""COMPUTED_VALUE"""),"Digizag")</f>
        <v>Digizag</v>
      </c>
      <c r="U859" s="5">
        <f>IFERROR(__xludf.DUMMYFUNCTION("""COMPUTED_VALUE"""),22.027629860060003)</f>
        <v>22.02762986</v>
      </c>
      <c r="V859" s="2"/>
      <c r="W859" s="2"/>
      <c r="X859" s="2"/>
      <c r="Y859" s="2"/>
      <c r="Z859" s="2"/>
    </row>
    <row r="860">
      <c r="A860" s="6">
        <f>IFERROR(__xludf.DUMMYFUNCTION("""COMPUTED_VALUE"""),45870.57131944444)</f>
        <v>45870.57132</v>
      </c>
      <c r="B860" s="2" t="str">
        <f>IFERROR(__xludf.DUMMYFUNCTION("""COMPUTED_VALUE"""),"August")</f>
        <v>August</v>
      </c>
      <c r="C860" s="3">
        <f>IFERROR(__xludf.DUMMYFUNCTION("""COMPUTED_VALUE"""),670836.0)</f>
        <v>670836</v>
      </c>
      <c r="D860" s="2" t="str">
        <f>IFERROR(__xludf.DUMMYFUNCTION("""COMPUTED_VALUE"""),"JM")</f>
        <v>JM</v>
      </c>
      <c r="E860" s="2" t="str">
        <f>IFERROR(__xludf.DUMMYFUNCTION("""COMPUTED_VALUE"""),"Digizag")</f>
        <v>Digizag</v>
      </c>
      <c r="F860" s="2" t="str">
        <f>IFERROR(__xludf.DUMMYFUNCTION("""COMPUTED_VALUE"""),"GCT129310")</f>
        <v>GCT129310</v>
      </c>
      <c r="G860" s="2" t="str">
        <f>IFERROR(__xludf.DUMMYFUNCTION("""COMPUTED_VALUE"""),"Kuwait")</f>
        <v>Kuwait</v>
      </c>
      <c r="H860" s="4">
        <f>IFERROR(__xludf.DUMMYFUNCTION("""COMPUTED_VALUE"""),35.8)</f>
        <v>35.8</v>
      </c>
      <c r="I860" s="3">
        <f>IFERROR(__xludf.DUMMYFUNCTION("""COMPUTED_VALUE"""),1.0)</f>
        <v>1</v>
      </c>
      <c r="J860" s="4">
        <f>IFERROR(__xludf.DUMMYFUNCTION("""COMPUTED_VALUE"""),3.58)</f>
        <v>3.58</v>
      </c>
      <c r="K860" s="2"/>
      <c r="L860" s="2" t="str">
        <f>IFERROR(__xludf.DUMMYFUNCTION("""COMPUTED_VALUE"""),"Partially Cancelled")</f>
        <v>Partially Cancelled</v>
      </c>
      <c r="M860" s="2" t="str">
        <f>IFERROR(__xludf.DUMMYFUNCTION("""COMPUTED_VALUE"""),"KD")</f>
        <v>KD</v>
      </c>
      <c r="N860" s="2" t="str">
        <f>IFERROR(__xludf.DUMMYFUNCTION("""COMPUTED_VALUE"""),"Credit, Debit, Knet")</f>
        <v>Credit, Debit, Knet</v>
      </c>
      <c r="O860" s="4">
        <f>IFERROR(__xludf.DUMMYFUNCTION("""COMPUTED_VALUE"""),13.454999999999998)</f>
        <v>13.455</v>
      </c>
      <c r="P860" s="2">
        <f>IFERROR(__xludf.DUMMYFUNCTION("""COMPUTED_VALUE"""),1.0)</f>
        <v>1</v>
      </c>
      <c r="Q860" s="2">
        <f>IFERROR(__xludf.DUMMYFUNCTION("""COMPUTED_VALUE"""),8.0)</f>
        <v>8</v>
      </c>
      <c r="R860" s="2">
        <f>IFERROR(__xludf.DUMMYFUNCTION("""COMPUTED_VALUE"""),2025.0)</f>
        <v>2025</v>
      </c>
      <c r="S860" s="2" t="str">
        <f>IFERROR(__xludf.DUMMYFUNCTION("""COMPUTED_VALUE"""),"Digizag")</f>
        <v>Digizag</v>
      </c>
      <c r="T860" s="2" t="str">
        <f>IFERROR(__xludf.DUMMYFUNCTION("""COMPUTED_VALUE"""),"Digizag")</f>
        <v>Digizag</v>
      </c>
      <c r="U860" s="5">
        <f>IFERROR(__xludf.DUMMYFUNCTION("""COMPUTED_VALUE"""),116.73019599999999)</f>
        <v>116.730196</v>
      </c>
      <c r="V860" s="2"/>
      <c r="W860" s="2"/>
      <c r="X860" s="2"/>
      <c r="Y860" s="2"/>
      <c r="Z860" s="2"/>
    </row>
    <row r="861">
      <c r="A861" s="6">
        <f>IFERROR(__xludf.DUMMYFUNCTION("""COMPUTED_VALUE"""),45870.841886574075)</f>
        <v>45870.84189</v>
      </c>
      <c r="B861" s="2" t="str">
        <f>IFERROR(__xludf.DUMMYFUNCTION("""COMPUTED_VALUE"""),"August")</f>
        <v>August</v>
      </c>
      <c r="C861" s="3">
        <f>IFERROR(__xludf.DUMMYFUNCTION("""COMPUTED_VALUE"""),349268.0)</f>
        <v>349268</v>
      </c>
      <c r="D861" s="2" t="str">
        <f>IFERROR(__xludf.DUMMYFUNCTION("""COMPUTED_VALUE"""),"JM")</f>
        <v>JM</v>
      </c>
      <c r="E861" s="2" t="str">
        <f>IFERROR(__xludf.DUMMYFUNCTION("""COMPUTED_VALUE"""),"DigiZag")</f>
        <v>DigiZag</v>
      </c>
      <c r="F861" s="2" t="str">
        <f>IFERROR(__xludf.DUMMYFUNCTION("""COMPUTED_VALUE"""),"LMB889437")</f>
        <v>LMB889437</v>
      </c>
      <c r="G861" s="2" t="str">
        <f>IFERROR(__xludf.DUMMYFUNCTION("""COMPUTED_VALUE"""),"UAE")</f>
        <v>UAE</v>
      </c>
      <c r="H861" s="4">
        <f>IFERROR(__xludf.DUMMYFUNCTION("""COMPUTED_VALUE"""),87.0)</f>
        <v>87</v>
      </c>
      <c r="I861" s="3">
        <f>IFERROR(__xludf.DUMMYFUNCTION("""COMPUTED_VALUE"""),0.0)</f>
        <v>0</v>
      </c>
      <c r="J861" s="4">
        <f>IFERROR(__xludf.DUMMYFUNCTION("""COMPUTED_VALUE"""),8.7)</f>
        <v>8.7</v>
      </c>
      <c r="K861" s="2"/>
      <c r="L861" s="2" t="str">
        <f>IFERROR(__xludf.DUMMYFUNCTION("""COMPUTED_VALUE"""),"Delivered")</f>
        <v>Delivered</v>
      </c>
      <c r="M861" s="2" t="str">
        <f>IFERROR(__xludf.DUMMYFUNCTION("""COMPUTED_VALUE"""),"")</f>
        <v></v>
      </c>
      <c r="N861" s="2" t="str">
        <f>IFERROR(__xludf.DUMMYFUNCTION("""COMPUTED_VALUE"""),"Credit, Debit , Apple Pay")</f>
        <v>Credit, Debit , Apple Pay</v>
      </c>
      <c r="O861" s="4">
        <f>IFERROR(__xludf.DUMMYFUNCTION("""COMPUTED_VALUE"""),0.0)</f>
        <v>0</v>
      </c>
      <c r="P861" s="2">
        <f>IFERROR(__xludf.DUMMYFUNCTION("""COMPUTED_VALUE"""),1.0)</f>
        <v>1</v>
      </c>
      <c r="Q861" s="2">
        <f>IFERROR(__xludf.DUMMYFUNCTION("""COMPUTED_VALUE"""),8.0)</f>
        <v>8</v>
      </c>
      <c r="R861" s="2">
        <f>IFERROR(__xludf.DUMMYFUNCTION("""COMPUTED_VALUE"""),2025.0)</f>
        <v>2025</v>
      </c>
      <c r="S861" s="2" t="str">
        <f>IFERROR(__xludf.DUMMYFUNCTION("""COMPUTED_VALUE"""),"Digizag")</f>
        <v>Digizag</v>
      </c>
      <c r="T861" s="2" t="str">
        <f>IFERROR(__xludf.DUMMYFUNCTION("""COMPUTED_VALUE"""),"Digizag")</f>
        <v>Digizag</v>
      </c>
      <c r="U861" s="5">
        <f>IFERROR(__xludf.DUMMYFUNCTION("""COMPUTED_VALUE"""),23.689584786)</f>
        <v>23.68958479</v>
      </c>
      <c r="V861" s="2"/>
      <c r="W861" s="2"/>
      <c r="X861" s="2"/>
      <c r="Y861" s="2"/>
      <c r="Z861" s="2"/>
    </row>
    <row r="862">
      <c r="A862" s="6">
        <f>IFERROR(__xludf.DUMMYFUNCTION("""COMPUTED_VALUE"""),45871.36846064815)</f>
        <v>45871.36846</v>
      </c>
      <c r="B862" s="2" t="str">
        <f>IFERROR(__xludf.DUMMYFUNCTION("""COMPUTED_VALUE"""),"August")</f>
        <v>August</v>
      </c>
      <c r="C862" s="3">
        <f>IFERROR(__xludf.DUMMYFUNCTION("""COMPUTED_VALUE"""),256494.0)</f>
        <v>256494</v>
      </c>
      <c r="D862" s="2" t="str">
        <f>IFERROR(__xludf.DUMMYFUNCTION("""COMPUTED_VALUE"""),"MNN27")</f>
        <v>MNN27</v>
      </c>
      <c r="E862" s="2" t="str">
        <f>IFERROR(__xludf.DUMMYFUNCTION("""COMPUTED_VALUE"""),"Imported from file DigiZag Codes 25Feb25.xlsx")</f>
        <v>Imported from file DigiZag Codes 25Feb25.xlsx</v>
      </c>
      <c r="F862" s="2" t="str">
        <f>IFERROR(__xludf.DUMMYFUNCTION("""COMPUTED_VALUE"""),"GZL687488")</f>
        <v>GZL687488</v>
      </c>
      <c r="G862" s="2" t="str">
        <f>IFERROR(__xludf.DUMMYFUNCTION("""COMPUTED_VALUE"""),"Kuwait")</f>
        <v>Kuwait</v>
      </c>
      <c r="H862" s="4">
        <f>IFERROR(__xludf.DUMMYFUNCTION("""COMPUTED_VALUE"""),13.0)</f>
        <v>13</v>
      </c>
      <c r="I862" s="3">
        <f>IFERROR(__xludf.DUMMYFUNCTION("""COMPUTED_VALUE"""),0.0)</f>
        <v>0</v>
      </c>
      <c r="J862" s="4">
        <f>IFERROR(__xludf.DUMMYFUNCTION("""COMPUTED_VALUE"""),1.3)</f>
        <v>1.3</v>
      </c>
      <c r="K862" s="2"/>
      <c r="L862" s="2" t="str">
        <f>IFERROR(__xludf.DUMMYFUNCTION("""COMPUTED_VALUE"""),"Delivered")</f>
        <v>Delivered</v>
      </c>
      <c r="M862" s="2" t="str">
        <f>IFERROR(__xludf.DUMMYFUNCTION("""COMPUTED_VALUE"""),"KD")</f>
        <v>KD</v>
      </c>
      <c r="N862" s="2" t="str">
        <f>IFERROR(__xludf.DUMMYFUNCTION("""COMPUTED_VALUE"""),"Credit, Debit, Knet")</f>
        <v>Credit, Debit, Knet</v>
      </c>
      <c r="O862" s="4">
        <f>IFERROR(__xludf.DUMMYFUNCTION("""COMPUTED_VALUE"""),0.0)</f>
        <v>0</v>
      </c>
      <c r="P862" s="2">
        <f>IFERROR(__xludf.DUMMYFUNCTION("""COMPUTED_VALUE"""),2.0)</f>
        <v>2</v>
      </c>
      <c r="Q862" s="2">
        <f>IFERROR(__xludf.DUMMYFUNCTION("""COMPUTED_VALUE"""),8.0)</f>
        <v>8</v>
      </c>
      <c r="R862" s="2">
        <f>IFERROR(__xludf.DUMMYFUNCTION("""COMPUTED_VALUE"""),2025.0)</f>
        <v>2025</v>
      </c>
      <c r="S862" s="2" t="str">
        <f>IFERROR(__xludf.DUMMYFUNCTION("""COMPUTED_VALUE"""),"Digizag")</f>
        <v>Digizag</v>
      </c>
      <c r="T862" s="2" t="str">
        <f>IFERROR(__xludf.DUMMYFUNCTION("""COMPUTED_VALUE"""),"Digizag")</f>
        <v>Digizag</v>
      </c>
      <c r="U862" s="5">
        <f>IFERROR(__xludf.DUMMYFUNCTION("""COMPUTED_VALUE"""),42.388059999999996)</f>
        <v>42.38806</v>
      </c>
      <c r="V862" s="2"/>
      <c r="W862" s="2"/>
      <c r="X862" s="2"/>
      <c r="Y862" s="2"/>
      <c r="Z862" s="2"/>
    </row>
    <row r="863">
      <c r="A863" s="6">
        <f>IFERROR(__xludf.DUMMYFUNCTION("""COMPUTED_VALUE"""),45871.443148148144)</f>
        <v>45871.44315</v>
      </c>
      <c r="B863" s="2" t="str">
        <f>IFERROR(__xludf.DUMMYFUNCTION("""COMPUTED_VALUE"""),"August")</f>
        <v>August</v>
      </c>
      <c r="C863" s="3">
        <f>IFERROR(__xludf.DUMMYFUNCTION("""COMPUTED_VALUE"""),430663.0)</f>
        <v>430663</v>
      </c>
      <c r="D863" s="2" t="str">
        <f>IFERROR(__xludf.DUMMYFUNCTION("""COMPUTED_VALUE"""),"MNN27")</f>
        <v>MNN27</v>
      </c>
      <c r="E863" s="2" t="str">
        <f>IFERROR(__xludf.DUMMYFUNCTION("""COMPUTED_VALUE"""),"Imported from file DigiZag Bidding Codes.xlsx")</f>
        <v>Imported from file DigiZag Bidding Codes.xlsx</v>
      </c>
      <c r="F863" s="2" t="str">
        <f>IFERROR(__xludf.DUMMYFUNCTION("""COMPUTED_VALUE"""),"BKQ390012")</f>
        <v>BKQ390012</v>
      </c>
      <c r="G863" s="2" t="str">
        <f>IFERROR(__xludf.DUMMYFUNCTION("""COMPUTED_VALUE"""),"Kingdom of Saudi Arabia")</f>
        <v>Kingdom of Saudi Arabia</v>
      </c>
      <c r="H863" s="4">
        <f>IFERROR(__xludf.DUMMYFUNCTION("""COMPUTED_VALUE"""),137.42)</f>
        <v>137.42</v>
      </c>
      <c r="I863" s="3">
        <f>IFERROR(__xludf.DUMMYFUNCTION("""COMPUTED_VALUE"""),0.0)</f>
        <v>0</v>
      </c>
      <c r="J863" s="4">
        <f>IFERROR(__xludf.DUMMYFUNCTION("""COMPUTED_VALUE"""),30.0)</f>
        <v>30</v>
      </c>
      <c r="K863" s="2"/>
      <c r="L863" s="2" t="str">
        <f>IFERROR(__xludf.DUMMYFUNCTION("""COMPUTED_VALUE"""),"Delivered")</f>
        <v>Delivered</v>
      </c>
      <c r="M863" s="2" t="str">
        <f>IFERROR(__xludf.DUMMYFUNCTION("""COMPUTED_VALUE"""),"")</f>
        <v></v>
      </c>
      <c r="N863" s="2" t="str">
        <f>IFERROR(__xludf.DUMMYFUNCTION("""COMPUTED_VALUE"""),"Credit, Debit, Apple Pay")</f>
        <v>Credit, Debit, Apple Pay</v>
      </c>
      <c r="O863" s="4">
        <f>IFERROR(__xludf.DUMMYFUNCTION("""COMPUTED_VALUE"""),0.0)</f>
        <v>0</v>
      </c>
      <c r="P863" s="2">
        <f>IFERROR(__xludf.DUMMYFUNCTION("""COMPUTED_VALUE"""),2.0)</f>
        <v>2</v>
      </c>
      <c r="Q863" s="2">
        <f>IFERROR(__xludf.DUMMYFUNCTION("""COMPUTED_VALUE"""),8.0)</f>
        <v>8</v>
      </c>
      <c r="R863" s="2">
        <f>IFERROR(__xludf.DUMMYFUNCTION("""COMPUTED_VALUE"""),2025.0)</f>
        <v>2025</v>
      </c>
      <c r="S863" s="2" t="str">
        <f>IFERROR(__xludf.DUMMYFUNCTION("""COMPUTED_VALUE"""),"Digizag")</f>
        <v>Digizag</v>
      </c>
      <c r="T863" s="2" t="str">
        <f>IFERROR(__xludf.DUMMYFUNCTION("""COMPUTED_VALUE"""),"Digizag")</f>
        <v>Digizag</v>
      </c>
      <c r="U863" s="5">
        <f>IFERROR(__xludf.DUMMYFUNCTION("""COMPUTED_VALUE"""),36.64249964132)</f>
        <v>36.64249964</v>
      </c>
      <c r="V863" s="2"/>
      <c r="W863" s="2"/>
      <c r="X863" s="2"/>
      <c r="Y863" s="2"/>
      <c r="Z863" s="2"/>
    </row>
    <row r="864">
      <c r="A864" s="6">
        <f>IFERROR(__xludf.DUMMYFUNCTION("""COMPUTED_VALUE"""),45871.454618055555)</f>
        <v>45871.45462</v>
      </c>
      <c r="B864" s="2" t="str">
        <f>IFERROR(__xludf.DUMMYFUNCTION("""COMPUTED_VALUE"""),"August")</f>
        <v>August</v>
      </c>
      <c r="C864" s="3">
        <f>IFERROR(__xludf.DUMMYFUNCTION("""COMPUTED_VALUE"""),778256.0)</f>
        <v>778256</v>
      </c>
      <c r="D864" s="2" t="str">
        <f>IFERROR(__xludf.DUMMYFUNCTION("""COMPUTED_VALUE"""),"MNN27")</f>
        <v>MNN27</v>
      </c>
      <c r="E864" s="2" t="str">
        <f>IFERROR(__xludf.DUMMYFUNCTION("""COMPUTED_VALUE"""),"Imported from file DigiZag Codes 25Feb25.xlsx")</f>
        <v>Imported from file DigiZag Codes 25Feb25.xlsx</v>
      </c>
      <c r="F864" s="2" t="str">
        <f>IFERROR(__xludf.DUMMYFUNCTION("""COMPUTED_VALUE"""),"NTR159614")</f>
        <v>NTR159614</v>
      </c>
      <c r="G864" s="2" t="str">
        <f>IFERROR(__xludf.DUMMYFUNCTION("""COMPUTED_VALUE"""),"Kuwait")</f>
        <v>Kuwait</v>
      </c>
      <c r="H864" s="4">
        <f>IFERROR(__xludf.DUMMYFUNCTION("""COMPUTED_VALUE"""),6.0)</f>
        <v>6</v>
      </c>
      <c r="I864" s="3">
        <f>IFERROR(__xludf.DUMMYFUNCTION("""COMPUTED_VALUE"""),0.0)</f>
        <v>0</v>
      </c>
      <c r="J864" s="4">
        <f>IFERROR(__xludf.DUMMYFUNCTION("""COMPUTED_VALUE"""),0.6)</f>
        <v>0.6</v>
      </c>
      <c r="K864" s="2"/>
      <c r="L864" s="2" t="str">
        <f>IFERROR(__xludf.DUMMYFUNCTION("""COMPUTED_VALUE"""),"Delivered")</f>
        <v>Delivered</v>
      </c>
      <c r="M864" s="2" t="str">
        <f>IFERROR(__xludf.DUMMYFUNCTION("""COMPUTED_VALUE"""),"KD")</f>
        <v>KD</v>
      </c>
      <c r="N864" s="2" t="str">
        <f>IFERROR(__xludf.DUMMYFUNCTION("""COMPUTED_VALUE"""),"Credit, Debit, Knet")</f>
        <v>Credit, Debit, Knet</v>
      </c>
      <c r="O864" s="4">
        <f>IFERROR(__xludf.DUMMYFUNCTION("""COMPUTED_VALUE"""),0.0)</f>
        <v>0</v>
      </c>
      <c r="P864" s="2">
        <f>IFERROR(__xludf.DUMMYFUNCTION("""COMPUTED_VALUE"""),2.0)</f>
        <v>2</v>
      </c>
      <c r="Q864" s="2">
        <f>IFERROR(__xludf.DUMMYFUNCTION("""COMPUTED_VALUE"""),8.0)</f>
        <v>8</v>
      </c>
      <c r="R864" s="2">
        <f>IFERROR(__xludf.DUMMYFUNCTION("""COMPUTED_VALUE"""),2025.0)</f>
        <v>2025</v>
      </c>
      <c r="S864" s="2" t="str">
        <f>IFERROR(__xludf.DUMMYFUNCTION("""COMPUTED_VALUE"""),"Digizag")</f>
        <v>Digizag</v>
      </c>
      <c r="T864" s="2" t="str">
        <f>IFERROR(__xludf.DUMMYFUNCTION("""COMPUTED_VALUE"""),"Digizag")</f>
        <v>Digizag</v>
      </c>
      <c r="U864" s="5">
        <f>IFERROR(__xludf.DUMMYFUNCTION("""COMPUTED_VALUE"""),19.56372)</f>
        <v>19.56372</v>
      </c>
      <c r="V864" s="2"/>
      <c r="W864" s="2"/>
      <c r="X864" s="2"/>
      <c r="Y864" s="2"/>
      <c r="Z864" s="2"/>
    </row>
    <row r="865">
      <c r="A865" s="6">
        <f>IFERROR(__xludf.DUMMYFUNCTION("""COMPUTED_VALUE"""),45871.58082175926)</f>
        <v>45871.58082</v>
      </c>
      <c r="B865" s="2" t="str">
        <f>IFERROR(__xludf.DUMMYFUNCTION("""COMPUTED_VALUE"""),"August")</f>
        <v>August</v>
      </c>
      <c r="C865" s="3">
        <f>IFERROR(__xludf.DUMMYFUNCTION("""COMPUTED_VALUE"""),40999.0)</f>
        <v>40999</v>
      </c>
      <c r="D865" s="2" t="str">
        <f>IFERROR(__xludf.DUMMYFUNCTION("""COMPUTED_VALUE"""),"ZM22")</f>
        <v>ZM22</v>
      </c>
      <c r="E865" s="2" t="str">
        <f>IFERROR(__xludf.DUMMYFUNCTION("""COMPUTED_VALUE"""),"Imported from file Digizag.xlsx")</f>
        <v>Imported from file Digizag.xlsx</v>
      </c>
      <c r="F865" s="2" t="str">
        <f>IFERROR(__xludf.DUMMYFUNCTION("""COMPUTED_VALUE"""),"LDZ193560")</f>
        <v>LDZ193560</v>
      </c>
      <c r="G865" s="2" t="str">
        <f>IFERROR(__xludf.DUMMYFUNCTION("""COMPUTED_VALUE"""),"Kingdom of Saudi Arabia")</f>
        <v>Kingdom of Saudi Arabia</v>
      </c>
      <c r="H865" s="4">
        <f>IFERROR(__xludf.DUMMYFUNCTION("""COMPUTED_VALUE"""),634.93)</f>
        <v>634.93</v>
      </c>
      <c r="I865" s="3">
        <f>IFERROR(__xludf.DUMMYFUNCTION("""COMPUTED_VALUE"""),0.0)</f>
        <v>0</v>
      </c>
      <c r="J865" s="4">
        <f>IFERROR(__xludf.DUMMYFUNCTION("""COMPUTED_VALUE"""),30.0)</f>
        <v>30</v>
      </c>
      <c r="K865" s="2"/>
      <c r="L865" s="2" t="str">
        <f>IFERROR(__xludf.DUMMYFUNCTION("""COMPUTED_VALUE"""),"Delivered")</f>
        <v>Delivered</v>
      </c>
      <c r="M865" s="2" t="str">
        <f>IFERROR(__xludf.DUMMYFUNCTION("""COMPUTED_VALUE"""),"")</f>
        <v></v>
      </c>
      <c r="N865" s="2" t="str">
        <f>IFERROR(__xludf.DUMMYFUNCTION("""COMPUTED_VALUE"""),"Credit, Debit, Apple Pay")</f>
        <v>Credit, Debit, Apple Pay</v>
      </c>
      <c r="O865" s="4">
        <f>IFERROR(__xludf.DUMMYFUNCTION("""COMPUTED_VALUE"""),0.0)</f>
        <v>0</v>
      </c>
      <c r="P865" s="2">
        <f>IFERROR(__xludf.DUMMYFUNCTION("""COMPUTED_VALUE"""),2.0)</f>
        <v>2</v>
      </c>
      <c r="Q865" s="2">
        <f>IFERROR(__xludf.DUMMYFUNCTION("""COMPUTED_VALUE"""),8.0)</f>
        <v>8</v>
      </c>
      <c r="R865" s="2">
        <f>IFERROR(__xludf.DUMMYFUNCTION("""COMPUTED_VALUE"""),2025.0)</f>
        <v>2025</v>
      </c>
      <c r="S865" s="2" t="str">
        <f>IFERROR(__xludf.DUMMYFUNCTION("""COMPUTED_VALUE"""),"Digizag")</f>
        <v>Digizag</v>
      </c>
      <c r="T865" s="2" t="str">
        <f>IFERROR(__xludf.DUMMYFUNCTION("""COMPUTED_VALUE"""),"Digizag")</f>
        <v>Digizag</v>
      </c>
      <c r="U865" s="5">
        <f>IFERROR(__xludf.DUMMYFUNCTION("""COMPUTED_VALUE"""),169.30157398678)</f>
        <v>169.301574</v>
      </c>
      <c r="V865" s="2"/>
      <c r="W865" s="2"/>
      <c r="X865" s="2"/>
      <c r="Y865" s="2"/>
      <c r="Z865" s="2"/>
    </row>
    <row r="866">
      <c r="A866" s="6">
        <f>IFERROR(__xludf.DUMMYFUNCTION("""COMPUTED_VALUE"""),45871.586388888885)</f>
        <v>45871.58639</v>
      </c>
      <c r="B866" s="2" t="str">
        <f>IFERROR(__xludf.DUMMYFUNCTION("""COMPUTED_VALUE"""),"August")</f>
        <v>August</v>
      </c>
      <c r="C866" s="3">
        <f>IFERROR(__xludf.DUMMYFUNCTION("""COMPUTED_VALUE"""),780635.0)</f>
        <v>780635</v>
      </c>
      <c r="D866" s="2" t="str">
        <f>IFERROR(__xludf.DUMMYFUNCTION("""COMPUTED_VALUE"""),"JM")</f>
        <v>JM</v>
      </c>
      <c r="E866" s="2" t="str">
        <f>IFERROR(__xludf.DUMMYFUNCTION("""COMPUTED_VALUE"""),"DigiZag")</f>
        <v>DigiZag</v>
      </c>
      <c r="F866" s="2" t="str">
        <f>IFERROR(__xludf.DUMMYFUNCTION("""COMPUTED_VALUE"""),"LTS949779")</f>
        <v>LTS949779</v>
      </c>
      <c r="G866" s="2" t="str">
        <f>IFERROR(__xludf.DUMMYFUNCTION("""COMPUTED_VALUE"""),"Kingdom of Saudi Arabia")</f>
        <v>Kingdom of Saudi Arabia</v>
      </c>
      <c r="H866" s="4">
        <f>IFERROR(__xludf.DUMMYFUNCTION("""COMPUTED_VALUE"""),239.9)</f>
        <v>239.9</v>
      </c>
      <c r="I866" s="3">
        <f>IFERROR(__xludf.DUMMYFUNCTION("""COMPUTED_VALUE"""),0.0)</f>
        <v>0</v>
      </c>
      <c r="J866" s="4">
        <f>IFERROR(__xludf.DUMMYFUNCTION("""COMPUTED_VALUE"""),30.0)</f>
        <v>30</v>
      </c>
      <c r="K866" s="2"/>
      <c r="L866" s="2" t="str">
        <f>IFERROR(__xludf.DUMMYFUNCTION("""COMPUTED_VALUE"""),"Delivered")</f>
        <v>Delivered</v>
      </c>
      <c r="M866" s="2" t="str">
        <f>IFERROR(__xludf.DUMMYFUNCTION("""COMPUTED_VALUE"""),"")</f>
        <v></v>
      </c>
      <c r="N866" s="2" t="str">
        <f>IFERROR(__xludf.DUMMYFUNCTION("""COMPUTED_VALUE"""),"Credit, Debit, Apple Pay")</f>
        <v>Credit, Debit, Apple Pay</v>
      </c>
      <c r="O866" s="4">
        <f>IFERROR(__xludf.DUMMYFUNCTION("""COMPUTED_VALUE"""),0.0)</f>
        <v>0</v>
      </c>
      <c r="P866" s="2">
        <f>IFERROR(__xludf.DUMMYFUNCTION("""COMPUTED_VALUE"""),2.0)</f>
        <v>2</v>
      </c>
      <c r="Q866" s="2">
        <f>IFERROR(__xludf.DUMMYFUNCTION("""COMPUTED_VALUE"""),8.0)</f>
        <v>8</v>
      </c>
      <c r="R866" s="2">
        <f>IFERROR(__xludf.DUMMYFUNCTION("""COMPUTED_VALUE"""),2025.0)</f>
        <v>2025</v>
      </c>
      <c r="S866" s="2" t="str">
        <f>IFERROR(__xludf.DUMMYFUNCTION("""COMPUTED_VALUE"""),"Digizag")</f>
        <v>Digizag</v>
      </c>
      <c r="T866" s="2" t="str">
        <f>IFERROR(__xludf.DUMMYFUNCTION("""COMPUTED_VALUE"""),"Digizag")</f>
        <v>Digizag</v>
      </c>
      <c r="U866" s="5">
        <f>IFERROR(__xludf.DUMMYFUNCTION("""COMPUTED_VALUE"""),63.96838643540001)</f>
        <v>63.96838644</v>
      </c>
      <c r="V866" s="2"/>
      <c r="W866" s="2"/>
      <c r="X866" s="2"/>
      <c r="Y866" s="2"/>
      <c r="Z866" s="2"/>
    </row>
    <row r="867">
      <c r="A867" s="6">
        <f>IFERROR(__xludf.DUMMYFUNCTION("""COMPUTED_VALUE"""),45871.60072916667)</f>
        <v>45871.60073</v>
      </c>
      <c r="B867" s="2" t="str">
        <f>IFERROR(__xludf.DUMMYFUNCTION("""COMPUTED_VALUE"""),"August")</f>
        <v>August</v>
      </c>
      <c r="C867" s="3">
        <f>IFERROR(__xludf.DUMMYFUNCTION("""COMPUTED_VALUE"""),107211.0)</f>
        <v>107211</v>
      </c>
      <c r="D867" s="2" t="str">
        <f>IFERROR(__xludf.DUMMYFUNCTION("""COMPUTED_VALUE"""),"ZM22")</f>
        <v>ZM22</v>
      </c>
      <c r="E867" s="2" t="str">
        <f>IFERROR(__xludf.DUMMYFUNCTION("""COMPUTED_VALUE"""),"Imported from file Digizag.xlsx")</f>
        <v>Imported from file Digizag.xlsx</v>
      </c>
      <c r="F867" s="2" t="str">
        <f>IFERROR(__xludf.DUMMYFUNCTION("""COMPUTED_VALUE"""),"XKN500820")</f>
        <v>XKN500820</v>
      </c>
      <c r="G867" s="2" t="str">
        <f>IFERROR(__xludf.DUMMYFUNCTION("""COMPUTED_VALUE"""),"Kuwait")</f>
        <v>Kuwait</v>
      </c>
      <c r="H867" s="4">
        <f>IFERROR(__xludf.DUMMYFUNCTION("""COMPUTED_VALUE"""),9.5)</f>
        <v>9.5</v>
      </c>
      <c r="I867" s="3">
        <f>IFERROR(__xludf.DUMMYFUNCTION("""COMPUTED_VALUE"""),0.0)</f>
        <v>0</v>
      </c>
      <c r="J867" s="4">
        <f>IFERROR(__xludf.DUMMYFUNCTION("""COMPUTED_VALUE"""),0.95)</f>
        <v>0.95</v>
      </c>
      <c r="K867" s="2"/>
      <c r="L867" s="2" t="str">
        <f>IFERROR(__xludf.DUMMYFUNCTION("""COMPUTED_VALUE"""),"Delivered")</f>
        <v>Delivered</v>
      </c>
      <c r="M867" s="2" t="str">
        <f>IFERROR(__xludf.DUMMYFUNCTION("""COMPUTED_VALUE"""),"KD")</f>
        <v>KD</v>
      </c>
      <c r="N867" s="2" t="str">
        <f>IFERROR(__xludf.DUMMYFUNCTION("""COMPUTED_VALUE"""),"Credit, Debit, Knet")</f>
        <v>Credit, Debit, Knet</v>
      </c>
      <c r="O867" s="4">
        <f>IFERROR(__xludf.DUMMYFUNCTION("""COMPUTED_VALUE"""),0.0)</f>
        <v>0</v>
      </c>
      <c r="P867" s="2">
        <f>IFERROR(__xludf.DUMMYFUNCTION("""COMPUTED_VALUE"""),2.0)</f>
        <v>2</v>
      </c>
      <c r="Q867" s="2">
        <f>IFERROR(__xludf.DUMMYFUNCTION("""COMPUTED_VALUE"""),8.0)</f>
        <v>8</v>
      </c>
      <c r="R867" s="2">
        <f>IFERROR(__xludf.DUMMYFUNCTION("""COMPUTED_VALUE"""),2025.0)</f>
        <v>2025</v>
      </c>
      <c r="S867" s="2" t="str">
        <f>IFERROR(__xludf.DUMMYFUNCTION("""COMPUTED_VALUE"""),"Digizag")</f>
        <v>Digizag</v>
      </c>
      <c r="T867" s="2" t="str">
        <f>IFERROR(__xludf.DUMMYFUNCTION("""COMPUTED_VALUE"""),"Digizag")</f>
        <v>Digizag</v>
      </c>
      <c r="U867" s="5">
        <f>IFERROR(__xludf.DUMMYFUNCTION("""COMPUTED_VALUE"""),30.97589)</f>
        <v>30.97589</v>
      </c>
      <c r="V867" s="2"/>
      <c r="W867" s="2"/>
      <c r="X867" s="2"/>
      <c r="Y867" s="2"/>
      <c r="Z867" s="2"/>
    </row>
    <row r="868">
      <c r="A868" s="6">
        <f>IFERROR(__xludf.DUMMYFUNCTION("""COMPUTED_VALUE"""),45871.661782407406)</f>
        <v>45871.66178</v>
      </c>
      <c r="B868" s="2" t="str">
        <f>IFERROR(__xludf.DUMMYFUNCTION("""COMPUTED_VALUE"""),"August")</f>
        <v>August</v>
      </c>
      <c r="C868" s="3">
        <f>IFERROR(__xludf.DUMMYFUNCTION("""COMPUTED_VALUE"""),754489.0)</f>
        <v>754489</v>
      </c>
      <c r="D868" s="2" t="str">
        <f>IFERROR(__xludf.DUMMYFUNCTION("""COMPUTED_VALUE"""),"CC22")</f>
        <v>CC22</v>
      </c>
      <c r="E868" s="2" t="str">
        <f>IFERROR(__xludf.DUMMYFUNCTION("""COMPUTED_VALUE"""),"Imported from file Digizag.xlsx")</f>
        <v>Imported from file Digizag.xlsx</v>
      </c>
      <c r="F868" s="2" t="str">
        <f>IFERROR(__xludf.DUMMYFUNCTION("""COMPUTED_VALUE"""),"RKQ101186")</f>
        <v>RKQ101186</v>
      </c>
      <c r="G868" s="2" t="str">
        <f>IFERROR(__xludf.DUMMYFUNCTION("""COMPUTED_VALUE"""),"Kuwait")</f>
        <v>Kuwait</v>
      </c>
      <c r="H868" s="4">
        <f>IFERROR(__xludf.DUMMYFUNCTION("""COMPUTED_VALUE"""),12.4)</f>
        <v>12.4</v>
      </c>
      <c r="I868" s="3">
        <f>IFERROR(__xludf.DUMMYFUNCTION("""COMPUTED_VALUE"""),0.0)</f>
        <v>0</v>
      </c>
      <c r="J868" s="4">
        <f>IFERROR(__xludf.DUMMYFUNCTION("""COMPUTED_VALUE"""),1.24)</f>
        <v>1.24</v>
      </c>
      <c r="K868" s="2"/>
      <c r="L868" s="2" t="str">
        <f>IFERROR(__xludf.DUMMYFUNCTION("""COMPUTED_VALUE"""),"Delivered")</f>
        <v>Delivered</v>
      </c>
      <c r="M868" s="2" t="str">
        <f>IFERROR(__xludf.DUMMYFUNCTION("""COMPUTED_VALUE"""),"KD")</f>
        <v>KD</v>
      </c>
      <c r="N868" s="2" t="str">
        <f>IFERROR(__xludf.DUMMYFUNCTION("""COMPUTED_VALUE"""),"Credit, Debit, Knet")</f>
        <v>Credit, Debit, Knet</v>
      </c>
      <c r="O868" s="4">
        <f>IFERROR(__xludf.DUMMYFUNCTION("""COMPUTED_VALUE"""),0.0)</f>
        <v>0</v>
      </c>
      <c r="P868" s="2">
        <f>IFERROR(__xludf.DUMMYFUNCTION("""COMPUTED_VALUE"""),2.0)</f>
        <v>2</v>
      </c>
      <c r="Q868" s="2">
        <f>IFERROR(__xludf.DUMMYFUNCTION("""COMPUTED_VALUE"""),8.0)</f>
        <v>8</v>
      </c>
      <c r="R868" s="2">
        <f>IFERROR(__xludf.DUMMYFUNCTION("""COMPUTED_VALUE"""),2025.0)</f>
        <v>2025</v>
      </c>
      <c r="S868" s="2" t="str">
        <f>IFERROR(__xludf.DUMMYFUNCTION("""COMPUTED_VALUE"""),"Digizag")</f>
        <v>Digizag</v>
      </c>
      <c r="T868" s="2" t="str">
        <f>IFERROR(__xludf.DUMMYFUNCTION("""COMPUTED_VALUE"""),"Digizag")</f>
        <v>Digizag</v>
      </c>
      <c r="U868" s="5">
        <f>IFERROR(__xludf.DUMMYFUNCTION("""COMPUTED_VALUE"""),40.431688)</f>
        <v>40.431688</v>
      </c>
      <c r="V868" s="2"/>
      <c r="W868" s="2"/>
      <c r="X868" s="2"/>
      <c r="Y868" s="2"/>
      <c r="Z868" s="2"/>
    </row>
    <row r="869">
      <c r="A869" s="6">
        <f>IFERROR(__xludf.DUMMYFUNCTION("""COMPUTED_VALUE"""),45871.678032407406)</f>
        <v>45871.67803</v>
      </c>
      <c r="B869" s="2" t="str">
        <f>IFERROR(__xludf.DUMMYFUNCTION("""COMPUTED_VALUE"""),"August")</f>
        <v>August</v>
      </c>
      <c r="C869" s="3">
        <f>IFERROR(__xludf.DUMMYFUNCTION("""COMPUTED_VALUE"""),780724.0)</f>
        <v>780724</v>
      </c>
      <c r="D869" s="2" t="str">
        <f>IFERROR(__xludf.DUMMYFUNCTION("""COMPUTED_VALUE"""),"ZM22")</f>
        <v>ZM22</v>
      </c>
      <c r="E869" s="2" t="str">
        <f>IFERROR(__xludf.DUMMYFUNCTION("""COMPUTED_VALUE"""),"Imported from file Digizag.xlsx")</f>
        <v>Imported from file Digizag.xlsx</v>
      </c>
      <c r="F869" s="2" t="str">
        <f>IFERROR(__xludf.DUMMYFUNCTION("""COMPUTED_VALUE"""),"SAA789393")</f>
        <v>SAA789393</v>
      </c>
      <c r="G869" s="2" t="str">
        <f>IFERROR(__xludf.DUMMYFUNCTION("""COMPUTED_VALUE"""),"Kuwait")</f>
        <v>Kuwait</v>
      </c>
      <c r="H869" s="4">
        <f>IFERROR(__xludf.DUMMYFUNCTION("""COMPUTED_VALUE"""),20.45)</f>
        <v>20.45</v>
      </c>
      <c r="I869" s="3">
        <f>IFERROR(__xludf.DUMMYFUNCTION("""COMPUTED_VALUE"""),0.0)</f>
        <v>0</v>
      </c>
      <c r="J869" s="4">
        <f>IFERROR(__xludf.DUMMYFUNCTION("""COMPUTED_VALUE"""),2.045)</f>
        <v>2.045</v>
      </c>
      <c r="K869" s="2"/>
      <c r="L869" s="2" t="str">
        <f>IFERROR(__xludf.DUMMYFUNCTION("""COMPUTED_VALUE"""),"Delivered")</f>
        <v>Delivered</v>
      </c>
      <c r="M869" s="2" t="str">
        <f>IFERROR(__xludf.DUMMYFUNCTION("""COMPUTED_VALUE"""),"KD")</f>
        <v>KD</v>
      </c>
      <c r="N869" s="2" t="str">
        <f>IFERROR(__xludf.DUMMYFUNCTION("""COMPUTED_VALUE"""),"Credit, Debit, Knet")</f>
        <v>Credit, Debit, Knet</v>
      </c>
      <c r="O869" s="4">
        <f>IFERROR(__xludf.DUMMYFUNCTION("""COMPUTED_VALUE"""),0.0)</f>
        <v>0</v>
      </c>
      <c r="P869" s="2">
        <f>IFERROR(__xludf.DUMMYFUNCTION("""COMPUTED_VALUE"""),2.0)</f>
        <v>2</v>
      </c>
      <c r="Q869" s="2">
        <f>IFERROR(__xludf.DUMMYFUNCTION("""COMPUTED_VALUE"""),8.0)</f>
        <v>8</v>
      </c>
      <c r="R869" s="2">
        <f>IFERROR(__xludf.DUMMYFUNCTION("""COMPUTED_VALUE"""),2025.0)</f>
        <v>2025</v>
      </c>
      <c r="S869" s="2" t="str">
        <f>IFERROR(__xludf.DUMMYFUNCTION("""COMPUTED_VALUE"""),"Digizag")</f>
        <v>Digizag</v>
      </c>
      <c r="T869" s="2" t="str">
        <f>IFERROR(__xludf.DUMMYFUNCTION("""COMPUTED_VALUE"""),"Digizag")</f>
        <v>Digizag</v>
      </c>
      <c r="U869" s="5">
        <f>IFERROR(__xludf.DUMMYFUNCTION("""COMPUTED_VALUE"""),66.679679)</f>
        <v>66.679679</v>
      </c>
      <c r="V869" s="2"/>
      <c r="W869" s="2"/>
      <c r="X869" s="2"/>
      <c r="Y869" s="2"/>
      <c r="Z869" s="2"/>
    </row>
    <row r="870">
      <c r="A870" s="6">
        <f>IFERROR(__xludf.DUMMYFUNCTION("""COMPUTED_VALUE"""),45871.797627314816)</f>
        <v>45871.79763</v>
      </c>
      <c r="B870" s="2" t="str">
        <f>IFERROR(__xludf.DUMMYFUNCTION("""COMPUTED_VALUE"""),"August")</f>
        <v>August</v>
      </c>
      <c r="C870" s="3">
        <f>IFERROR(__xludf.DUMMYFUNCTION("""COMPUTED_VALUE"""),680419.0)</f>
        <v>680419</v>
      </c>
      <c r="D870" s="2" t="str">
        <f>IFERROR(__xludf.DUMMYFUNCTION("""COMPUTED_VALUE"""),"CC22")</f>
        <v>CC22</v>
      </c>
      <c r="E870" s="2" t="str">
        <f>IFERROR(__xludf.DUMMYFUNCTION("""COMPUTED_VALUE"""),"Imported from file Digizag.xlsx")</f>
        <v>Imported from file Digizag.xlsx</v>
      </c>
      <c r="F870" s="2" t="str">
        <f>IFERROR(__xludf.DUMMYFUNCTION("""COMPUTED_VALUE"""),"BKD513948")</f>
        <v>BKD513948</v>
      </c>
      <c r="G870" s="2" t="str">
        <f>IFERROR(__xludf.DUMMYFUNCTION("""COMPUTED_VALUE"""),"Kingdom of Saudi Arabia")</f>
        <v>Kingdom of Saudi Arabia</v>
      </c>
      <c r="H870" s="4">
        <f>IFERROR(__xludf.DUMMYFUNCTION("""COMPUTED_VALUE"""),71.43)</f>
        <v>71.43</v>
      </c>
      <c r="I870" s="3">
        <f>IFERROR(__xludf.DUMMYFUNCTION("""COMPUTED_VALUE"""),0.0)</f>
        <v>0</v>
      </c>
      <c r="J870" s="4">
        <f>IFERROR(__xludf.DUMMYFUNCTION("""COMPUTED_VALUE"""),17.85)</f>
        <v>17.85</v>
      </c>
      <c r="K870" s="2"/>
      <c r="L870" s="2" t="str">
        <f>IFERROR(__xludf.DUMMYFUNCTION("""COMPUTED_VALUE"""),"Delivered")</f>
        <v>Delivered</v>
      </c>
      <c r="M870" s="2" t="str">
        <f>IFERROR(__xludf.DUMMYFUNCTION("""COMPUTED_VALUE"""),"")</f>
        <v></v>
      </c>
      <c r="N870" s="2" t="str">
        <f>IFERROR(__xludf.DUMMYFUNCTION("""COMPUTED_VALUE"""),"Credit, Debit, Apple Pay")</f>
        <v>Credit, Debit, Apple Pay</v>
      </c>
      <c r="O870" s="4">
        <f>IFERROR(__xludf.DUMMYFUNCTION("""COMPUTED_VALUE"""),0.0)</f>
        <v>0</v>
      </c>
      <c r="P870" s="2">
        <f>IFERROR(__xludf.DUMMYFUNCTION("""COMPUTED_VALUE"""),2.0)</f>
        <v>2</v>
      </c>
      <c r="Q870" s="2">
        <f>IFERROR(__xludf.DUMMYFUNCTION("""COMPUTED_VALUE"""),8.0)</f>
        <v>8</v>
      </c>
      <c r="R870" s="2">
        <f>IFERROR(__xludf.DUMMYFUNCTION("""COMPUTED_VALUE"""),2025.0)</f>
        <v>2025</v>
      </c>
      <c r="S870" s="2" t="str">
        <f>IFERROR(__xludf.DUMMYFUNCTION("""COMPUTED_VALUE"""),"Digizag")</f>
        <v>Digizag</v>
      </c>
      <c r="T870" s="2" t="str">
        <f>IFERROR(__xludf.DUMMYFUNCTION("""COMPUTED_VALUE"""),"Digizag")</f>
        <v>Digizag</v>
      </c>
      <c r="U870" s="5">
        <f>IFERROR(__xludf.DUMMYFUNCTION("""COMPUTED_VALUE"""),19.046527065780005)</f>
        <v>19.04652707</v>
      </c>
      <c r="V870" s="2"/>
      <c r="W870" s="2"/>
      <c r="X870" s="2"/>
      <c r="Y870" s="2"/>
      <c r="Z870" s="2"/>
    </row>
    <row r="871">
      <c r="A871" s="6">
        <f>IFERROR(__xludf.DUMMYFUNCTION("""COMPUTED_VALUE"""),45872.07466435185)</f>
        <v>45872.07466</v>
      </c>
      <c r="B871" s="2" t="str">
        <f>IFERROR(__xludf.DUMMYFUNCTION("""COMPUTED_VALUE"""),"August")</f>
        <v>August</v>
      </c>
      <c r="C871" s="3">
        <f>IFERROR(__xludf.DUMMYFUNCTION("""COMPUTED_VALUE"""),150781.0)</f>
        <v>150781</v>
      </c>
      <c r="D871" s="2" t="str">
        <f>IFERROR(__xludf.DUMMYFUNCTION("""COMPUTED_VALUE"""),"ZM22")</f>
        <v>ZM22</v>
      </c>
      <c r="E871" s="2" t="str">
        <f>IFERROR(__xludf.DUMMYFUNCTION("""COMPUTED_VALUE"""),"Imported from file Digizag.xlsx")</f>
        <v>Imported from file Digizag.xlsx</v>
      </c>
      <c r="F871" s="2" t="str">
        <f>IFERROR(__xludf.DUMMYFUNCTION("""COMPUTED_VALUE"""),"NYY137715")</f>
        <v>NYY137715</v>
      </c>
      <c r="G871" s="2" t="str">
        <f>IFERROR(__xludf.DUMMYFUNCTION("""COMPUTED_VALUE"""),"UAE")</f>
        <v>UAE</v>
      </c>
      <c r="H871" s="4">
        <f>IFERROR(__xludf.DUMMYFUNCTION("""COMPUTED_VALUE"""),191.87)</f>
        <v>191.87</v>
      </c>
      <c r="I871" s="3">
        <f>IFERROR(__xludf.DUMMYFUNCTION("""COMPUTED_VALUE"""),0.0)</f>
        <v>0</v>
      </c>
      <c r="J871" s="4">
        <f>IFERROR(__xludf.DUMMYFUNCTION("""COMPUTED_VALUE"""),19.18)</f>
        <v>19.18</v>
      </c>
      <c r="K871" s="2"/>
      <c r="L871" s="2" t="str">
        <f>IFERROR(__xludf.DUMMYFUNCTION("""COMPUTED_VALUE"""),"Delivered")</f>
        <v>Delivered</v>
      </c>
      <c r="M871" s="2" t="str">
        <f>IFERROR(__xludf.DUMMYFUNCTION("""COMPUTED_VALUE"""),"")</f>
        <v></v>
      </c>
      <c r="N871" s="2" t="str">
        <f>IFERROR(__xludf.DUMMYFUNCTION("""COMPUTED_VALUE"""),"Credit, Debit , Apple Pay")</f>
        <v>Credit, Debit , Apple Pay</v>
      </c>
      <c r="O871" s="4">
        <f>IFERROR(__xludf.DUMMYFUNCTION("""COMPUTED_VALUE"""),0.0)</f>
        <v>0</v>
      </c>
      <c r="P871" s="2">
        <f>IFERROR(__xludf.DUMMYFUNCTION("""COMPUTED_VALUE"""),3.0)</f>
        <v>3</v>
      </c>
      <c r="Q871" s="2">
        <f>IFERROR(__xludf.DUMMYFUNCTION("""COMPUTED_VALUE"""),8.0)</f>
        <v>8</v>
      </c>
      <c r="R871" s="2">
        <f>IFERROR(__xludf.DUMMYFUNCTION("""COMPUTED_VALUE"""),2025.0)</f>
        <v>2025</v>
      </c>
      <c r="S871" s="2" t="str">
        <f>IFERROR(__xludf.DUMMYFUNCTION("""COMPUTED_VALUE"""),"Digizag")</f>
        <v>Digizag</v>
      </c>
      <c r="T871" s="2" t="str">
        <f>IFERROR(__xludf.DUMMYFUNCTION("""COMPUTED_VALUE"""),"Digizag")</f>
        <v>Digizag</v>
      </c>
      <c r="U871" s="5">
        <f>IFERROR(__xludf.DUMMYFUNCTION("""COMPUTED_VALUE"""),52.24506474586)</f>
        <v>52.24506475</v>
      </c>
      <c r="V871" s="2"/>
      <c r="W871" s="2"/>
      <c r="X871" s="2"/>
      <c r="Y871" s="2"/>
      <c r="Z871" s="2"/>
    </row>
    <row r="872">
      <c r="A872" s="6">
        <f>IFERROR(__xludf.DUMMYFUNCTION("""COMPUTED_VALUE"""),45872.13787037037)</f>
        <v>45872.13787</v>
      </c>
      <c r="B872" s="2" t="str">
        <f>IFERROR(__xludf.DUMMYFUNCTION("""COMPUTED_VALUE"""),"August")</f>
        <v>August</v>
      </c>
      <c r="C872" s="3">
        <f>IFERROR(__xludf.DUMMYFUNCTION("""COMPUTED_VALUE"""),354481.0)</f>
        <v>354481</v>
      </c>
      <c r="D872" s="2" t="str">
        <f>IFERROR(__xludf.DUMMYFUNCTION("""COMPUTED_VALUE"""),"MNN27")</f>
        <v>MNN27</v>
      </c>
      <c r="E872" s="2" t="str">
        <f>IFERROR(__xludf.DUMMYFUNCTION("""COMPUTED_VALUE"""),"Imported from file DigiZag Bidding Codes.xlsx")</f>
        <v>Imported from file DigiZag Bidding Codes.xlsx</v>
      </c>
      <c r="F872" s="2" t="str">
        <f>IFERROR(__xludf.DUMMYFUNCTION("""COMPUTED_VALUE"""),"USG296809")</f>
        <v>USG296809</v>
      </c>
      <c r="G872" s="2" t="str">
        <f>IFERROR(__xludf.DUMMYFUNCTION("""COMPUTED_VALUE"""),"Kingdom of Saudi Arabia")</f>
        <v>Kingdom of Saudi Arabia</v>
      </c>
      <c r="H872" s="4">
        <f>IFERROR(__xludf.DUMMYFUNCTION("""COMPUTED_VALUE"""),119.0)</f>
        <v>119</v>
      </c>
      <c r="I872" s="3">
        <f>IFERROR(__xludf.DUMMYFUNCTION("""COMPUTED_VALUE"""),0.0)</f>
        <v>0</v>
      </c>
      <c r="J872" s="4">
        <f>IFERROR(__xludf.DUMMYFUNCTION("""COMPUTED_VALUE"""),29.75)</f>
        <v>29.75</v>
      </c>
      <c r="K872" s="2"/>
      <c r="L872" s="2" t="str">
        <f>IFERROR(__xludf.DUMMYFUNCTION("""COMPUTED_VALUE"""),"Delivered")</f>
        <v>Delivered</v>
      </c>
      <c r="M872" s="2" t="str">
        <f>IFERROR(__xludf.DUMMYFUNCTION("""COMPUTED_VALUE"""),"")</f>
        <v></v>
      </c>
      <c r="N872" s="2" t="str">
        <f>IFERROR(__xludf.DUMMYFUNCTION("""COMPUTED_VALUE"""),"Credit, Debit, Apple Pay")</f>
        <v>Credit, Debit, Apple Pay</v>
      </c>
      <c r="O872" s="4">
        <f>IFERROR(__xludf.DUMMYFUNCTION("""COMPUTED_VALUE"""),0.0)</f>
        <v>0</v>
      </c>
      <c r="P872" s="2">
        <f>IFERROR(__xludf.DUMMYFUNCTION("""COMPUTED_VALUE"""),3.0)</f>
        <v>3</v>
      </c>
      <c r="Q872" s="2">
        <f>IFERROR(__xludf.DUMMYFUNCTION("""COMPUTED_VALUE"""),8.0)</f>
        <v>8</v>
      </c>
      <c r="R872" s="2">
        <f>IFERROR(__xludf.DUMMYFUNCTION("""COMPUTED_VALUE"""),2025.0)</f>
        <v>2025</v>
      </c>
      <c r="S872" s="2" t="str">
        <f>IFERROR(__xludf.DUMMYFUNCTION("""COMPUTED_VALUE"""),"Digizag")</f>
        <v>Digizag</v>
      </c>
      <c r="T872" s="2" t="str">
        <f>IFERROR(__xludf.DUMMYFUNCTION("""COMPUTED_VALUE"""),"Digizag")</f>
        <v>Digizag</v>
      </c>
      <c r="U872" s="5">
        <f>IFERROR(__xludf.DUMMYFUNCTION("""COMPUTED_VALUE"""),31.730879474)</f>
        <v>31.73087947</v>
      </c>
      <c r="V872" s="2"/>
      <c r="W872" s="2"/>
      <c r="X872" s="2"/>
      <c r="Y872" s="2"/>
      <c r="Z872" s="2"/>
    </row>
    <row r="873">
      <c r="A873" s="6">
        <f>IFERROR(__xludf.DUMMYFUNCTION("""COMPUTED_VALUE"""),45872.363969907405)</f>
        <v>45872.36397</v>
      </c>
      <c r="B873" s="2" t="str">
        <f>IFERROR(__xludf.DUMMYFUNCTION("""COMPUTED_VALUE"""),"August")</f>
        <v>August</v>
      </c>
      <c r="C873" s="3">
        <f>IFERROR(__xludf.DUMMYFUNCTION("""COMPUTED_VALUE"""),47156.0)</f>
        <v>47156</v>
      </c>
      <c r="D873" s="2" t="str">
        <f>IFERROR(__xludf.DUMMYFUNCTION("""COMPUTED_VALUE"""),"CC22")</f>
        <v>CC22</v>
      </c>
      <c r="E873" s="2" t="str">
        <f>IFERROR(__xludf.DUMMYFUNCTION("""COMPUTED_VALUE"""),"Imported from file Digizag.xlsx")</f>
        <v>Imported from file Digizag.xlsx</v>
      </c>
      <c r="F873" s="2" t="str">
        <f>IFERROR(__xludf.DUMMYFUNCTION("""COMPUTED_VALUE"""),"LUV391473")</f>
        <v>LUV391473</v>
      </c>
      <c r="G873" s="2" t="str">
        <f>IFERROR(__xludf.DUMMYFUNCTION("""COMPUTED_VALUE"""),"Kuwait")</f>
        <v>Kuwait</v>
      </c>
      <c r="H873" s="4">
        <f>IFERROR(__xludf.DUMMYFUNCTION("""COMPUTED_VALUE"""),10.15)</f>
        <v>10.15</v>
      </c>
      <c r="I873" s="3">
        <f>IFERROR(__xludf.DUMMYFUNCTION("""COMPUTED_VALUE"""),1.0)</f>
        <v>1</v>
      </c>
      <c r="J873" s="4">
        <f>IFERROR(__xludf.DUMMYFUNCTION("""COMPUTED_VALUE"""),1.015)</f>
        <v>1.015</v>
      </c>
      <c r="K873" s="2"/>
      <c r="L873" s="2" t="str">
        <f>IFERROR(__xludf.DUMMYFUNCTION("""COMPUTED_VALUE"""),"Cancelled")</f>
        <v>Cancelled</v>
      </c>
      <c r="M873" s="2" t="str">
        <f>IFERROR(__xludf.DUMMYFUNCTION("""COMPUTED_VALUE"""),"KD")</f>
        <v>KD</v>
      </c>
      <c r="N873" s="2" t="str">
        <f>IFERROR(__xludf.DUMMYFUNCTION("""COMPUTED_VALUE"""),"Cash")</f>
        <v>Cash</v>
      </c>
      <c r="O873" s="4">
        <f>IFERROR(__xludf.DUMMYFUNCTION("""COMPUTED_VALUE"""),9.135)</f>
        <v>9.135</v>
      </c>
      <c r="P873" s="2">
        <f>IFERROR(__xludf.DUMMYFUNCTION("""COMPUTED_VALUE"""),3.0)</f>
        <v>3</v>
      </c>
      <c r="Q873" s="2">
        <f>IFERROR(__xludf.DUMMYFUNCTION("""COMPUTED_VALUE"""),8.0)</f>
        <v>8</v>
      </c>
      <c r="R873" s="2">
        <f>IFERROR(__xludf.DUMMYFUNCTION("""COMPUTED_VALUE"""),2025.0)</f>
        <v>2025</v>
      </c>
      <c r="S873" s="2" t="str">
        <f>IFERROR(__xludf.DUMMYFUNCTION("""COMPUTED_VALUE"""),"Digizag")</f>
        <v>Digizag</v>
      </c>
      <c r="T873" s="2" t="str">
        <f>IFERROR(__xludf.DUMMYFUNCTION("""COMPUTED_VALUE"""),"Digizag")</f>
        <v>Digizag</v>
      </c>
      <c r="U873" s="5">
        <f>IFERROR(__xludf.DUMMYFUNCTION("""COMPUTED_VALUE"""),33.095293)</f>
        <v>33.095293</v>
      </c>
      <c r="V873" s="2"/>
      <c r="W873" s="2"/>
      <c r="X873" s="2"/>
      <c r="Y873" s="2"/>
      <c r="Z873" s="2"/>
    </row>
    <row r="874">
      <c r="A874" s="6">
        <f>IFERROR(__xludf.DUMMYFUNCTION("""COMPUTED_VALUE"""),45872.40342592592)</f>
        <v>45872.40343</v>
      </c>
      <c r="B874" s="2" t="str">
        <f>IFERROR(__xludf.DUMMYFUNCTION("""COMPUTED_VALUE"""),"August")</f>
        <v>August</v>
      </c>
      <c r="C874" s="3">
        <f>IFERROR(__xludf.DUMMYFUNCTION("""COMPUTED_VALUE"""),508746.0)</f>
        <v>508746</v>
      </c>
      <c r="D874" s="2" t="str">
        <f>IFERROR(__xludf.DUMMYFUNCTION("""COMPUTED_VALUE"""),"CC22")</f>
        <v>CC22</v>
      </c>
      <c r="E874" s="2" t="str">
        <f>IFERROR(__xludf.DUMMYFUNCTION("""COMPUTED_VALUE"""),"Imported from file Digizag.xlsx")</f>
        <v>Imported from file Digizag.xlsx</v>
      </c>
      <c r="F874" s="2" t="str">
        <f>IFERROR(__xludf.DUMMYFUNCTION("""COMPUTED_VALUE"""),"ZHZ383235")</f>
        <v>ZHZ383235</v>
      </c>
      <c r="G874" s="2" t="str">
        <f>IFERROR(__xludf.DUMMYFUNCTION("""COMPUTED_VALUE"""),"Kingdom of Saudi Arabia")</f>
        <v>Kingdom of Saudi Arabia</v>
      </c>
      <c r="H874" s="4">
        <f>IFERROR(__xludf.DUMMYFUNCTION("""COMPUTED_VALUE"""),196.79)</f>
        <v>196.79</v>
      </c>
      <c r="I874" s="3">
        <f>IFERROR(__xludf.DUMMYFUNCTION("""COMPUTED_VALUE"""),0.0)</f>
        <v>0</v>
      </c>
      <c r="J874" s="4">
        <f>IFERROR(__xludf.DUMMYFUNCTION("""COMPUTED_VALUE"""),30.0)</f>
        <v>30</v>
      </c>
      <c r="K874" s="2"/>
      <c r="L874" s="2" t="str">
        <f>IFERROR(__xludf.DUMMYFUNCTION("""COMPUTED_VALUE"""),"Delivered")</f>
        <v>Delivered</v>
      </c>
      <c r="M874" s="2" t="str">
        <f>IFERROR(__xludf.DUMMYFUNCTION("""COMPUTED_VALUE"""),"")</f>
        <v></v>
      </c>
      <c r="N874" s="2" t="str">
        <f>IFERROR(__xludf.DUMMYFUNCTION("""COMPUTED_VALUE"""),"Credit, Debit, Apple Pay")</f>
        <v>Credit, Debit, Apple Pay</v>
      </c>
      <c r="O874" s="4">
        <f>IFERROR(__xludf.DUMMYFUNCTION("""COMPUTED_VALUE"""),0.0)</f>
        <v>0</v>
      </c>
      <c r="P874" s="2">
        <f>IFERROR(__xludf.DUMMYFUNCTION("""COMPUTED_VALUE"""),3.0)</f>
        <v>3</v>
      </c>
      <c r="Q874" s="2">
        <f>IFERROR(__xludf.DUMMYFUNCTION("""COMPUTED_VALUE"""),8.0)</f>
        <v>8</v>
      </c>
      <c r="R874" s="2">
        <f>IFERROR(__xludf.DUMMYFUNCTION("""COMPUTED_VALUE"""),2025.0)</f>
        <v>2025</v>
      </c>
      <c r="S874" s="2" t="str">
        <f>IFERROR(__xludf.DUMMYFUNCTION("""COMPUTED_VALUE"""),"Digizag")</f>
        <v>Digizag</v>
      </c>
      <c r="T874" s="2" t="str">
        <f>IFERROR(__xludf.DUMMYFUNCTION("""COMPUTED_VALUE"""),"Digizag")</f>
        <v>Digizag</v>
      </c>
      <c r="U874" s="5">
        <f>IFERROR(__xludf.DUMMYFUNCTION("""COMPUTED_VALUE"""),52.47327539234)</f>
        <v>52.47327539</v>
      </c>
      <c r="V874" s="2"/>
      <c r="W874" s="2"/>
      <c r="X874" s="2"/>
      <c r="Y874" s="2"/>
      <c r="Z874" s="2"/>
    </row>
    <row r="875">
      <c r="A875" s="6">
        <f>IFERROR(__xludf.DUMMYFUNCTION("""COMPUTED_VALUE"""),45872.40976851852)</f>
        <v>45872.40977</v>
      </c>
      <c r="B875" s="2" t="str">
        <f>IFERROR(__xludf.DUMMYFUNCTION("""COMPUTED_VALUE"""),"August")</f>
        <v>August</v>
      </c>
      <c r="C875" s="3">
        <f>IFERROR(__xludf.DUMMYFUNCTION("""COMPUTED_VALUE"""),243597.0)</f>
        <v>243597</v>
      </c>
      <c r="D875" s="2" t="str">
        <f>IFERROR(__xludf.DUMMYFUNCTION("""COMPUTED_VALUE"""),"ZM22")</f>
        <v>ZM22</v>
      </c>
      <c r="E875" s="2" t="str">
        <f>IFERROR(__xludf.DUMMYFUNCTION("""COMPUTED_VALUE"""),"Imported from file Digizag.xlsx")</f>
        <v>Imported from file Digizag.xlsx</v>
      </c>
      <c r="F875" s="2" t="str">
        <f>IFERROR(__xludf.DUMMYFUNCTION("""COMPUTED_VALUE"""),"HEG211610")</f>
        <v>HEG211610</v>
      </c>
      <c r="G875" s="2" t="str">
        <f>IFERROR(__xludf.DUMMYFUNCTION("""COMPUTED_VALUE"""),"Kingdom of Saudi Arabia")</f>
        <v>Kingdom of Saudi Arabia</v>
      </c>
      <c r="H875" s="4">
        <f>IFERROR(__xludf.DUMMYFUNCTION("""COMPUTED_VALUE"""),94.0)</f>
        <v>94</v>
      </c>
      <c r="I875" s="3">
        <f>IFERROR(__xludf.DUMMYFUNCTION("""COMPUTED_VALUE"""),0.0)</f>
        <v>0</v>
      </c>
      <c r="J875" s="4">
        <f>IFERROR(__xludf.DUMMYFUNCTION("""COMPUTED_VALUE"""),23.5)</f>
        <v>23.5</v>
      </c>
      <c r="K875" s="2"/>
      <c r="L875" s="2" t="str">
        <f>IFERROR(__xludf.DUMMYFUNCTION("""COMPUTED_VALUE"""),"Delivered")</f>
        <v>Delivered</v>
      </c>
      <c r="M875" s="2" t="str">
        <f>IFERROR(__xludf.DUMMYFUNCTION("""COMPUTED_VALUE"""),"")</f>
        <v></v>
      </c>
      <c r="N875" s="2" t="str">
        <f>IFERROR(__xludf.DUMMYFUNCTION("""COMPUTED_VALUE"""),"Credit, Debit, Apple Pay")</f>
        <v>Credit, Debit, Apple Pay</v>
      </c>
      <c r="O875" s="4">
        <f>IFERROR(__xludf.DUMMYFUNCTION("""COMPUTED_VALUE"""),0.0)</f>
        <v>0</v>
      </c>
      <c r="P875" s="2">
        <f>IFERROR(__xludf.DUMMYFUNCTION("""COMPUTED_VALUE"""),3.0)</f>
        <v>3</v>
      </c>
      <c r="Q875" s="2">
        <f>IFERROR(__xludf.DUMMYFUNCTION("""COMPUTED_VALUE"""),8.0)</f>
        <v>8</v>
      </c>
      <c r="R875" s="2">
        <f>IFERROR(__xludf.DUMMYFUNCTION("""COMPUTED_VALUE"""),2025.0)</f>
        <v>2025</v>
      </c>
      <c r="S875" s="2" t="str">
        <f>IFERROR(__xludf.DUMMYFUNCTION("""COMPUTED_VALUE"""),"Digizag")</f>
        <v>Digizag</v>
      </c>
      <c r="T875" s="2" t="str">
        <f>IFERROR(__xludf.DUMMYFUNCTION("""COMPUTED_VALUE"""),"Digizag")</f>
        <v>Digizag</v>
      </c>
      <c r="U875" s="5">
        <f>IFERROR(__xludf.DUMMYFUNCTION("""COMPUTED_VALUE"""),25.064728324)</f>
        <v>25.06472832</v>
      </c>
      <c r="V875" s="2"/>
      <c r="W875" s="2"/>
      <c r="X875" s="2"/>
      <c r="Y875" s="2"/>
      <c r="Z875" s="2"/>
    </row>
    <row r="876">
      <c r="A876" s="6">
        <f>IFERROR(__xludf.DUMMYFUNCTION("""COMPUTED_VALUE"""),45872.48375)</f>
        <v>45872.48375</v>
      </c>
      <c r="B876" s="2" t="str">
        <f>IFERROR(__xludf.DUMMYFUNCTION("""COMPUTED_VALUE"""),"August")</f>
        <v>August</v>
      </c>
      <c r="C876" s="3">
        <f>IFERROR(__xludf.DUMMYFUNCTION("""COMPUTED_VALUE"""),254767.0)</f>
        <v>254767</v>
      </c>
      <c r="D876" s="2" t="str">
        <f>IFERROR(__xludf.DUMMYFUNCTION("""COMPUTED_VALUE"""),"DG10")</f>
        <v>DG10</v>
      </c>
      <c r="E876" s="2" t="str">
        <f>IFERROR(__xludf.DUMMYFUNCTION("""COMPUTED_VALUE"""),"Imported from file Digizag.xlsx")</f>
        <v>Imported from file Digizag.xlsx</v>
      </c>
      <c r="F876" s="2" t="str">
        <f>IFERROR(__xludf.DUMMYFUNCTION("""COMPUTED_VALUE"""),"EVK629571")</f>
        <v>EVK629571</v>
      </c>
      <c r="G876" s="2" t="str">
        <f>IFERROR(__xludf.DUMMYFUNCTION("""COMPUTED_VALUE"""),"Kingdom of Saudi Arabia")</f>
        <v>Kingdom of Saudi Arabia</v>
      </c>
      <c r="H876" s="4">
        <f>IFERROR(__xludf.DUMMYFUNCTION("""COMPUTED_VALUE"""),91.0)</f>
        <v>91</v>
      </c>
      <c r="I876" s="3">
        <f>IFERROR(__xludf.DUMMYFUNCTION("""COMPUTED_VALUE"""),0.0)</f>
        <v>0</v>
      </c>
      <c r="J876" s="4">
        <f>IFERROR(__xludf.DUMMYFUNCTION("""COMPUTED_VALUE"""),22.74)</f>
        <v>22.74</v>
      </c>
      <c r="K876" s="2"/>
      <c r="L876" s="2" t="str">
        <f>IFERROR(__xludf.DUMMYFUNCTION("""COMPUTED_VALUE"""),"Delivered")</f>
        <v>Delivered</v>
      </c>
      <c r="M876" s="2" t="str">
        <f>IFERROR(__xludf.DUMMYFUNCTION("""COMPUTED_VALUE"""),"")</f>
        <v></v>
      </c>
      <c r="N876" s="2" t="str">
        <f>IFERROR(__xludf.DUMMYFUNCTION("""COMPUTED_VALUE"""),"Credit, Debit, Apple Pay")</f>
        <v>Credit, Debit, Apple Pay</v>
      </c>
      <c r="O876" s="4">
        <f>IFERROR(__xludf.DUMMYFUNCTION("""COMPUTED_VALUE"""),0.0)</f>
        <v>0</v>
      </c>
      <c r="P876" s="2">
        <f>IFERROR(__xludf.DUMMYFUNCTION("""COMPUTED_VALUE"""),3.0)</f>
        <v>3</v>
      </c>
      <c r="Q876" s="2">
        <f>IFERROR(__xludf.DUMMYFUNCTION("""COMPUTED_VALUE"""),8.0)</f>
        <v>8</v>
      </c>
      <c r="R876" s="2">
        <f>IFERROR(__xludf.DUMMYFUNCTION("""COMPUTED_VALUE"""),2025.0)</f>
        <v>2025</v>
      </c>
      <c r="S876" s="2" t="str">
        <f>IFERROR(__xludf.DUMMYFUNCTION("""COMPUTED_VALUE"""),"Digizag")</f>
        <v>Digizag</v>
      </c>
      <c r="T876" s="2" t="str">
        <f>IFERROR(__xludf.DUMMYFUNCTION("""COMPUTED_VALUE"""),"Digizag")</f>
        <v>Digizag</v>
      </c>
      <c r="U876" s="5">
        <f>IFERROR(__xludf.DUMMYFUNCTION("""COMPUTED_VALUE"""),24.264790186000003)</f>
        <v>24.26479019</v>
      </c>
      <c r="V876" s="2"/>
      <c r="W876" s="2"/>
      <c r="X876" s="2"/>
      <c r="Y876" s="2"/>
      <c r="Z876" s="2"/>
    </row>
    <row r="877">
      <c r="A877" s="6">
        <f>IFERROR(__xludf.DUMMYFUNCTION("""COMPUTED_VALUE"""),45872.519166666665)</f>
        <v>45872.51917</v>
      </c>
      <c r="B877" s="2" t="str">
        <f>IFERROR(__xludf.DUMMYFUNCTION("""COMPUTED_VALUE"""),"August")</f>
        <v>August</v>
      </c>
      <c r="C877" s="3">
        <f>IFERROR(__xludf.DUMMYFUNCTION("""COMPUTED_VALUE"""),773577.0)</f>
        <v>773577</v>
      </c>
      <c r="D877" s="2" t="str">
        <f>IFERROR(__xludf.DUMMYFUNCTION("""COMPUTED_VALUE"""),"CC22")</f>
        <v>CC22</v>
      </c>
      <c r="E877" s="2" t="str">
        <f>IFERROR(__xludf.DUMMYFUNCTION("""COMPUTED_VALUE"""),"Imported from file Digizag.xlsx")</f>
        <v>Imported from file Digizag.xlsx</v>
      </c>
      <c r="F877" s="2" t="str">
        <f>IFERROR(__xludf.DUMMYFUNCTION("""COMPUTED_VALUE"""),"EPR771616")</f>
        <v>EPR771616</v>
      </c>
      <c r="G877" s="2" t="str">
        <f>IFERROR(__xludf.DUMMYFUNCTION("""COMPUTED_VALUE"""),"Kingdom of Saudi Arabia")</f>
        <v>Kingdom of Saudi Arabia</v>
      </c>
      <c r="H877" s="4">
        <f>IFERROR(__xludf.DUMMYFUNCTION("""COMPUTED_VALUE"""),324.56)</f>
        <v>324.56</v>
      </c>
      <c r="I877" s="3">
        <f>IFERROR(__xludf.DUMMYFUNCTION("""COMPUTED_VALUE"""),0.0)</f>
        <v>0</v>
      </c>
      <c r="J877" s="4">
        <f>IFERROR(__xludf.DUMMYFUNCTION("""COMPUTED_VALUE"""),30.0)</f>
        <v>30</v>
      </c>
      <c r="K877" s="2"/>
      <c r="L877" s="2" t="str">
        <f>IFERROR(__xludf.DUMMYFUNCTION("""COMPUTED_VALUE"""),"Delivered")</f>
        <v>Delivered</v>
      </c>
      <c r="M877" s="2" t="str">
        <f>IFERROR(__xludf.DUMMYFUNCTION("""COMPUTED_VALUE"""),"")</f>
        <v></v>
      </c>
      <c r="N877" s="2" t="str">
        <f>IFERROR(__xludf.DUMMYFUNCTION("""COMPUTED_VALUE"""),"Credit, Debit, Apple Pay")</f>
        <v>Credit, Debit, Apple Pay</v>
      </c>
      <c r="O877" s="4">
        <f>IFERROR(__xludf.DUMMYFUNCTION("""COMPUTED_VALUE"""),0.0)</f>
        <v>0</v>
      </c>
      <c r="P877" s="2">
        <f>IFERROR(__xludf.DUMMYFUNCTION("""COMPUTED_VALUE"""),3.0)</f>
        <v>3</v>
      </c>
      <c r="Q877" s="2">
        <f>IFERROR(__xludf.DUMMYFUNCTION("""COMPUTED_VALUE"""),8.0)</f>
        <v>8</v>
      </c>
      <c r="R877" s="2">
        <f>IFERROR(__xludf.DUMMYFUNCTION("""COMPUTED_VALUE"""),2025.0)</f>
        <v>2025</v>
      </c>
      <c r="S877" s="2" t="str">
        <f>IFERROR(__xludf.DUMMYFUNCTION("""COMPUTED_VALUE"""),"Digizag")</f>
        <v>Digizag</v>
      </c>
      <c r="T877" s="2" t="str">
        <f>IFERROR(__xludf.DUMMYFUNCTION("""COMPUTED_VALUE"""),"Digizag")</f>
        <v>Digizag</v>
      </c>
      <c r="U877" s="5">
        <f>IFERROR(__xludf.DUMMYFUNCTION("""COMPUTED_VALUE"""),86.54264068976)</f>
        <v>86.54264069</v>
      </c>
      <c r="V877" s="2"/>
      <c r="W877" s="2"/>
      <c r="X877" s="2"/>
      <c r="Y877" s="2"/>
      <c r="Z877" s="2"/>
    </row>
    <row r="878">
      <c r="A878" s="6">
        <f>IFERROR(__xludf.DUMMYFUNCTION("""COMPUTED_VALUE"""),45872.785787037035)</f>
        <v>45872.78579</v>
      </c>
      <c r="B878" s="2" t="str">
        <f>IFERROR(__xludf.DUMMYFUNCTION("""COMPUTED_VALUE"""),"August")</f>
        <v>August</v>
      </c>
      <c r="C878" s="3">
        <f>IFERROR(__xludf.DUMMYFUNCTION("""COMPUTED_VALUE"""),614330.0)</f>
        <v>614330</v>
      </c>
      <c r="D878" s="2" t="str">
        <f>IFERROR(__xludf.DUMMYFUNCTION("""COMPUTED_VALUE"""),"DG10")</f>
        <v>DG10</v>
      </c>
      <c r="E878" s="2" t="str">
        <f>IFERROR(__xludf.DUMMYFUNCTION("""COMPUTED_VALUE"""),"Imported from file Digizag.xlsx")</f>
        <v>Imported from file Digizag.xlsx</v>
      </c>
      <c r="F878" s="2" t="str">
        <f>IFERROR(__xludf.DUMMYFUNCTION("""COMPUTED_VALUE"""),"NRU101812")</f>
        <v>NRU101812</v>
      </c>
      <c r="G878" s="2" t="str">
        <f>IFERROR(__xludf.DUMMYFUNCTION("""COMPUTED_VALUE"""),"Bahrain")</f>
        <v>Bahrain</v>
      </c>
      <c r="H878" s="4">
        <f>IFERROR(__xludf.DUMMYFUNCTION("""COMPUTED_VALUE"""),10.2)</f>
        <v>10.2</v>
      </c>
      <c r="I878" s="3">
        <f>IFERROR(__xludf.DUMMYFUNCTION("""COMPUTED_VALUE"""),0.0)</f>
        <v>0</v>
      </c>
      <c r="J878" s="4">
        <f>IFERROR(__xludf.DUMMYFUNCTION("""COMPUTED_VALUE"""),1.02)</f>
        <v>1.02</v>
      </c>
      <c r="K878" s="2"/>
      <c r="L878" s="2" t="str">
        <f>IFERROR(__xludf.DUMMYFUNCTION("""COMPUTED_VALUE"""),"Delivered")</f>
        <v>Delivered</v>
      </c>
      <c r="M878" s="2" t="str">
        <f>IFERROR(__xludf.DUMMYFUNCTION("""COMPUTED_VALUE"""),"BHD")</f>
        <v>BHD</v>
      </c>
      <c r="N878" s="2" t="str">
        <f>IFERROR(__xludf.DUMMYFUNCTION("""COMPUTED_VALUE"""),"Credit, Debit")</f>
        <v>Credit, Debit</v>
      </c>
      <c r="O878" s="4">
        <f>IFERROR(__xludf.DUMMYFUNCTION("""COMPUTED_VALUE"""),0.0)</f>
        <v>0</v>
      </c>
      <c r="P878" s="2">
        <f>IFERROR(__xludf.DUMMYFUNCTION("""COMPUTED_VALUE"""),3.0)</f>
        <v>3</v>
      </c>
      <c r="Q878" s="2">
        <f>IFERROR(__xludf.DUMMYFUNCTION("""COMPUTED_VALUE"""),8.0)</f>
        <v>8</v>
      </c>
      <c r="R878" s="2">
        <f>IFERROR(__xludf.DUMMYFUNCTION("""COMPUTED_VALUE"""),2025.0)</f>
        <v>2025</v>
      </c>
      <c r="S878" s="2" t="str">
        <f>IFERROR(__xludf.DUMMYFUNCTION("""COMPUTED_VALUE"""),"Digizag")</f>
        <v>Digizag</v>
      </c>
      <c r="T878" s="2" t="str">
        <f>IFERROR(__xludf.DUMMYFUNCTION("""COMPUTED_VALUE"""),"Digizag")</f>
        <v>Digizag</v>
      </c>
      <c r="U878" s="5">
        <f>IFERROR(__xludf.DUMMYFUNCTION("""COMPUTED_VALUE"""),27.059753399999998)</f>
        <v>27.0597534</v>
      </c>
      <c r="V878" s="2"/>
      <c r="W878" s="2"/>
      <c r="X878" s="2"/>
      <c r="Y878" s="2"/>
      <c r="Z878" s="2"/>
    </row>
    <row r="879">
      <c r="A879" s="6">
        <f>IFERROR(__xludf.DUMMYFUNCTION("""COMPUTED_VALUE"""),45873.218576388885)</f>
        <v>45873.21858</v>
      </c>
      <c r="B879" s="2" t="str">
        <f>IFERROR(__xludf.DUMMYFUNCTION("""COMPUTED_VALUE"""),"August")</f>
        <v>August</v>
      </c>
      <c r="C879" s="3">
        <f>IFERROR(__xludf.DUMMYFUNCTION("""COMPUTED_VALUE"""),318102.0)</f>
        <v>318102</v>
      </c>
      <c r="D879" s="2" t="str">
        <f>IFERROR(__xludf.DUMMYFUNCTION("""COMPUTED_VALUE"""),"ZM22")</f>
        <v>ZM22</v>
      </c>
      <c r="E879" s="2" t="str">
        <f>IFERROR(__xludf.DUMMYFUNCTION("""COMPUTED_VALUE"""),"Imported from file Digizag.xlsx")</f>
        <v>Imported from file Digizag.xlsx</v>
      </c>
      <c r="F879" s="2" t="str">
        <f>IFERROR(__xludf.DUMMYFUNCTION("""COMPUTED_VALUE"""),"BBQ303546")</f>
        <v>BBQ303546</v>
      </c>
      <c r="G879" s="2" t="str">
        <f>IFERROR(__xludf.DUMMYFUNCTION("""COMPUTED_VALUE"""),"UAE")</f>
        <v>UAE</v>
      </c>
      <c r="H879" s="4">
        <f>IFERROR(__xludf.DUMMYFUNCTION("""COMPUTED_VALUE"""),134.9)</f>
        <v>134.9</v>
      </c>
      <c r="I879" s="3">
        <f>IFERROR(__xludf.DUMMYFUNCTION("""COMPUTED_VALUE"""),0.0)</f>
        <v>0</v>
      </c>
      <c r="J879" s="4">
        <f>IFERROR(__xludf.DUMMYFUNCTION("""COMPUTED_VALUE"""),13.49)</f>
        <v>13.49</v>
      </c>
      <c r="K879" s="2"/>
      <c r="L879" s="2" t="str">
        <f>IFERROR(__xludf.DUMMYFUNCTION("""COMPUTED_VALUE"""),"Delivered")</f>
        <v>Delivered</v>
      </c>
      <c r="M879" s="2" t="str">
        <f>IFERROR(__xludf.DUMMYFUNCTION("""COMPUTED_VALUE"""),"")</f>
        <v></v>
      </c>
      <c r="N879" s="2" t="str">
        <f>IFERROR(__xludf.DUMMYFUNCTION("""COMPUTED_VALUE"""),"Credit, Debit , Apple Pay")</f>
        <v>Credit, Debit , Apple Pay</v>
      </c>
      <c r="O879" s="4">
        <f>IFERROR(__xludf.DUMMYFUNCTION("""COMPUTED_VALUE"""),0.0)</f>
        <v>0</v>
      </c>
      <c r="P879" s="2">
        <f>IFERROR(__xludf.DUMMYFUNCTION("""COMPUTED_VALUE"""),4.0)</f>
        <v>4</v>
      </c>
      <c r="Q879" s="2">
        <f>IFERROR(__xludf.DUMMYFUNCTION("""COMPUTED_VALUE"""),8.0)</f>
        <v>8</v>
      </c>
      <c r="R879" s="2">
        <f>IFERROR(__xludf.DUMMYFUNCTION("""COMPUTED_VALUE"""),2025.0)</f>
        <v>2025</v>
      </c>
      <c r="S879" s="2" t="str">
        <f>IFERROR(__xludf.DUMMYFUNCTION("""COMPUTED_VALUE"""),"Digizag")</f>
        <v>Digizag</v>
      </c>
      <c r="T879" s="2" t="str">
        <f>IFERROR(__xludf.DUMMYFUNCTION("""COMPUTED_VALUE"""),"Digizag")</f>
        <v>Digizag</v>
      </c>
      <c r="U879" s="5">
        <f>IFERROR(__xludf.DUMMYFUNCTION("""COMPUTED_VALUE"""),36.7324711222)</f>
        <v>36.73247112</v>
      </c>
      <c r="V879" s="2"/>
      <c r="W879" s="2"/>
      <c r="X879" s="2"/>
      <c r="Y879" s="2"/>
      <c r="Z879" s="2"/>
    </row>
    <row r="880">
      <c r="A880" s="6">
        <f>IFERROR(__xludf.DUMMYFUNCTION("""COMPUTED_VALUE"""),45873.49128472222)</f>
        <v>45873.49128</v>
      </c>
      <c r="B880" s="2" t="str">
        <f>IFERROR(__xludf.DUMMYFUNCTION("""COMPUTED_VALUE"""),"August")</f>
        <v>August</v>
      </c>
      <c r="C880" s="3">
        <f>IFERROR(__xludf.DUMMYFUNCTION("""COMPUTED_VALUE"""),230526.0)</f>
        <v>230526</v>
      </c>
      <c r="D880" s="2" t="str">
        <f>IFERROR(__xludf.DUMMYFUNCTION("""COMPUTED_VALUE"""),"CC22")</f>
        <v>CC22</v>
      </c>
      <c r="E880" s="2" t="str">
        <f>IFERROR(__xludf.DUMMYFUNCTION("""COMPUTED_VALUE"""),"Imported from file Digizag.xlsx")</f>
        <v>Imported from file Digizag.xlsx</v>
      </c>
      <c r="F880" s="2" t="str">
        <f>IFERROR(__xludf.DUMMYFUNCTION("""COMPUTED_VALUE"""),"LRX913975")</f>
        <v>LRX913975</v>
      </c>
      <c r="G880" s="2" t="str">
        <f>IFERROR(__xludf.DUMMYFUNCTION("""COMPUTED_VALUE"""),"Kuwait")</f>
        <v>Kuwait</v>
      </c>
      <c r="H880" s="4">
        <f>IFERROR(__xludf.DUMMYFUNCTION("""COMPUTED_VALUE"""),27.5)</f>
        <v>27.5</v>
      </c>
      <c r="I880" s="3">
        <f>IFERROR(__xludf.DUMMYFUNCTION("""COMPUTED_VALUE"""),0.0)</f>
        <v>0</v>
      </c>
      <c r="J880" s="4">
        <f>IFERROR(__xludf.DUMMYFUNCTION("""COMPUTED_VALUE"""),2.75)</f>
        <v>2.75</v>
      </c>
      <c r="K880" s="2"/>
      <c r="L880" s="2" t="str">
        <f>IFERROR(__xludf.DUMMYFUNCTION("""COMPUTED_VALUE"""),"Delivered")</f>
        <v>Delivered</v>
      </c>
      <c r="M880" s="2" t="str">
        <f>IFERROR(__xludf.DUMMYFUNCTION("""COMPUTED_VALUE"""),"KD")</f>
        <v>KD</v>
      </c>
      <c r="N880" s="2" t="str">
        <f>IFERROR(__xludf.DUMMYFUNCTION("""COMPUTED_VALUE"""),"Credit, Debit, Knet")</f>
        <v>Credit, Debit, Knet</v>
      </c>
      <c r="O880" s="4">
        <f>IFERROR(__xludf.DUMMYFUNCTION("""COMPUTED_VALUE"""),0.0)</f>
        <v>0</v>
      </c>
      <c r="P880" s="2">
        <f>IFERROR(__xludf.DUMMYFUNCTION("""COMPUTED_VALUE"""),4.0)</f>
        <v>4</v>
      </c>
      <c r="Q880" s="2">
        <f>IFERROR(__xludf.DUMMYFUNCTION("""COMPUTED_VALUE"""),8.0)</f>
        <v>8</v>
      </c>
      <c r="R880" s="2">
        <f>IFERROR(__xludf.DUMMYFUNCTION("""COMPUTED_VALUE"""),2025.0)</f>
        <v>2025</v>
      </c>
      <c r="S880" s="2" t="str">
        <f>IFERROR(__xludf.DUMMYFUNCTION("""COMPUTED_VALUE"""),"Digizag")</f>
        <v>Digizag</v>
      </c>
      <c r="T880" s="2" t="str">
        <f>IFERROR(__xludf.DUMMYFUNCTION("""COMPUTED_VALUE"""),"Digizag")</f>
        <v>Digizag</v>
      </c>
      <c r="U880" s="5">
        <f>IFERROR(__xludf.DUMMYFUNCTION("""COMPUTED_VALUE"""),89.66704999999999)</f>
        <v>89.66705</v>
      </c>
      <c r="V880" s="2"/>
      <c r="W880" s="2"/>
      <c r="X880" s="2"/>
      <c r="Y880" s="2"/>
      <c r="Z880" s="2"/>
    </row>
    <row r="881">
      <c r="A881" s="6">
        <f>IFERROR(__xludf.DUMMYFUNCTION("""COMPUTED_VALUE"""),45873.56799768518)</f>
        <v>45873.568</v>
      </c>
      <c r="B881" s="2" t="str">
        <f>IFERROR(__xludf.DUMMYFUNCTION("""COMPUTED_VALUE"""),"August")</f>
        <v>August</v>
      </c>
      <c r="C881" s="3">
        <f>IFERROR(__xludf.DUMMYFUNCTION("""COMPUTED_VALUE"""),410572.0)</f>
        <v>410572</v>
      </c>
      <c r="D881" s="2" t="str">
        <f>IFERROR(__xludf.DUMMYFUNCTION("""COMPUTED_VALUE"""),"JM")</f>
        <v>JM</v>
      </c>
      <c r="E881" s="2" t="str">
        <f>IFERROR(__xludf.DUMMYFUNCTION("""COMPUTED_VALUE"""),"DigiZag")</f>
        <v>DigiZag</v>
      </c>
      <c r="F881" s="2" t="str">
        <f>IFERROR(__xludf.DUMMYFUNCTION("""COMPUTED_VALUE"""),"QXM184439")</f>
        <v>QXM184439</v>
      </c>
      <c r="G881" s="2" t="str">
        <f>IFERROR(__xludf.DUMMYFUNCTION("""COMPUTED_VALUE"""),"Kingdom of Saudi Arabia")</f>
        <v>Kingdom of Saudi Arabia</v>
      </c>
      <c r="H881" s="4">
        <f>IFERROR(__xludf.DUMMYFUNCTION("""COMPUTED_VALUE"""),177.0)</f>
        <v>177</v>
      </c>
      <c r="I881" s="3">
        <f>IFERROR(__xludf.DUMMYFUNCTION("""COMPUTED_VALUE"""),0.0)</f>
        <v>0</v>
      </c>
      <c r="J881" s="4">
        <f>IFERROR(__xludf.DUMMYFUNCTION("""COMPUTED_VALUE"""),30.0)</f>
        <v>30</v>
      </c>
      <c r="K881" s="2"/>
      <c r="L881" s="2" t="str">
        <f>IFERROR(__xludf.DUMMYFUNCTION("""COMPUTED_VALUE"""),"Delivered")</f>
        <v>Delivered</v>
      </c>
      <c r="M881" s="2" t="str">
        <f>IFERROR(__xludf.DUMMYFUNCTION("""COMPUTED_VALUE"""),"")</f>
        <v></v>
      </c>
      <c r="N881" s="2" t="str">
        <f>IFERROR(__xludf.DUMMYFUNCTION("""COMPUTED_VALUE"""),"Credit, Debit, Apple Pay")</f>
        <v>Credit, Debit, Apple Pay</v>
      </c>
      <c r="O881" s="4">
        <f>IFERROR(__xludf.DUMMYFUNCTION("""COMPUTED_VALUE"""),0.0)</f>
        <v>0</v>
      </c>
      <c r="P881" s="2">
        <f>IFERROR(__xludf.DUMMYFUNCTION("""COMPUTED_VALUE"""),4.0)</f>
        <v>4</v>
      </c>
      <c r="Q881" s="2">
        <f>IFERROR(__xludf.DUMMYFUNCTION("""COMPUTED_VALUE"""),8.0)</f>
        <v>8</v>
      </c>
      <c r="R881" s="2">
        <f>IFERROR(__xludf.DUMMYFUNCTION("""COMPUTED_VALUE"""),2025.0)</f>
        <v>2025</v>
      </c>
      <c r="S881" s="2" t="str">
        <f>IFERROR(__xludf.DUMMYFUNCTION("""COMPUTED_VALUE"""),"Digizag")</f>
        <v>Digizag</v>
      </c>
      <c r="T881" s="2" t="str">
        <f>IFERROR(__xludf.DUMMYFUNCTION("""COMPUTED_VALUE"""),"Digizag")</f>
        <v>Digizag</v>
      </c>
      <c r="U881" s="5">
        <f>IFERROR(__xludf.DUMMYFUNCTION("""COMPUTED_VALUE"""),47.19635014200001)</f>
        <v>47.19635014</v>
      </c>
      <c r="V881" s="2"/>
      <c r="W881" s="2"/>
      <c r="X881" s="2"/>
      <c r="Y881" s="2"/>
      <c r="Z881" s="2"/>
    </row>
    <row r="882">
      <c r="A882" s="6">
        <f>IFERROR(__xludf.DUMMYFUNCTION("""COMPUTED_VALUE"""),45873.62181712963)</f>
        <v>45873.62182</v>
      </c>
      <c r="B882" s="2" t="str">
        <f>IFERROR(__xludf.DUMMYFUNCTION("""COMPUTED_VALUE"""),"August")</f>
        <v>August</v>
      </c>
      <c r="C882" s="3">
        <f>IFERROR(__xludf.DUMMYFUNCTION("""COMPUTED_VALUE"""),767756.0)</f>
        <v>767756</v>
      </c>
      <c r="D882" s="2" t="str">
        <f>IFERROR(__xludf.DUMMYFUNCTION("""COMPUTED_VALUE"""),"JM")</f>
        <v>JM</v>
      </c>
      <c r="E882" s="2" t="str">
        <f>IFERROR(__xludf.DUMMYFUNCTION("""COMPUTED_VALUE"""),"Digizag")</f>
        <v>Digizag</v>
      </c>
      <c r="F882" s="2" t="str">
        <f>IFERROR(__xludf.DUMMYFUNCTION("""COMPUTED_VALUE"""),"QRM381019")</f>
        <v>QRM381019</v>
      </c>
      <c r="G882" s="2" t="str">
        <f>IFERROR(__xludf.DUMMYFUNCTION("""COMPUTED_VALUE"""),"Kuwait")</f>
        <v>Kuwait</v>
      </c>
      <c r="H882" s="4">
        <f>IFERROR(__xludf.DUMMYFUNCTION("""COMPUTED_VALUE"""),16.59)</f>
        <v>16.59</v>
      </c>
      <c r="I882" s="3">
        <f>IFERROR(__xludf.DUMMYFUNCTION("""COMPUTED_VALUE"""),0.0)</f>
        <v>0</v>
      </c>
      <c r="J882" s="4">
        <f>IFERROR(__xludf.DUMMYFUNCTION("""COMPUTED_VALUE"""),1.659)</f>
        <v>1.659</v>
      </c>
      <c r="K882" s="2"/>
      <c r="L882" s="2" t="str">
        <f>IFERROR(__xludf.DUMMYFUNCTION("""COMPUTED_VALUE"""),"Delivered")</f>
        <v>Delivered</v>
      </c>
      <c r="M882" s="2" t="str">
        <f>IFERROR(__xludf.DUMMYFUNCTION("""COMPUTED_VALUE"""),"KD")</f>
        <v>KD</v>
      </c>
      <c r="N882" s="2" t="str">
        <f>IFERROR(__xludf.DUMMYFUNCTION("""COMPUTED_VALUE"""),"Credit, Debit, Knet")</f>
        <v>Credit, Debit, Knet</v>
      </c>
      <c r="O882" s="4">
        <f>IFERROR(__xludf.DUMMYFUNCTION("""COMPUTED_VALUE"""),0.0)</f>
        <v>0</v>
      </c>
      <c r="P882" s="2">
        <f>IFERROR(__xludf.DUMMYFUNCTION("""COMPUTED_VALUE"""),4.0)</f>
        <v>4</v>
      </c>
      <c r="Q882" s="2">
        <f>IFERROR(__xludf.DUMMYFUNCTION("""COMPUTED_VALUE"""),8.0)</f>
        <v>8</v>
      </c>
      <c r="R882" s="2">
        <f>IFERROR(__xludf.DUMMYFUNCTION("""COMPUTED_VALUE"""),2025.0)</f>
        <v>2025</v>
      </c>
      <c r="S882" s="2" t="str">
        <f>IFERROR(__xludf.DUMMYFUNCTION("""COMPUTED_VALUE"""),"Digizag")</f>
        <v>Digizag</v>
      </c>
      <c r="T882" s="2" t="str">
        <f>IFERROR(__xludf.DUMMYFUNCTION("""COMPUTED_VALUE"""),"Digizag")</f>
        <v>Digizag</v>
      </c>
      <c r="U882" s="5">
        <f>IFERROR(__xludf.DUMMYFUNCTION("""COMPUTED_VALUE"""),54.093685799999996)</f>
        <v>54.0936858</v>
      </c>
      <c r="V882" s="2"/>
      <c r="W882" s="2"/>
      <c r="X882" s="2"/>
      <c r="Y882" s="2"/>
      <c r="Z882" s="2"/>
    </row>
    <row r="883">
      <c r="A883" s="6">
        <f>IFERROR(__xludf.DUMMYFUNCTION("""COMPUTED_VALUE"""),45873.93775462963)</f>
        <v>45873.93775</v>
      </c>
      <c r="B883" s="2" t="str">
        <f>IFERROR(__xludf.DUMMYFUNCTION("""COMPUTED_VALUE"""),"August")</f>
        <v>August</v>
      </c>
      <c r="C883" s="3">
        <f>IFERROR(__xludf.DUMMYFUNCTION("""COMPUTED_VALUE"""),591302.0)</f>
        <v>591302</v>
      </c>
      <c r="D883" s="2" t="str">
        <f>IFERROR(__xludf.DUMMYFUNCTION("""COMPUTED_VALUE"""),"JM")</f>
        <v>JM</v>
      </c>
      <c r="E883" s="2" t="str">
        <f>IFERROR(__xludf.DUMMYFUNCTION("""COMPUTED_VALUE"""),"DigiZag")</f>
        <v>DigiZag</v>
      </c>
      <c r="F883" s="2" t="str">
        <f>IFERROR(__xludf.DUMMYFUNCTION("""COMPUTED_VALUE"""),"NZE373387")</f>
        <v>NZE373387</v>
      </c>
      <c r="G883" s="2" t="str">
        <f>IFERROR(__xludf.DUMMYFUNCTION("""COMPUTED_VALUE"""),"Kingdom of Saudi Arabia")</f>
        <v>Kingdom of Saudi Arabia</v>
      </c>
      <c r="H883" s="4">
        <f>IFERROR(__xludf.DUMMYFUNCTION("""COMPUTED_VALUE"""),390.38)</f>
        <v>390.38</v>
      </c>
      <c r="I883" s="3">
        <f>IFERROR(__xludf.DUMMYFUNCTION("""COMPUTED_VALUE"""),0.0)</f>
        <v>0</v>
      </c>
      <c r="J883" s="4">
        <f>IFERROR(__xludf.DUMMYFUNCTION("""COMPUTED_VALUE"""),30.0)</f>
        <v>30</v>
      </c>
      <c r="K883" s="2"/>
      <c r="L883" s="2" t="str">
        <f>IFERROR(__xludf.DUMMYFUNCTION("""COMPUTED_VALUE"""),"Delivered")</f>
        <v>Delivered</v>
      </c>
      <c r="M883" s="2" t="str">
        <f>IFERROR(__xludf.DUMMYFUNCTION("""COMPUTED_VALUE"""),"")</f>
        <v></v>
      </c>
      <c r="N883" s="2" t="str">
        <f>IFERROR(__xludf.DUMMYFUNCTION("""COMPUTED_VALUE"""),"Pay in 4. No interest, no fees")</f>
        <v>Pay in 4. No interest, no fees</v>
      </c>
      <c r="O883" s="4">
        <f>IFERROR(__xludf.DUMMYFUNCTION("""COMPUTED_VALUE"""),0.0)</f>
        <v>0</v>
      </c>
      <c r="P883" s="2">
        <f>IFERROR(__xludf.DUMMYFUNCTION("""COMPUTED_VALUE"""),4.0)</f>
        <v>4</v>
      </c>
      <c r="Q883" s="2">
        <f>IFERROR(__xludf.DUMMYFUNCTION("""COMPUTED_VALUE"""),8.0)</f>
        <v>8</v>
      </c>
      <c r="R883" s="2">
        <f>IFERROR(__xludf.DUMMYFUNCTION("""COMPUTED_VALUE"""),2025.0)</f>
        <v>2025</v>
      </c>
      <c r="S883" s="2" t="str">
        <f>IFERROR(__xludf.DUMMYFUNCTION("""COMPUTED_VALUE"""),"Digizag")</f>
        <v>Digizag</v>
      </c>
      <c r="T883" s="2" t="str">
        <f>IFERROR(__xludf.DUMMYFUNCTION("""COMPUTED_VALUE"""),"Digizag")</f>
        <v>Digizag</v>
      </c>
      <c r="U883" s="5">
        <f>IFERROR(__xludf.DUMMYFUNCTION("""COMPUTED_VALUE"""),104.09328343748001)</f>
        <v>104.0932834</v>
      </c>
      <c r="V883" s="2"/>
      <c r="W883" s="2"/>
      <c r="X883" s="2"/>
      <c r="Y883" s="2"/>
      <c r="Z883" s="2"/>
    </row>
    <row r="884">
      <c r="A884" s="6">
        <f>IFERROR(__xludf.DUMMYFUNCTION("""COMPUTED_VALUE"""),45874.35451388889)</f>
        <v>45874.35451</v>
      </c>
      <c r="B884" s="2" t="str">
        <f>IFERROR(__xludf.DUMMYFUNCTION("""COMPUTED_VALUE"""),"August")</f>
        <v>August</v>
      </c>
      <c r="C884" s="3">
        <f>IFERROR(__xludf.DUMMYFUNCTION("""COMPUTED_VALUE"""),36001.0)</f>
        <v>36001</v>
      </c>
      <c r="D884" s="2" t="str">
        <f>IFERROR(__xludf.DUMMYFUNCTION("""COMPUTED_VALUE"""),"JM")</f>
        <v>JM</v>
      </c>
      <c r="E884" s="2" t="str">
        <f>IFERROR(__xludf.DUMMYFUNCTION("""COMPUTED_VALUE"""),"Digizag")</f>
        <v>Digizag</v>
      </c>
      <c r="F884" s="2" t="str">
        <f>IFERROR(__xludf.DUMMYFUNCTION("""COMPUTED_VALUE"""),"DBT326216")</f>
        <v>DBT326216</v>
      </c>
      <c r="G884" s="2" t="str">
        <f>IFERROR(__xludf.DUMMYFUNCTION("""COMPUTED_VALUE"""),"Kuwait")</f>
        <v>Kuwait</v>
      </c>
      <c r="H884" s="4">
        <f>IFERROR(__xludf.DUMMYFUNCTION("""COMPUTED_VALUE"""),21.7)</f>
        <v>21.7</v>
      </c>
      <c r="I884" s="3">
        <f>IFERROR(__xludf.DUMMYFUNCTION("""COMPUTED_VALUE"""),0.0)</f>
        <v>0</v>
      </c>
      <c r="J884" s="4">
        <f>IFERROR(__xludf.DUMMYFUNCTION("""COMPUTED_VALUE"""),2.17)</f>
        <v>2.17</v>
      </c>
      <c r="K884" s="2"/>
      <c r="L884" s="2" t="str">
        <f>IFERROR(__xludf.DUMMYFUNCTION("""COMPUTED_VALUE"""),"Delivered")</f>
        <v>Delivered</v>
      </c>
      <c r="M884" s="2" t="str">
        <f>IFERROR(__xludf.DUMMYFUNCTION("""COMPUTED_VALUE"""),"KD")</f>
        <v>KD</v>
      </c>
      <c r="N884" s="2" t="str">
        <f>IFERROR(__xludf.DUMMYFUNCTION("""COMPUTED_VALUE"""),"Credit, Debit, Knet")</f>
        <v>Credit, Debit, Knet</v>
      </c>
      <c r="O884" s="4">
        <f>IFERROR(__xludf.DUMMYFUNCTION("""COMPUTED_VALUE"""),0.0)</f>
        <v>0</v>
      </c>
      <c r="P884" s="2">
        <f>IFERROR(__xludf.DUMMYFUNCTION("""COMPUTED_VALUE"""),5.0)</f>
        <v>5</v>
      </c>
      <c r="Q884" s="2">
        <f>IFERROR(__xludf.DUMMYFUNCTION("""COMPUTED_VALUE"""),8.0)</f>
        <v>8</v>
      </c>
      <c r="R884" s="2">
        <f>IFERROR(__xludf.DUMMYFUNCTION("""COMPUTED_VALUE"""),2025.0)</f>
        <v>2025</v>
      </c>
      <c r="S884" s="2" t="str">
        <f>IFERROR(__xludf.DUMMYFUNCTION("""COMPUTED_VALUE"""),"Digizag")</f>
        <v>Digizag</v>
      </c>
      <c r="T884" s="2" t="str">
        <f>IFERROR(__xludf.DUMMYFUNCTION("""COMPUTED_VALUE"""),"Digizag")</f>
        <v>Digizag</v>
      </c>
      <c r="U884" s="5">
        <f>IFERROR(__xludf.DUMMYFUNCTION("""COMPUTED_VALUE"""),70.755454)</f>
        <v>70.755454</v>
      </c>
      <c r="V884" s="2"/>
      <c r="W884" s="2"/>
      <c r="X884" s="2"/>
      <c r="Y884" s="2"/>
      <c r="Z884" s="2"/>
    </row>
    <row r="885">
      <c r="A885" s="6">
        <f>IFERROR(__xludf.DUMMYFUNCTION("""COMPUTED_VALUE"""),45874.37516203704)</f>
        <v>45874.37516</v>
      </c>
      <c r="B885" s="2" t="str">
        <f>IFERROR(__xludf.DUMMYFUNCTION("""COMPUTED_VALUE"""),"August")</f>
        <v>August</v>
      </c>
      <c r="C885" s="3">
        <f>IFERROR(__xludf.DUMMYFUNCTION("""COMPUTED_VALUE"""),138484.0)</f>
        <v>138484</v>
      </c>
      <c r="D885" s="2" t="str">
        <f>IFERROR(__xludf.DUMMYFUNCTION("""COMPUTED_VALUE"""),"ZM22")</f>
        <v>ZM22</v>
      </c>
      <c r="E885" s="2" t="str">
        <f>IFERROR(__xludf.DUMMYFUNCTION("""COMPUTED_VALUE"""),"Imported from file Digizag.xlsx")</f>
        <v>Imported from file Digizag.xlsx</v>
      </c>
      <c r="F885" s="2" t="str">
        <f>IFERROR(__xludf.DUMMYFUNCTION("""COMPUTED_VALUE"""),"AUR553811")</f>
        <v>AUR553811</v>
      </c>
      <c r="G885" s="2" t="str">
        <f>IFERROR(__xludf.DUMMYFUNCTION("""COMPUTED_VALUE"""),"UAE")</f>
        <v>UAE</v>
      </c>
      <c r="H885" s="4">
        <f>IFERROR(__xludf.DUMMYFUNCTION("""COMPUTED_VALUE"""),286.0)</f>
        <v>286</v>
      </c>
      <c r="I885" s="3">
        <f>IFERROR(__xludf.DUMMYFUNCTION("""COMPUTED_VALUE"""),0.0)</f>
        <v>0</v>
      </c>
      <c r="J885" s="4">
        <f>IFERROR(__xludf.DUMMYFUNCTION("""COMPUTED_VALUE"""),28.6)</f>
        <v>28.6</v>
      </c>
      <c r="K885" s="2"/>
      <c r="L885" s="2" t="str">
        <f>IFERROR(__xludf.DUMMYFUNCTION("""COMPUTED_VALUE"""),"Delivered")</f>
        <v>Delivered</v>
      </c>
      <c r="M885" s="2" t="str">
        <f>IFERROR(__xludf.DUMMYFUNCTION("""COMPUTED_VALUE"""),"")</f>
        <v></v>
      </c>
      <c r="N885" s="2" t="str">
        <f>IFERROR(__xludf.DUMMYFUNCTION("""COMPUTED_VALUE"""),"Credit, Debit , Apple Pay")</f>
        <v>Credit, Debit , Apple Pay</v>
      </c>
      <c r="O885" s="4">
        <f>IFERROR(__xludf.DUMMYFUNCTION("""COMPUTED_VALUE"""),0.0)</f>
        <v>0</v>
      </c>
      <c r="P885" s="2">
        <f>IFERROR(__xludf.DUMMYFUNCTION("""COMPUTED_VALUE"""),5.0)</f>
        <v>5</v>
      </c>
      <c r="Q885" s="2">
        <f>IFERROR(__xludf.DUMMYFUNCTION("""COMPUTED_VALUE"""),8.0)</f>
        <v>8</v>
      </c>
      <c r="R885" s="2">
        <f>IFERROR(__xludf.DUMMYFUNCTION("""COMPUTED_VALUE"""),2025.0)</f>
        <v>2025</v>
      </c>
      <c r="S885" s="2" t="str">
        <f>IFERROR(__xludf.DUMMYFUNCTION("""COMPUTED_VALUE"""),"Digizag")</f>
        <v>Digizag</v>
      </c>
      <c r="T885" s="2" t="str">
        <f>IFERROR(__xludf.DUMMYFUNCTION("""COMPUTED_VALUE"""),"Digizag")</f>
        <v>Digizag</v>
      </c>
      <c r="U885" s="5">
        <f>IFERROR(__xludf.DUMMYFUNCTION("""COMPUTED_VALUE"""),77.876106308)</f>
        <v>77.87610631</v>
      </c>
      <c r="V885" s="2"/>
      <c r="W885" s="2"/>
      <c r="X885" s="2"/>
      <c r="Y885" s="2"/>
      <c r="Z885" s="2"/>
    </row>
    <row r="886">
      <c r="A886" s="6">
        <f>IFERROR(__xludf.DUMMYFUNCTION("""COMPUTED_VALUE"""),45874.40478009259)</f>
        <v>45874.40478</v>
      </c>
      <c r="B886" s="2" t="str">
        <f>IFERROR(__xludf.DUMMYFUNCTION("""COMPUTED_VALUE"""),"August")</f>
        <v>August</v>
      </c>
      <c r="C886" s="3">
        <f>IFERROR(__xludf.DUMMYFUNCTION("""COMPUTED_VALUE"""),161481.0)</f>
        <v>161481</v>
      </c>
      <c r="D886" s="2" t="str">
        <f>IFERROR(__xludf.DUMMYFUNCTION("""COMPUTED_VALUE"""),"MNN16")</f>
        <v>MNN16</v>
      </c>
      <c r="E886" s="2" t="str">
        <f>IFERROR(__xludf.DUMMYFUNCTION("""COMPUTED_VALUE"""),"Imported from file DigiZag Bidding Codes.xlsx")</f>
        <v>Imported from file DigiZag Bidding Codes.xlsx</v>
      </c>
      <c r="F886" s="2" t="str">
        <f>IFERROR(__xludf.DUMMYFUNCTION("""COMPUTED_VALUE"""),"MCB319344")</f>
        <v>MCB319344</v>
      </c>
      <c r="G886" s="2" t="str">
        <f>IFERROR(__xludf.DUMMYFUNCTION("""COMPUTED_VALUE"""),"Kingdom of Saudi Arabia")</f>
        <v>Kingdom of Saudi Arabia</v>
      </c>
      <c r="H886" s="4">
        <f>IFERROR(__xludf.DUMMYFUNCTION("""COMPUTED_VALUE"""),70.74)</f>
        <v>70.74</v>
      </c>
      <c r="I886" s="3">
        <f>IFERROR(__xludf.DUMMYFUNCTION("""COMPUTED_VALUE"""),0.0)</f>
        <v>0</v>
      </c>
      <c r="J886" s="4">
        <f>IFERROR(__xludf.DUMMYFUNCTION("""COMPUTED_VALUE"""),17.68)</f>
        <v>17.68</v>
      </c>
      <c r="K886" s="2"/>
      <c r="L886" s="2" t="str">
        <f>IFERROR(__xludf.DUMMYFUNCTION("""COMPUTED_VALUE"""),"Delivered")</f>
        <v>Delivered</v>
      </c>
      <c r="M886" s="2" t="str">
        <f>IFERROR(__xludf.DUMMYFUNCTION("""COMPUTED_VALUE"""),"")</f>
        <v></v>
      </c>
      <c r="N886" s="2" t="str">
        <f>IFERROR(__xludf.DUMMYFUNCTION("""COMPUTED_VALUE"""),"Credit, Debit, Apple Pay")</f>
        <v>Credit, Debit, Apple Pay</v>
      </c>
      <c r="O886" s="4">
        <f>IFERROR(__xludf.DUMMYFUNCTION("""COMPUTED_VALUE"""),0.0)</f>
        <v>0</v>
      </c>
      <c r="P886" s="2">
        <f>IFERROR(__xludf.DUMMYFUNCTION("""COMPUTED_VALUE"""),5.0)</f>
        <v>5</v>
      </c>
      <c r="Q886" s="2">
        <f>IFERROR(__xludf.DUMMYFUNCTION("""COMPUTED_VALUE"""),8.0)</f>
        <v>8</v>
      </c>
      <c r="R886" s="2">
        <f>IFERROR(__xludf.DUMMYFUNCTION("""COMPUTED_VALUE"""),2025.0)</f>
        <v>2025</v>
      </c>
      <c r="S886" s="2" t="str">
        <f>IFERROR(__xludf.DUMMYFUNCTION("""COMPUTED_VALUE"""),"Digizag")</f>
        <v>Digizag</v>
      </c>
      <c r="T886" s="2" t="str">
        <f>IFERROR(__xludf.DUMMYFUNCTION("""COMPUTED_VALUE"""),"Digizag")</f>
        <v>Digizag</v>
      </c>
      <c r="U886" s="5">
        <f>IFERROR(__xludf.DUMMYFUNCTION("""COMPUTED_VALUE"""),18.86254129404)</f>
        <v>18.86254129</v>
      </c>
      <c r="V886" s="2"/>
      <c r="W886" s="2"/>
      <c r="X886" s="2"/>
      <c r="Y886" s="2"/>
      <c r="Z886" s="2"/>
    </row>
    <row r="887">
      <c r="A887" s="6">
        <f>IFERROR(__xludf.DUMMYFUNCTION("""COMPUTED_VALUE"""),45874.72961805556)</f>
        <v>45874.72962</v>
      </c>
      <c r="B887" s="2" t="str">
        <f>IFERROR(__xludf.DUMMYFUNCTION("""COMPUTED_VALUE"""),"August")</f>
        <v>August</v>
      </c>
      <c r="C887" s="3">
        <f>IFERROR(__xludf.DUMMYFUNCTION("""COMPUTED_VALUE"""),138484.0)</f>
        <v>138484</v>
      </c>
      <c r="D887" s="2" t="str">
        <f>IFERROR(__xludf.DUMMYFUNCTION("""COMPUTED_VALUE"""),"ZM22")</f>
        <v>ZM22</v>
      </c>
      <c r="E887" s="2" t="str">
        <f>IFERROR(__xludf.DUMMYFUNCTION("""COMPUTED_VALUE"""),"Imported from file Digizag.xlsx")</f>
        <v>Imported from file Digizag.xlsx</v>
      </c>
      <c r="F887" s="2" t="str">
        <f>IFERROR(__xludf.DUMMYFUNCTION("""COMPUTED_VALUE"""),"SPZ208136")</f>
        <v>SPZ208136</v>
      </c>
      <c r="G887" s="2" t="str">
        <f>IFERROR(__xludf.DUMMYFUNCTION("""COMPUTED_VALUE"""),"UAE")</f>
        <v>UAE</v>
      </c>
      <c r="H887" s="4">
        <f>IFERROR(__xludf.DUMMYFUNCTION("""COMPUTED_VALUE"""),245.0)</f>
        <v>245</v>
      </c>
      <c r="I887" s="3">
        <f>IFERROR(__xludf.DUMMYFUNCTION("""COMPUTED_VALUE"""),0.0)</f>
        <v>0</v>
      </c>
      <c r="J887" s="4">
        <f>IFERROR(__xludf.DUMMYFUNCTION("""COMPUTED_VALUE"""),24.5)</f>
        <v>24.5</v>
      </c>
      <c r="K887" s="2"/>
      <c r="L887" s="2" t="str">
        <f>IFERROR(__xludf.DUMMYFUNCTION("""COMPUTED_VALUE"""),"Delivered")</f>
        <v>Delivered</v>
      </c>
      <c r="M887" s="2" t="str">
        <f>IFERROR(__xludf.DUMMYFUNCTION("""COMPUTED_VALUE"""),"")</f>
        <v></v>
      </c>
      <c r="N887" s="2" t="str">
        <f>IFERROR(__xludf.DUMMYFUNCTION("""COMPUTED_VALUE"""),"Credit, Debit , Apple Pay")</f>
        <v>Credit, Debit , Apple Pay</v>
      </c>
      <c r="O887" s="4">
        <f>IFERROR(__xludf.DUMMYFUNCTION("""COMPUTED_VALUE"""),0.0)</f>
        <v>0</v>
      </c>
      <c r="P887" s="2">
        <f>IFERROR(__xludf.DUMMYFUNCTION("""COMPUTED_VALUE"""),5.0)</f>
        <v>5</v>
      </c>
      <c r="Q887" s="2">
        <f>IFERROR(__xludf.DUMMYFUNCTION("""COMPUTED_VALUE"""),8.0)</f>
        <v>8</v>
      </c>
      <c r="R887" s="2">
        <f>IFERROR(__xludf.DUMMYFUNCTION("""COMPUTED_VALUE"""),2025.0)</f>
        <v>2025</v>
      </c>
      <c r="S887" s="2" t="str">
        <f>IFERROR(__xludf.DUMMYFUNCTION("""COMPUTED_VALUE"""),"Digizag")</f>
        <v>Digizag</v>
      </c>
      <c r="T887" s="2" t="str">
        <f>IFERROR(__xludf.DUMMYFUNCTION("""COMPUTED_VALUE"""),"Digizag")</f>
        <v>Digizag</v>
      </c>
      <c r="U887" s="5">
        <f>IFERROR(__xludf.DUMMYFUNCTION("""COMPUTED_VALUE"""),66.71204911)</f>
        <v>66.71204911</v>
      </c>
      <c r="V887" s="2"/>
      <c r="W887" s="2"/>
      <c r="X887" s="2"/>
      <c r="Y887" s="2"/>
      <c r="Z887" s="2"/>
    </row>
    <row r="888">
      <c r="A888" s="6">
        <f>IFERROR(__xludf.DUMMYFUNCTION("""COMPUTED_VALUE"""),45874.92278935185)</f>
        <v>45874.92279</v>
      </c>
      <c r="B888" s="2" t="str">
        <f>IFERROR(__xludf.DUMMYFUNCTION("""COMPUTED_VALUE"""),"August")</f>
        <v>August</v>
      </c>
      <c r="C888" s="3">
        <f>IFERROR(__xludf.DUMMYFUNCTION("""COMPUTED_VALUE"""),777178.0)</f>
        <v>777178</v>
      </c>
      <c r="D888" s="2" t="str">
        <f>IFERROR(__xludf.DUMMYFUNCTION("""COMPUTED_VALUE"""),"MNN27")</f>
        <v>MNN27</v>
      </c>
      <c r="E888" s="2" t="str">
        <f>IFERROR(__xludf.DUMMYFUNCTION("""COMPUTED_VALUE"""),"Imported from file DigiZag Bidding Codes.xlsx")</f>
        <v>Imported from file DigiZag Bidding Codes.xlsx</v>
      </c>
      <c r="F888" s="2" t="str">
        <f>IFERROR(__xludf.DUMMYFUNCTION("""COMPUTED_VALUE"""),"GWV649500")</f>
        <v>GWV649500</v>
      </c>
      <c r="G888" s="2" t="str">
        <f>IFERROR(__xludf.DUMMYFUNCTION("""COMPUTED_VALUE"""),"Kingdom of Saudi Arabia")</f>
        <v>Kingdom of Saudi Arabia</v>
      </c>
      <c r="H888" s="4">
        <f>IFERROR(__xludf.DUMMYFUNCTION("""COMPUTED_VALUE"""),59.28)</f>
        <v>59.28</v>
      </c>
      <c r="I888" s="3">
        <f>IFERROR(__xludf.DUMMYFUNCTION("""COMPUTED_VALUE"""),0.0)</f>
        <v>0</v>
      </c>
      <c r="J888" s="4">
        <f>IFERROR(__xludf.DUMMYFUNCTION("""COMPUTED_VALUE"""),14.82)</f>
        <v>14.82</v>
      </c>
      <c r="K888" s="2"/>
      <c r="L888" s="2" t="str">
        <f>IFERROR(__xludf.DUMMYFUNCTION("""COMPUTED_VALUE"""),"Delivered")</f>
        <v>Delivered</v>
      </c>
      <c r="M888" s="2" t="str">
        <f>IFERROR(__xludf.DUMMYFUNCTION("""COMPUTED_VALUE"""),"")</f>
        <v></v>
      </c>
      <c r="N888" s="2" t="str">
        <f>IFERROR(__xludf.DUMMYFUNCTION("""COMPUTED_VALUE"""),"Credit, Debit, Apple Pay")</f>
        <v>Credit, Debit, Apple Pay</v>
      </c>
      <c r="O888" s="4">
        <f>IFERROR(__xludf.DUMMYFUNCTION("""COMPUTED_VALUE"""),0.0)</f>
        <v>0</v>
      </c>
      <c r="P888" s="2">
        <f>IFERROR(__xludf.DUMMYFUNCTION("""COMPUTED_VALUE"""),5.0)</f>
        <v>5</v>
      </c>
      <c r="Q888" s="2">
        <f>IFERROR(__xludf.DUMMYFUNCTION("""COMPUTED_VALUE"""),8.0)</f>
        <v>8</v>
      </c>
      <c r="R888" s="2">
        <f>IFERROR(__xludf.DUMMYFUNCTION("""COMPUTED_VALUE"""),2025.0)</f>
        <v>2025</v>
      </c>
      <c r="S888" s="2" t="str">
        <f>IFERROR(__xludf.DUMMYFUNCTION("""COMPUTED_VALUE"""),"Digizag")</f>
        <v>Digizag</v>
      </c>
      <c r="T888" s="2" t="str">
        <f>IFERROR(__xludf.DUMMYFUNCTION("""COMPUTED_VALUE"""),"Digizag")</f>
        <v>Digizag</v>
      </c>
      <c r="U888" s="5">
        <f>IFERROR(__xludf.DUMMYFUNCTION("""COMPUTED_VALUE"""),15.806777606880003)</f>
        <v>15.80677761</v>
      </c>
      <c r="V888" s="2"/>
      <c r="W888" s="2"/>
      <c r="X888" s="2"/>
      <c r="Y888" s="2"/>
      <c r="Z888" s="2"/>
    </row>
    <row r="889">
      <c r="A889" s="6">
        <f>IFERROR(__xludf.DUMMYFUNCTION("""COMPUTED_VALUE"""),45875.05024305556)</f>
        <v>45875.05024</v>
      </c>
      <c r="B889" s="2" t="str">
        <f>IFERROR(__xludf.DUMMYFUNCTION("""COMPUTED_VALUE"""),"August")</f>
        <v>August</v>
      </c>
      <c r="C889" s="3">
        <f>IFERROR(__xludf.DUMMYFUNCTION("""COMPUTED_VALUE"""),782149.0)</f>
        <v>782149</v>
      </c>
      <c r="D889" s="2" t="str">
        <f>IFERROR(__xludf.DUMMYFUNCTION("""COMPUTED_VALUE"""),"MNN27")</f>
        <v>MNN27</v>
      </c>
      <c r="E889" s="2" t="str">
        <f>IFERROR(__xludf.DUMMYFUNCTION("""COMPUTED_VALUE"""),"Imported from file DigiZag Bidding Codes.xlsx")</f>
        <v>Imported from file DigiZag Bidding Codes.xlsx</v>
      </c>
      <c r="F889" s="2" t="str">
        <f>IFERROR(__xludf.DUMMYFUNCTION("""COMPUTED_VALUE"""),"VUQ441163")</f>
        <v>VUQ441163</v>
      </c>
      <c r="G889" s="2" t="str">
        <f>IFERROR(__xludf.DUMMYFUNCTION("""COMPUTED_VALUE"""),"Kingdom of Saudi Arabia")</f>
        <v>Kingdom of Saudi Arabia</v>
      </c>
      <c r="H889" s="4">
        <f>IFERROR(__xludf.DUMMYFUNCTION("""COMPUTED_VALUE"""),452.0)</f>
        <v>452</v>
      </c>
      <c r="I889" s="3">
        <f>IFERROR(__xludf.DUMMYFUNCTION("""COMPUTED_VALUE"""),0.0)</f>
        <v>0</v>
      </c>
      <c r="J889" s="4">
        <f>IFERROR(__xludf.DUMMYFUNCTION("""COMPUTED_VALUE"""),30.0)</f>
        <v>30</v>
      </c>
      <c r="K889" s="2"/>
      <c r="L889" s="2" t="str">
        <f>IFERROR(__xludf.DUMMYFUNCTION("""COMPUTED_VALUE"""),"Delivered")</f>
        <v>Delivered</v>
      </c>
      <c r="M889" s="2" t="str">
        <f>IFERROR(__xludf.DUMMYFUNCTION("""COMPUTED_VALUE"""),"")</f>
        <v></v>
      </c>
      <c r="N889" s="2" t="str">
        <f>IFERROR(__xludf.DUMMYFUNCTION("""COMPUTED_VALUE"""),"Pay in 4. No interest, no fees")</f>
        <v>Pay in 4. No interest, no fees</v>
      </c>
      <c r="O889" s="4">
        <f>IFERROR(__xludf.DUMMYFUNCTION("""COMPUTED_VALUE"""),0.0)</f>
        <v>0</v>
      </c>
      <c r="P889" s="2">
        <f>IFERROR(__xludf.DUMMYFUNCTION("""COMPUTED_VALUE"""),6.0)</f>
        <v>6</v>
      </c>
      <c r="Q889" s="2">
        <f>IFERROR(__xludf.DUMMYFUNCTION("""COMPUTED_VALUE"""),8.0)</f>
        <v>8</v>
      </c>
      <c r="R889" s="2">
        <f>IFERROR(__xludf.DUMMYFUNCTION("""COMPUTED_VALUE"""),2025.0)</f>
        <v>2025</v>
      </c>
      <c r="S889" s="2" t="str">
        <f>IFERROR(__xludf.DUMMYFUNCTION("""COMPUTED_VALUE"""),"Digizag")</f>
        <v>Digizag</v>
      </c>
      <c r="T889" s="2" t="str">
        <f>IFERROR(__xludf.DUMMYFUNCTION("""COMPUTED_VALUE"""),"Digizag")</f>
        <v>Digizag</v>
      </c>
      <c r="U889" s="5">
        <f>IFERROR(__xludf.DUMMYFUNCTION("""COMPUTED_VALUE"""),120.52401279200001)</f>
        <v>120.5240128</v>
      </c>
      <c r="V889" s="2"/>
      <c r="W889" s="2"/>
      <c r="X889" s="2"/>
      <c r="Y889" s="2"/>
      <c r="Z889" s="2"/>
    </row>
    <row r="890">
      <c r="A890" s="6">
        <f>IFERROR(__xludf.DUMMYFUNCTION("""COMPUTED_VALUE"""),45875.35021990741)</f>
        <v>45875.35022</v>
      </c>
      <c r="B890" s="2" t="str">
        <f>IFERROR(__xludf.DUMMYFUNCTION("""COMPUTED_VALUE"""),"August")</f>
        <v>August</v>
      </c>
      <c r="C890" s="3">
        <f>IFERROR(__xludf.DUMMYFUNCTION("""COMPUTED_VALUE"""),591541.0)</f>
        <v>591541</v>
      </c>
      <c r="D890" s="2" t="str">
        <f>IFERROR(__xludf.DUMMYFUNCTION("""COMPUTED_VALUE"""),"DB3")</f>
        <v>DB3</v>
      </c>
      <c r="E890" s="2" t="str">
        <f>IFERROR(__xludf.DUMMYFUNCTION("""COMPUTED_VALUE"""),"Imported from file Digizag.xlsx")</f>
        <v>Imported from file Digizag.xlsx</v>
      </c>
      <c r="F890" s="2" t="str">
        <f>IFERROR(__xludf.DUMMYFUNCTION("""COMPUTED_VALUE"""),"BDZ483196")</f>
        <v>BDZ483196</v>
      </c>
      <c r="G890" s="2" t="str">
        <f>IFERROR(__xludf.DUMMYFUNCTION("""COMPUTED_VALUE"""),"Kuwait")</f>
        <v>Kuwait</v>
      </c>
      <c r="H890" s="4">
        <f>IFERROR(__xludf.DUMMYFUNCTION("""COMPUTED_VALUE"""),13.5)</f>
        <v>13.5</v>
      </c>
      <c r="I890" s="3">
        <f>IFERROR(__xludf.DUMMYFUNCTION("""COMPUTED_VALUE"""),0.0)</f>
        <v>0</v>
      </c>
      <c r="J890" s="4">
        <f>IFERROR(__xludf.DUMMYFUNCTION("""COMPUTED_VALUE"""),1.35)</f>
        <v>1.35</v>
      </c>
      <c r="K890" s="2"/>
      <c r="L890" s="2" t="str">
        <f>IFERROR(__xludf.DUMMYFUNCTION("""COMPUTED_VALUE"""),"Delivered")</f>
        <v>Delivered</v>
      </c>
      <c r="M890" s="2" t="str">
        <f>IFERROR(__xludf.DUMMYFUNCTION("""COMPUTED_VALUE"""),"KD")</f>
        <v>KD</v>
      </c>
      <c r="N890" s="2" t="str">
        <f>IFERROR(__xludf.DUMMYFUNCTION("""COMPUTED_VALUE"""),"Credit, Debit, Knet")</f>
        <v>Credit, Debit, Knet</v>
      </c>
      <c r="O890" s="4">
        <f>IFERROR(__xludf.DUMMYFUNCTION("""COMPUTED_VALUE"""),0.0)</f>
        <v>0</v>
      </c>
      <c r="P890" s="2">
        <f>IFERROR(__xludf.DUMMYFUNCTION("""COMPUTED_VALUE"""),6.0)</f>
        <v>6</v>
      </c>
      <c r="Q890" s="2">
        <f>IFERROR(__xludf.DUMMYFUNCTION("""COMPUTED_VALUE"""),8.0)</f>
        <v>8</v>
      </c>
      <c r="R890" s="2">
        <f>IFERROR(__xludf.DUMMYFUNCTION("""COMPUTED_VALUE"""),2025.0)</f>
        <v>2025</v>
      </c>
      <c r="S890" s="2" t="str">
        <f>IFERROR(__xludf.DUMMYFUNCTION("""COMPUTED_VALUE"""),"Digizag")</f>
        <v>Digizag</v>
      </c>
      <c r="T890" s="2" t="str">
        <f>IFERROR(__xludf.DUMMYFUNCTION("""COMPUTED_VALUE"""),"Digizag")</f>
        <v>Digizag</v>
      </c>
      <c r="U890" s="5">
        <f>IFERROR(__xludf.DUMMYFUNCTION("""COMPUTED_VALUE"""),44.01837)</f>
        <v>44.01837</v>
      </c>
      <c r="V890" s="2"/>
      <c r="W890" s="2"/>
      <c r="X890" s="2"/>
      <c r="Y890" s="2"/>
      <c r="Z890" s="2"/>
    </row>
    <row r="891">
      <c r="A891" s="6">
        <f>IFERROR(__xludf.DUMMYFUNCTION("""COMPUTED_VALUE"""),45875.75686342592)</f>
        <v>45875.75686</v>
      </c>
      <c r="B891" s="2" t="str">
        <f>IFERROR(__xludf.DUMMYFUNCTION("""COMPUTED_VALUE"""),"August")</f>
        <v>August</v>
      </c>
      <c r="C891" s="3">
        <f>IFERROR(__xludf.DUMMYFUNCTION("""COMPUTED_VALUE"""),483075.0)</f>
        <v>483075</v>
      </c>
      <c r="D891" s="2" t="str">
        <f>IFERROR(__xludf.DUMMYFUNCTION("""COMPUTED_VALUE"""),"CC22")</f>
        <v>CC22</v>
      </c>
      <c r="E891" s="2" t="str">
        <f>IFERROR(__xludf.DUMMYFUNCTION("""COMPUTED_VALUE"""),"Imported from file Digizag.xlsx")</f>
        <v>Imported from file Digizag.xlsx</v>
      </c>
      <c r="F891" s="2" t="str">
        <f>IFERROR(__xludf.DUMMYFUNCTION("""COMPUTED_VALUE"""),"EAB384070")</f>
        <v>EAB384070</v>
      </c>
      <c r="G891" s="2" t="str">
        <f>IFERROR(__xludf.DUMMYFUNCTION("""COMPUTED_VALUE"""),"Kingdom of Saudi Arabia")</f>
        <v>Kingdom of Saudi Arabia</v>
      </c>
      <c r="H891" s="4">
        <f>IFERROR(__xludf.DUMMYFUNCTION("""COMPUTED_VALUE"""),89.56)</f>
        <v>89.56</v>
      </c>
      <c r="I891" s="3">
        <f>IFERROR(__xludf.DUMMYFUNCTION("""COMPUTED_VALUE"""),0.0)</f>
        <v>0</v>
      </c>
      <c r="J891" s="4">
        <f>IFERROR(__xludf.DUMMYFUNCTION("""COMPUTED_VALUE"""),22.38)</f>
        <v>22.38</v>
      </c>
      <c r="K891" s="2"/>
      <c r="L891" s="2" t="str">
        <f>IFERROR(__xludf.DUMMYFUNCTION("""COMPUTED_VALUE"""),"Delivered")</f>
        <v>Delivered</v>
      </c>
      <c r="M891" s="2" t="str">
        <f>IFERROR(__xludf.DUMMYFUNCTION("""COMPUTED_VALUE"""),"")</f>
        <v></v>
      </c>
      <c r="N891" s="2" t="str">
        <f>IFERROR(__xludf.DUMMYFUNCTION("""COMPUTED_VALUE"""),"Credit, Debit, Apple Pay")</f>
        <v>Credit, Debit, Apple Pay</v>
      </c>
      <c r="O891" s="4">
        <f>IFERROR(__xludf.DUMMYFUNCTION("""COMPUTED_VALUE"""),0.0)</f>
        <v>0</v>
      </c>
      <c r="P891" s="2">
        <f>IFERROR(__xludf.DUMMYFUNCTION("""COMPUTED_VALUE"""),6.0)</f>
        <v>6</v>
      </c>
      <c r="Q891" s="2">
        <f>IFERROR(__xludf.DUMMYFUNCTION("""COMPUTED_VALUE"""),8.0)</f>
        <v>8</v>
      </c>
      <c r="R891" s="2">
        <f>IFERROR(__xludf.DUMMYFUNCTION("""COMPUTED_VALUE"""),2025.0)</f>
        <v>2025</v>
      </c>
      <c r="S891" s="2" t="str">
        <f>IFERROR(__xludf.DUMMYFUNCTION("""COMPUTED_VALUE"""),"Digizag")</f>
        <v>Digizag</v>
      </c>
      <c r="T891" s="2" t="str">
        <f>IFERROR(__xludf.DUMMYFUNCTION("""COMPUTED_VALUE"""),"Digizag")</f>
        <v>Digizag</v>
      </c>
      <c r="U891" s="5">
        <f>IFERROR(__xludf.DUMMYFUNCTION("""COMPUTED_VALUE"""),23.880819879760004)</f>
        <v>23.88081988</v>
      </c>
      <c r="V891" s="2"/>
      <c r="W891" s="2"/>
      <c r="X891" s="2"/>
      <c r="Y891" s="2"/>
      <c r="Z891" s="2"/>
    </row>
    <row r="892">
      <c r="A892" s="6">
        <f>IFERROR(__xludf.DUMMYFUNCTION("""COMPUTED_VALUE"""),45875.782071759255)</f>
        <v>45875.78207</v>
      </c>
      <c r="B892" s="2" t="str">
        <f>IFERROR(__xludf.DUMMYFUNCTION("""COMPUTED_VALUE"""),"August")</f>
        <v>August</v>
      </c>
      <c r="C892" s="3">
        <f>IFERROR(__xludf.DUMMYFUNCTION("""COMPUTED_VALUE"""),129215.0)</f>
        <v>129215</v>
      </c>
      <c r="D892" s="2" t="str">
        <f>IFERROR(__xludf.DUMMYFUNCTION("""COMPUTED_VALUE"""),"CC22")</f>
        <v>CC22</v>
      </c>
      <c r="E892" s="2" t="str">
        <f>IFERROR(__xludf.DUMMYFUNCTION("""COMPUTED_VALUE"""),"Imported from file Digizag.xlsx")</f>
        <v>Imported from file Digizag.xlsx</v>
      </c>
      <c r="F892" s="2" t="str">
        <f>IFERROR(__xludf.DUMMYFUNCTION("""COMPUTED_VALUE"""),"KJV168866")</f>
        <v>KJV168866</v>
      </c>
      <c r="G892" s="2" t="str">
        <f>IFERROR(__xludf.DUMMYFUNCTION("""COMPUTED_VALUE"""),"Kuwait")</f>
        <v>Kuwait</v>
      </c>
      <c r="H892" s="4">
        <f>IFERROR(__xludf.DUMMYFUNCTION("""COMPUTED_VALUE"""),21.65)</f>
        <v>21.65</v>
      </c>
      <c r="I892" s="3">
        <f>IFERROR(__xludf.DUMMYFUNCTION("""COMPUTED_VALUE"""),0.0)</f>
        <v>0</v>
      </c>
      <c r="J892" s="4">
        <f>IFERROR(__xludf.DUMMYFUNCTION("""COMPUTED_VALUE"""),2.165)</f>
        <v>2.165</v>
      </c>
      <c r="K892" s="2"/>
      <c r="L892" s="2" t="str">
        <f>IFERROR(__xludf.DUMMYFUNCTION("""COMPUTED_VALUE"""),"Delivered")</f>
        <v>Delivered</v>
      </c>
      <c r="M892" s="2" t="str">
        <f>IFERROR(__xludf.DUMMYFUNCTION("""COMPUTED_VALUE"""),"KD")</f>
        <v>KD</v>
      </c>
      <c r="N892" s="2" t="str">
        <f>IFERROR(__xludf.DUMMYFUNCTION("""COMPUTED_VALUE"""),"Credit, Debit, Knet")</f>
        <v>Credit, Debit, Knet</v>
      </c>
      <c r="O892" s="4">
        <f>IFERROR(__xludf.DUMMYFUNCTION("""COMPUTED_VALUE"""),0.0)</f>
        <v>0</v>
      </c>
      <c r="P892" s="2">
        <f>IFERROR(__xludf.DUMMYFUNCTION("""COMPUTED_VALUE"""),6.0)</f>
        <v>6</v>
      </c>
      <c r="Q892" s="2">
        <f>IFERROR(__xludf.DUMMYFUNCTION("""COMPUTED_VALUE"""),8.0)</f>
        <v>8</v>
      </c>
      <c r="R892" s="2">
        <f>IFERROR(__xludf.DUMMYFUNCTION("""COMPUTED_VALUE"""),2025.0)</f>
        <v>2025</v>
      </c>
      <c r="S892" s="2" t="str">
        <f>IFERROR(__xludf.DUMMYFUNCTION("""COMPUTED_VALUE"""),"Digizag")</f>
        <v>Digizag</v>
      </c>
      <c r="T892" s="2" t="str">
        <f>IFERROR(__xludf.DUMMYFUNCTION("""COMPUTED_VALUE"""),"Digizag")</f>
        <v>Digizag</v>
      </c>
      <c r="U892" s="5">
        <f>IFERROR(__xludf.DUMMYFUNCTION("""COMPUTED_VALUE"""),70.592423)</f>
        <v>70.592423</v>
      </c>
      <c r="V892" s="2"/>
      <c r="W892" s="2"/>
      <c r="X892" s="2"/>
      <c r="Y892" s="2"/>
      <c r="Z892" s="2"/>
    </row>
    <row r="893">
      <c r="A893" s="6">
        <f>IFERROR(__xludf.DUMMYFUNCTION("""COMPUTED_VALUE"""),45875.83342592592)</f>
        <v>45875.83343</v>
      </c>
      <c r="B893" s="2" t="str">
        <f>IFERROR(__xludf.DUMMYFUNCTION("""COMPUTED_VALUE"""),"August")</f>
        <v>August</v>
      </c>
      <c r="C893" s="3">
        <f>IFERROR(__xludf.DUMMYFUNCTION("""COMPUTED_VALUE"""),527573.0)</f>
        <v>527573</v>
      </c>
      <c r="D893" s="2" t="str">
        <f>IFERROR(__xludf.DUMMYFUNCTION("""COMPUTED_VALUE"""),"DG10")</f>
        <v>DG10</v>
      </c>
      <c r="E893" s="2" t="str">
        <f>IFERROR(__xludf.DUMMYFUNCTION("""COMPUTED_VALUE"""),"DigiZag")</f>
        <v>DigiZag</v>
      </c>
      <c r="F893" s="2" t="str">
        <f>IFERROR(__xludf.DUMMYFUNCTION("""COMPUTED_VALUE"""),"KGX913847")</f>
        <v>KGX913847</v>
      </c>
      <c r="G893" s="2" t="str">
        <f>IFERROR(__xludf.DUMMYFUNCTION("""COMPUTED_VALUE"""),"Kuwait")</f>
        <v>Kuwait</v>
      </c>
      <c r="H893" s="4">
        <f>IFERROR(__xludf.DUMMYFUNCTION("""COMPUTED_VALUE"""),14.25)</f>
        <v>14.25</v>
      </c>
      <c r="I893" s="3">
        <f>IFERROR(__xludf.DUMMYFUNCTION("""COMPUTED_VALUE"""),0.0)</f>
        <v>0</v>
      </c>
      <c r="J893" s="4">
        <f>IFERROR(__xludf.DUMMYFUNCTION("""COMPUTED_VALUE"""),1.425)</f>
        <v>1.425</v>
      </c>
      <c r="K893" s="2"/>
      <c r="L893" s="2" t="str">
        <f>IFERROR(__xludf.DUMMYFUNCTION("""COMPUTED_VALUE"""),"Delivered")</f>
        <v>Delivered</v>
      </c>
      <c r="M893" s="2" t="str">
        <f>IFERROR(__xludf.DUMMYFUNCTION("""COMPUTED_VALUE"""),"KD")</f>
        <v>KD</v>
      </c>
      <c r="N893" s="2" t="str">
        <f>IFERROR(__xludf.DUMMYFUNCTION("""COMPUTED_VALUE"""),"Credit, Debit, Knet")</f>
        <v>Credit, Debit, Knet</v>
      </c>
      <c r="O893" s="4">
        <f>IFERROR(__xludf.DUMMYFUNCTION("""COMPUTED_VALUE"""),0.0)</f>
        <v>0</v>
      </c>
      <c r="P893" s="2">
        <f>IFERROR(__xludf.DUMMYFUNCTION("""COMPUTED_VALUE"""),6.0)</f>
        <v>6</v>
      </c>
      <c r="Q893" s="2">
        <f>IFERROR(__xludf.DUMMYFUNCTION("""COMPUTED_VALUE"""),8.0)</f>
        <v>8</v>
      </c>
      <c r="R893" s="2">
        <f>IFERROR(__xludf.DUMMYFUNCTION("""COMPUTED_VALUE"""),2025.0)</f>
        <v>2025</v>
      </c>
      <c r="S893" s="2" t="str">
        <f>IFERROR(__xludf.DUMMYFUNCTION("""COMPUTED_VALUE"""),"Digizag")</f>
        <v>Digizag</v>
      </c>
      <c r="T893" s="2" t="str">
        <f>IFERROR(__xludf.DUMMYFUNCTION("""COMPUTED_VALUE"""),"Digizag")</f>
        <v>Digizag</v>
      </c>
      <c r="U893" s="5">
        <f>IFERROR(__xludf.DUMMYFUNCTION("""COMPUTED_VALUE"""),46.463834999999996)</f>
        <v>46.463835</v>
      </c>
      <c r="V893" s="2"/>
      <c r="W893" s="2"/>
      <c r="X893" s="2"/>
      <c r="Y893" s="2"/>
      <c r="Z893" s="2"/>
    </row>
    <row r="894">
      <c r="A894" s="6">
        <f>IFERROR(__xludf.DUMMYFUNCTION("""COMPUTED_VALUE"""),45876.30693287037)</f>
        <v>45876.30693</v>
      </c>
      <c r="B894" s="2" t="str">
        <f>IFERROR(__xludf.DUMMYFUNCTION("""COMPUTED_VALUE"""),"August")</f>
        <v>August</v>
      </c>
      <c r="C894" s="3">
        <f>IFERROR(__xludf.DUMMYFUNCTION("""COMPUTED_VALUE"""),412359.0)</f>
        <v>412359</v>
      </c>
      <c r="D894" s="2" t="str">
        <f>IFERROR(__xludf.DUMMYFUNCTION("""COMPUTED_VALUE"""),"DG10")</f>
        <v>DG10</v>
      </c>
      <c r="E894" s="2" t="str">
        <f>IFERROR(__xludf.DUMMYFUNCTION("""COMPUTED_VALUE"""),"Imported from file Digizag.xlsx")</f>
        <v>Imported from file Digizag.xlsx</v>
      </c>
      <c r="F894" s="2" t="str">
        <f>IFERROR(__xludf.DUMMYFUNCTION("""COMPUTED_VALUE"""),"KTK363933")</f>
        <v>KTK363933</v>
      </c>
      <c r="G894" s="2" t="str">
        <f>IFERROR(__xludf.DUMMYFUNCTION("""COMPUTED_VALUE"""),"Kingdom of Saudi Arabia")</f>
        <v>Kingdom of Saudi Arabia</v>
      </c>
      <c r="H894" s="4">
        <f>IFERROR(__xludf.DUMMYFUNCTION("""COMPUTED_VALUE"""),275.57)</f>
        <v>275.57</v>
      </c>
      <c r="I894" s="3">
        <f>IFERROR(__xludf.DUMMYFUNCTION("""COMPUTED_VALUE"""),0.0)</f>
        <v>0</v>
      </c>
      <c r="J894" s="4">
        <f>IFERROR(__xludf.DUMMYFUNCTION("""COMPUTED_VALUE"""),30.0)</f>
        <v>30</v>
      </c>
      <c r="K894" s="2"/>
      <c r="L894" s="2" t="str">
        <f>IFERROR(__xludf.DUMMYFUNCTION("""COMPUTED_VALUE"""),"Delivered")</f>
        <v>Delivered</v>
      </c>
      <c r="M894" s="2" t="str">
        <f>IFERROR(__xludf.DUMMYFUNCTION("""COMPUTED_VALUE"""),"")</f>
        <v></v>
      </c>
      <c r="N894" s="2" t="str">
        <f>IFERROR(__xludf.DUMMYFUNCTION("""COMPUTED_VALUE"""),"Credit, Debit, Apple Pay")</f>
        <v>Credit, Debit, Apple Pay</v>
      </c>
      <c r="O894" s="4">
        <f>IFERROR(__xludf.DUMMYFUNCTION("""COMPUTED_VALUE"""),0.0)</f>
        <v>0</v>
      </c>
      <c r="P894" s="2">
        <f>IFERROR(__xludf.DUMMYFUNCTION("""COMPUTED_VALUE"""),7.0)</f>
        <v>7</v>
      </c>
      <c r="Q894" s="2">
        <f>IFERROR(__xludf.DUMMYFUNCTION("""COMPUTED_VALUE"""),8.0)</f>
        <v>8</v>
      </c>
      <c r="R894" s="2">
        <f>IFERROR(__xludf.DUMMYFUNCTION("""COMPUTED_VALUE"""),2025.0)</f>
        <v>2025</v>
      </c>
      <c r="S894" s="2" t="str">
        <f>IFERROR(__xludf.DUMMYFUNCTION("""COMPUTED_VALUE"""),"Digizag")</f>
        <v>Digizag</v>
      </c>
      <c r="T894" s="2" t="str">
        <f>IFERROR(__xludf.DUMMYFUNCTION("""COMPUTED_VALUE"""),"Digizag")</f>
        <v>Digizag</v>
      </c>
      <c r="U894" s="5">
        <f>IFERROR(__xludf.DUMMYFUNCTION("""COMPUTED_VALUE"""),73.47965089622001)</f>
        <v>73.4796509</v>
      </c>
      <c r="V894" s="2"/>
      <c r="W894" s="2"/>
      <c r="X894" s="2"/>
      <c r="Y894" s="2"/>
      <c r="Z894" s="2"/>
    </row>
    <row r="895">
      <c r="A895" s="6">
        <f>IFERROR(__xludf.DUMMYFUNCTION("""COMPUTED_VALUE"""),45876.35554398148)</f>
        <v>45876.35554</v>
      </c>
      <c r="B895" s="2" t="str">
        <f>IFERROR(__xludf.DUMMYFUNCTION("""COMPUTED_VALUE"""),"August")</f>
        <v>August</v>
      </c>
      <c r="C895" s="3">
        <f>IFERROR(__xludf.DUMMYFUNCTION("""COMPUTED_VALUE"""),219466.0)</f>
        <v>219466</v>
      </c>
      <c r="D895" s="2" t="str">
        <f>IFERROR(__xludf.DUMMYFUNCTION("""COMPUTED_VALUE"""),"JM")</f>
        <v>JM</v>
      </c>
      <c r="E895" s="2" t="str">
        <f>IFERROR(__xludf.DUMMYFUNCTION("""COMPUTED_VALUE"""),"DigiZag")</f>
        <v>DigiZag</v>
      </c>
      <c r="F895" s="2" t="str">
        <f>IFERROR(__xludf.DUMMYFUNCTION("""COMPUTED_VALUE"""),"PST114899")</f>
        <v>PST114899</v>
      </c>
      <c r="G895" s="2" t="str">
        <f>IFERROR(__xludf.DUMMYFUNCTION("""COMPUTED_VALUE"""),"UAE")</f>
        <v>UAE</v>
      </c>
      <c r="H895" s="4">
        <f>IFERROR(__xludf.DUMMYFUNCTION("""COMPUTED_VALUE"""),300.4)</f>
        <v>300.4</v>
      </c>
      <c r="I895" s="3">
        <f>IFERROR(__xludf.DUMMYFUNCTION("""COMPUTED_VALUE"""),0.0)</f>
        <v>0</v>
      </c>
      <c r="J895" s="4">
        <f>IFERROR(__xludf.DUMMYFUNCTION("""COMPUTED_VALUE"""),30.04)</f>
        <v>30.04</v>
      </c>
      <c r="K895" s="2"/>
      <c r="L895" s="2" t="str">
        <f>IFERROR(__xludf.DUMMYFUNCTION("""COMPUTED_VALUE"""),"Delivered")</f>
        <v>Delivered</v>
      </c>
      <c r="M895" s="2" t="str">
        <f>IFERROR(__xludf.DUMMYFUNCTION("""COMPUTED_VALUE"""),"")</f>
        <v></v>
      </c>
      <c r="N895" s="2" t="str">
        <f>IFERROR(__xludf.DUMMYFUNCTION("""COMPUTED_VALUE"""),"Credit, Debit , Apple Pay")</f>
        <v>Credit, Debit , Apple Pay</v>
      </c>
      <c r="O895" s="4">
        <f>IFERROR(__xludf.DUMMYFUNCTION("""COMPUTED_VALUE"""),0.0)</f>
        <v>0</v>
      </c>
      <c r="P895" s="2">
        <f>IFERROR(__xludf.DUMMYFUNCTION("""COMPUTED_VALUE"""),7.0)</f>
        <v>7</v>
      </c>
      <c r="Q895" s="2">
        <f>IFERROR(__xludf.DUMMYFUNCTION("""COMPUTED_VALUE"""),8.0)</f>
        <v>8</v>
      </c>
      <c r="R895" s="2">
        <f>IFERROR(__xludf.DUMMYFUNCTION("""COMPUTED_VALUE"""),2025.0)</f>
        <v>2025</v>
      </c>
      <c r="S895" s="2" t="str">
        <f>IFERROR(__xludf.DUMMYFUNCTION("""COMPUTED_VALUE"""),"Digizag")</f>
        <v>Digizag</v>
      </c>
      <c r="T895" s="2" t="str">
        <f>IFERROR(__xludf.DUMMYFUNCTION("""COMPUTED_VALUE"""),"Digizag")</f>
        <v>Digizag</v>
      </c>
      <c r="U895" s="5">
        <f>IFERROR(__xludf.DUMMYFUNCTION("""COMPUTED_VALUE"""),81.7971410312)</f>
        <v>81.79714103</v>
      </c>
      <c r="V895" s="2"/>
      <c r="W895" s="2"/>
      <c r="X895" s="2"/>
      <c r="Y895" s="2"/>
      <c r="Z895" s="2"/>
    </row>
    <row r="896">
      <c r="A896" s="6">
        <f>IFERROR(__xludf.DUMMYFUNCTION("""COMPUTED_VALUE"""),45876.4428587963)</f>
        <v>45876.44286</v>
      </c>
      <c r="B896" s="2" t="str">
        <f>IFERROR(__xludf.DUMMYFUNCTION("""COMPUTED_VALUE"""),"August")</f>
        <v>August</v>
      </c>
      <c r="C896" s="3">
        <f>IFERROR(__xludf.DUMMYFUNCTION("""COMPUTED_VALUE"""),256494.0)</f>
        <v>256494</v>
      </c>
      <c r="D896" s="2" t="str">
        <f>IFERROR(__xludf.DUMMYFUNCTION("""COMPUTED_VALUE"""),"ZM22")</f>
        <v>ZM22</v>
      </c>
      <c r="E896" s="2" t="str">
        <f>IFERROR(__xludf.DUMMYFUNCTION("""COMPUTED_VALUE"""),"Imported from file Digizag.xlsx")</f>
        <v>Imported from file Digizag.xlsx</v>
      </c>
      <c r="F896" s="2" t="str">
        <f>IFERROR(__xludf.DUMMYFUNCTION("""COMPUTED_VALUE"""),"RCC892328")</f>
        <v>RCC892328</v>
      </c>
      <c r="G896" s="2" t="str">
        <f>IFERROR(__xludf.DUMMYFUNCTION("""COMPUTED_VALUE"""),"Kuwait")</f>
        <v>Kuwait</v>
      </c>
      <c r="H896" s="4">
        <f>IFERROR(__xludf.DUMMYFUNCTION("""COMPUTED_VALUE"""),16.45)</f>
        <v>16.45</v>
      </c>
      <c r="I896" s="3">
        <f>IFERROR(__xludf.DUMMYFUNCTION("""COMPUTED_VALUE"""),0.0)</f>
        <v>0</v>
      </c>
      <c r="J896" s="4">
        <f>IFERROR(__xludf.DUMMYFUNCTION("""COMPUTED_VALUE"""),1.645)</f>
        <v>1.645</v>
      </c>
      <c r="K896" s="2"/>
      <c r="L896" s="2" t="str">
        <f>IFERROR(__xludf.DUMMYFUNCTION("""COMPUTED_VALUE"""),"Delivered")</f>
        <v>Delivered</v>
      </c>
      <c r="M896" s="2" t="str">
        <f>IFERROR(__xludf.DUMMYFUNCTION("""COMPUTED_VALUE"""),"KD")</f>
        <v>KD</v>
      </c>
      <c r="N896" s="2" t="str">
        <f>IFERROR(__xludf.DUMMYFUNCTION("""COMPUTED_VALUE"""),"Cash")</f>
        <v>Cash</v>
      </c>
      <c r="O896" s="4">
        <f>IFERROR(__xludf.DUMMYFUNCTION("""COMPUTED_VALUE"""),0.0)</f>
        <v>0</v>
      </c>
      <c r="P896" s="2">
        <f>IFERROR(__xludf.DUMMYFUNCTION("""COMPUTED_VALUE"""),7.0)</f>
        <v>7</v>
      </c>
      <c r="Q896" s="2">
        <f>IFERROR(__xludf.DUMMYFUNCTION("""COMPUTED_VALUE"""),8.0)</f>
        <v>8</v>
      </c>
      <c r="R896" s="2">
        <f>IFERROR(__xludf.DUMMYFUNCTION("""COMPUTED_VALUE"""),2025.0)</f>
        <v>2025</v>
      </c>
      <c r="S896" s="2" t="str">
        <f>IFERROR(__xludf.DUMMYFUNCTION("""COMPUTED_VALUE"""),"Digizag")</f>
        <v>Digizag</v>
      </c>
      <c r="T896" s="2" t="str">
        <f>IFERROR(__xludf.DUMMYFUNCTION("""COMPUTED_VALUE"""),"Digizag")</f>
        <v>Digizag</v>
      </c>
      <c r="U896" s="5">
        <f>IFERROR(__xludf.DUMMYFUNCTION("""COMPUTED_VALUE"""),53.637198999999995)</f>
        <v>53.637199</v>
      </c>
      <c r="V896" s="2"/>
      <c r="W896" s="2"/>
      <c r="X896" s="2"/>
      <c r="Y896" s="2"/>
      <c r="Z896" s="2"/>
    </row>
    <row r="897">
      <c r="A897" s="6">
        <f>IFERROR(__xludf.DUMMYFUNCTION("""COMPUTED_VALUE"""),45876.590532407405)</f>
        <v>45876.59053</v>
      </c>
      <c r="B897" s="2" t="str">
        <f>IFERROR(__xludf.DUMMYFUNCTION("""COMPUTED_VALUE"""),"August")</f>
        <v>August</v>
      </c>
      <c r="C897" s="3">
        <f>IFERROR(__xludf.DUMMYFUNCTION("""COMPUTED_VALUE"""),423287.0)</f>
        <v>423287</v>
      </c>
      <c r="D897" s="2" t="str">
        <f>IFERROR(__xludf.DUMMYFUNCTION("""COMPUTED_VALUE"""),"MNN27")</f>
        <v>MNN27</v>
      </c>
      <c r="E897" s="2" t="str">
        <f>IFERROR(__xludf.DUMMYFUNCTION("""COMPUTED_VALUE"""),"Imported from file DigiZag Codes 25Feb25.xlsx")</f>
        <v>Imported from file DigiZag Codes 25Feb25.xlsx</v>
      </c>
      <c r="F897" s="2" t="str">
        <f>IFERROR(__xludf.DUMMYFUNCTION("""COMPUTED_VALUE"""),"QVU518641")</f>
        <v>QVU518641</v>
      </c>
      <c r="G897" s="2" t="str">
        <f>IFERROR(__xludf.DUMMYFUNCTION("""COMPUTED_VALUE"""),"UAE")</f>
        <v>UAE</v>
      </c>
      <c r="H897" s="4">
        <f>IFERROR(__xludf.DUMMYFUNCTION("""COMPUTED_VALUE"""),112.14)</f>
        <v>112.14</v>
      </c>
      <c r="I897" s="3">
        <f>IFERROR(__xludf.DUMMYFUNCTION("""COMPUTED_VALUE"""),0.0)</f>
        <v>0</v>
      </c>
      <c r="J897" s="4">
        <f>IFERROR(__xludf.DUMMYFUNCTION("""COMPUTED_VALUE"""),11.21)</f>
        <v>11.21</v>
      </c>
      <c r="K897" s="2"/>
      <c r="L897" s="2" t="str">
        <f>IFERROR(__xludf.DUMMYFUNCTION("""COMPUTED_VALUE"""),"Delivered")</f>
        <v>Delivered</v>
      </c>
      <c r="M897" s="2" t="str">
        <f>IFERROR(__xludf.DUMMYFUNCTION("""COMPUTED_VALUE"""),"")</f>
        <v></v>
      </c>
      <c r="N897" s="2" t="str">
        <f>IFERROR(__xludf.DUMMYFUNCTION("""COMPUTED_VALUE"""),"Cash")</f>
        <v>Cash</v>
      </c>
      <c r="O897" s="4">
        <f>IFERROR(__xludf.DUMMYFUNCTION("""COMPUTED_VALUE"""),0.0)</f>
        <v>0</v>
      </c>
      <c r="P897" s="2">
        <f>IFERROR(__xludf.DUMMYFUNCTION("""COMPUTED_VALUE"""),7.0)</f>
        <v>7</v>
      </c>
      <c r="Q897" s="2">
        <f>IFERROR(__xludf.DUMMYFUNCTION("""COMPUTED_VALUE"""),8.0)</f>
        <v>8</v>
      </c>
      <c r="R897" s="2">
        <f>IFERROR(__xludf.DUMMYFUNCTION("""COMPUTED_VALUE"""),2025.0)</f>
        <v>2025</v>
      </c>
      <c r="S897" s="2" t="str">
        <f>IFERROR(__xludf.DUMMYFUNCTION("""COMPUTED_VALUE"""),"Digizag")</f>
        <v>Digizag</v>
      </c>
      <c r="T897" s="2" t="str">
        <f>IFERROR(__xludf.DUMMYFUNCTION("""COMPUTED_VALUE"""),"Digizag")</f>
        <v>Digizag</v>
      </c>
      <c r="U897" s="5">
        <f>IFERROR(__xludf.DUMMYFUNCTION("""COMPUTED_VALUE"""),30.53505790692)</f>
        <v>30.53505791</v>
      </c>
      <c r="V897" s="2"/>
      <c r="W897" s="2"/>
      <c r="X897" s="2"/>
      <c r="Y897" s="2"/>
      <c r="Z897" s="2"/>
    </row>
    <row r="898">
      <c r="A898" s="6">
        <f>IFERROR(__xludf.DUMMYFUNCTION("""COMPUTED_VALUE"""),45876.62690972222)</f>
        <v>45876.62691</v>
      </c>
      <c r="B898" s="2" t="str">
        <f>IFERROR(__xludf.DUMMYFUNCTION("""COMPUTED_VALUE"""),"August")</f>
        <v>August</v>
      </c>
      <c r="C898" s="3">
        <f>IFERROR(__xludf.DUMMYFUNCTION("""COMPUTED_VALUE"""),481708.0)</f>
        <v>481708</v>
      </c>
      <c r="D898" s="2" t="str">
        <f>IFERROR(__xludf.DUMMYFUNCTION("""COMPUTED_VALUE"""),"DG10")</f>
        <v>DG10</v>
      </c>
      <c r="E898" s="2" t="str">
        <f>IFERROR(__xludf.DUMMYFUNCTION("""COMPUTED_VALUE"""),"Imported from file Digizag.xlsx")</f>
        <v>Imported from file Digizag.xlsx</v>
      </c>
      <c r="F898" s="2" t="str">
        <f>IFERROR(__xludf.DUMMYFUNCTION("""COMPUTED_VALUE"""),"WXM280791")</f>
        <v>WXM280791</v>
      </c>
      <c r="G898" s="2" t="str">
        <f>IFERROR(__xludf.DUMMYFUNCTION("""COMPUTED_VALUE"""),"Kingdom of Saudi Arabia")</f>
        <v>Kingdom of Saudi Arabia</v>
      </c>
      <c r="H898" s="4">
        <f>IFERROR(__xludf.DUMMYFUNCTION("""COMPUTED_VALUE"""),143.51)</f>
        <v>143.51</v>
      </c>
      <c r="I898" s="3">
        <f>IFERROR(__xludf.DUMMYFUNCTION("""COMPUTED_VALUE"""),0.0)</f>
        <v>0</v>
      </c>
      <c r="J898" s="4">
        <f>IFERROR(__xludf.DUMMYFUNCTION("""COMPUTED_VALUE"""),30.0)</f>
        <v>30</v>
      </c>
      <c r="K898" s="2"/>
      <c r="L898" s="2" t="str">
        <f>IFERROR(__xludf.DUMMYFUNCTION("""COMPUTED_VALUE"""),"Delivered")</f>
        <v>Delivered</v>
      </c>
      <c r="M898" s="2" t="str">
        <f>IFERROR(__xludf.DUMMYFUNCTION("""COMPUTED_VALUE"""),"")</f>
        <v></v>
      </c>
      <c r="N898" s="2" t="str">
        <f>IFERROR(__xludf.DUMMYFUNCTION("""COMPUTED_VALUE"""),"Tamara: Split in 3, interest-free")</f>
        <v>Tamara: Split in 3, interest-free</v>
      </c>
      <c r="O898" s="4">
        <f>IFERROR(__xludf.DUMMYFUNCTION("""COMPUTED_VALUE"""),0.0)</f>
        <v>0</v>
      </c>
      <c r="P898" s="2">
        <f>IFERROR(__xludf.DUMMYFUNCTION("""COMPUTED_VALUE"""),7.0)</f>
        <v>7</v>
      </c>
      <c r="Q898" s="2">
        <f>IFERROR(__xludf.DUMMYFUNCTION("""COMPUTED_VALUE"""),8.0)</f>
        <v>8</v>
      </c>
      <c r="R898" s="2">
        <f>IFERROR(__xludf.DUMMYFUNCTION("""COMPUTED_VALUE"""),2025.0)</f>
        <v>2025</v>
      </c>
      <c r="S898" s="2" t="str">
        <f>IFERROR(__xludf.DUMMYFUNCTION("""COMPUTED_VALUE"""),"Digizag")</f>
        <v>Digizag</v>
      </c>
      <c r="T898" s="2" t="str">
        <f>IFERROR(__xludf.DUMMYFUNCTION("""COMPUTED_VALUE"""),"Digizag")</f>
        <v>Digizag</v>
      </c>
      <c r="U898" s="5">
        <f>IFERROR(__xludf.DUMMYFUNCTION("""COMPUTED_VALUE"""),38.26637406146)</f>
        <v>38.26637406</v>
      </c>
      <c r="V898" s="2"/>
      <c r="W898" s="2"/>
      <c r="X898" s="2"/>
      <c r="Y898" s="2"/>
      <c r="Z898" s="2"/>
    </row>
    <row r="899">
      <c r="A899" s="6">
        <f>IFERROR(__xludf.DUMMYFUNCTION("""COMPUTED_VALUE"""),45876.70317129629)</f>
        <v>45876.70317</v>
      </c>
      <c r="B899" s="2" t="str">
        <f>IFERROR(__xludf.DUMMYFUNCTION("""COMPUTED_VALUE"""),"August")</f>
        <v>August</v>
      </c>
      <c r="C899" s="3">
        <f>IFERROR(__xludf.DUMMYFUNCTION("""COMPUTED_VALUE"""),782912.0)</f>
        <v>782912</v>
      </c>
      <c r="D899" s="2" t="str">
        <f>IFERROR(__xludf.DUMMYFUNCTION("""COMPUTED_VALUE"""),"ZM22")</f>
        <v>ZM22</v>
      </c>
      <c r="E899" s="2" t="str">
        <f>IFERROR(__xludf.DUMMYFUNCTION("""COMPUTED_VALUE"""),"Imported from file Digizag.xlsx")</f>
        <v>Imported from file Digizag.xlsx</v>
      </c>
      <c r="F899" s="2" t="str">
        <f>IFERROR(__xludf.DUMMYFUNCTION("""COMPUTED_VALUE"""),"JJH112836")</f>
        <v>JJH112836</v>
      </c>
      <c r="G899" s="2" t="str">
        <f>IFERROR(__xludf.DUMMYFUNCTION("""COMPUTED_VALUE"""),"UAE")</f>
        <v>UAE</v>
      </c>
      <c r="H899" s="4">
        <f>IFERROR(__xludf.DUMMYFUNCTION("""COMPUTED_VALUE"""),120.0)</f>
        <v>120</v>
      </c>
      <c r="I899" s="3">
        <f>IFERROR(__xludf.DUMMYFUNCTION("""COMPUTED_VALUE"""),0.0)</f>
        <v>0</v>
      </c>
      <c r="J899" s="4">
        <f>IFERROR(__xludf.DUMMYFUNCTION("""COMPUTED_VALUE"""),12.0)</f>
        <v>12</v>
      </c>
      <c r="K899" s="2"/>
      <c r="L899" s="2" t="str">
        <f>IFERROR(__xludf.DUMMYFUNCTION("""COMPUTED_VALUE"""),"Delivered")</f>
        <v>Delivered</v>
      </c>
      <c r="M899" s="2" t="str">
        <f>IFERROR(__xludf.DUMMYFUNCTION("""COMPUTED_VALUE"""),"")</f>
        <v></v>
      </c>
      <c r="N899" s="2" t="str">
        <f>IFERROR(__xludf.DUMMYFUNCTION("""COMPUTED_VALUE"""),"Credit, Debit , Apple Pay")</f>
        <v>Credit, Debit , Apple Pay</v>
      </c>
      <c r="O899" s="4">
        <f>IFERROR(__xludf.DUMMYFUNCTION("""COMPUTED_VALUE"""),0.0)</f>
        <v>0</v>
      </c>
      <c r="P899" s="2">
        <f>IFERROR(__xludf.DUMMYFUNCTION("""COMPUTED_VALUE"""),7.0)</f>
        <v>7</v>
      </c>
      <c r="Q899" s="2">
        <f>IFERROR(__xludf.DUMMYFUNCTION("""COMPUTED_VALUE"""),8.0)</f>
        <v>8</v>
      </c>
      <c r="R899" s="2">
        <f>IFERROR(__xludf.DUMMYFUNCTION("""COMPUTED_VALUE"""),2025.0)</f>
        <v>2025</v>
      </c>
      <c r="S899" s="2" t="str">
        <f>IFERROR(__xludf.DUMMYFUNCTION("""COMPUTED_VALUE"""),"Digizag")</f>
        <v>Digizag</v>
      </c>
      <c r="T899" s="2" t="str">
        <f>IFERROR(__xludf.DUMMYFUNCTION("""COMPUTED_VALUE"""),"Digizag")</f>
        <v>Digizag</v>
      </c>
      <c r="U899" s="5">
        <f>IFERROR(__xludf.DUMMYFUNCTION("""COMPUTED_VALUE"""),32.67528936)</f>
        <v>32.67528936</v>
      </c>
      <c r="V899" s="2"/>
      <c r="W899" s="2"/>
      <c r="X899" s="2"/>
      <c r="Y899" s="2"/>
      <c r="Z899" s="2"/>
    </row>
    <row r="900">
      <c r="A900" s="6">
        <f>IFERROR(__xludf.DUMMYFUNCTION("""COMPUTED_VALUE"""),45876.765138888884)</f>
        <v>45876.76514</v>
      </c>
      <c r="B900" s="2" t="str">
        <f>IFERROR(__xludf.DUMMYFUNCTION("""COMPUTED_VALUE"""),"August")</f>
        <v>August</v>
      </c>
      <c r="C900" s="3">
        <f>IFERROR(__xludf.DUMMYFUNCTION("""COMPUTED_VALUE"""),48311.0)</f>
        <v>48311</v>
      </c>
      <c r="D900" s="2" t="str">
        <f>IFERROR(__xludf.DUMMYFUNCTION("""COMPUTED_VALUE"""),"DG10")</f>
        <v>DG10</v>
      </c>
      <c r="E900" s="2" t="str">
        <f>IFERROR(__xludf.DUMMYFUNCTION("""COMPUTED_VALUE"""),"Imported from file Digizag.xlsx")</f>
        <v>Imported from file Digizag.xlsx</v>
      </c>
      <c r="F900" s="2" t="str">
        <f>IFERROR(__xludf.DUMMYFUNCTION("""COMPUTED_VALUE"""),"XJQ194158")</f>
        <v>XJQ194158</v>
      </c>
      <c r="G900" s="2" t="str">
        <f>IFERROR(__xludf.DUMMYFUNCTION("""COMPUTED_VALUE"""),"Kingdom of Saudi Arabia")</f>
        <v>Kingdom of Saudi Arabia</v>
      </c>
      <c r="H900" s="4">
        <f>IFERROR(__xludf.DUMMYFUNCTION("""COMPUTED_VALUE"""),216.0)</f>
        <v>216</v>
      </c>
      <c r="I900" s="3">
        <f>IFERROR(__xludf.DUMMYFUNCTION("""COMPUTED_VALUE"""),0.0)</f>
        <v>0</v>
      </c>
      <c r="J900" s="4">
        <f>IFERROR(__xludf.DUMMYFUNCTION("""COMPUTED_VALUE"""),30.0)</f>
        <v>30</v>
      </c>
      <c r="K900" s="2"/>
      <c r="L900" s="2" t="str">
        <f>IFERROR(__xludf.DUMMYFUNCTION("""COMPUTED_VALUE"""),"Delivered")</f>
        <v>Delivered</v>
      </c>
      <c r="M900" s="2" t="str">
        <f>IFERROR(__xludf.DUMMYFUNCTION("""COMPUTED_VALUE"""),"")</f>
        <v></v>
      </c>
      <c r="N900" s="2" t="str">
        <f>IFERROR(__xludf.DUMMYFUNCTION("""COMPUTED_VALUE"""),"Pay in 4. No interest, no fees")</f>
        <v>Pay in 4. No interest, no fees</v>
      </c>
      <c r="O900" s="4">
        <f>IFERROR(__xludf.DUMMYFUNCTION("""COMPUTED_VALUE"""),0.0)</f>
        <v>0</v>
      </c>
      <c r="P900" s="2">
        <f>IFERROR(__xludf.DUMMYFUNCTION("""COMPUTED_VALUE"""),7.0)</f>
        <v>7</v>
      </c>
      <c r="Q900" s="2">
        <f>IFERROR(__xludf.DUMMYFUNCTION("""COMPUTED_VALUE"""),8.0)</f>
        <v>8</v>
      </c>
      <c r="R900" s="2">
        <f>IFERROR(__xludf.DUMMYFUNCTION("""COMPUTED_VALUE"""),2025.0)</f>
        <v>2025</v>
      </c>
      <c r="S900" s="2" t="str">
        <f>IFERROR(__xludf.DUMMYFUNCTION("""COMPUTED_VALUE"""),"Digizag")</f>
        <v>Digizag</v>
      </c>
      <c r="T900" s="2" t="str">
        <f>IFERROR(__xludf.DUMMYFUNCTION("""COMPUTED_VALUE"""),"Digizag")</f>
        <v>Digizag</v>
      </c>
      <c r="U900" s="5">
        <f>IFERROR(__xludf.DUMMYFUNCTION("""COMPUTED_VALUE"""),57.59554593600001)</f>
        <v>57.59554594</v>
      </c>
      <c r="V900" s="2"/>
      <c r="W900" s="2"/>
      <c r="X900" s="2"/>
      <c r="Y900" s="2"/>
      <c r="Z900" s="2"/>
    </row>
    <row r="901">
      <c r="A901" s="6">
        <f>IFERROR(__xludf.DUMMYFUNCTION("""COMPUTED_VALUE"""),45876.909895833334)</f>
        <v>45876.9099</v>
      </c>
      <c r="B901" s="2" t="str">
        <f>IFERROR(__xludf.DUMMYFUNCTION("""COMPUTED_VALUE"""),"August")</f>
        <v>August</v>
      </c>
      <c r="C901" s="3">
        <f>IFERROR(__xludf.DUMMYFUNCTION("""COMPUTED_VALUE"""),34549.0)</f>
        <v>34549</v>
      </c>
      <c r="D901" s="2" t="str">
        <f>IFERROR(__xludf.DUMMYFUNCTION("""COMPUTED_VALUE"""),"CC22")</f>
        <v>CC22</v>
      </c>
      <c r="E901" s="2" t="str">
        <f>IFERROR(__xludf.DUMMYFUNCTION("""COMPUTED_VALUE"""),"Imported from file Digizag.xlsx")</f>
        <v>Imported from file Digizag.xlsx</v>
      </c>
      <c r="F901" s="2" t="str">
        <f>IFERROR(__xludf.DUMMYFUNCTION("""COMPUTED_VALUE"""),"HSC425573")</f>
        <v>HSC425573</v>
      </c>
      <c r="G901" s="2" t="str">
        <f>IFERROR(__xludf.DUMMYFUNCTION("""COMPUTED_VALUE"""),"Kuwait")</f>
        <v>Kuwait</v>
      </c>
      <c r="H901" s="4">
        <f>IFERROR(__xludf.DUMMYFUNCTION("""COMPUTED_VALUE"""),16.9)</f>
        <v>16.9</v>
      </c>
      <c r="I901" s="3">
        <f>IFERROR(__xludf.DUMMYFUNCTION("""COMPUTED_VALUE"""),0.0)</f>
        <v>0</v>
      </c>
      <c r="J901" s="4">
        <f>IFERROR(__xludf.DUMMYFUNCTION("""COMPUTED_VALUE"""),1.69)</f>
        <v>1.69</v>
      </c>
      <c r="K901" s="2"/>
      <c r="L901" s="2" t="str">
        <f>IFERROR(__xludf.DUMMYFUNCTION("""COMPUTED_VALUE"""),"Delivered")</f>
        <v>Delivered</v>
      </c>
      <c r="M901" s="2" t="str">
        <f>IFERROR(__xludf.DUMMYFUNCTION("""COMPUTED_VALUE"""),"KD")</f>
        <v>KD</v>
      </c>
      <c r="N901" s="2" t="str">
        <f>IFERROR(__xludf.DUMMYFUNCTION("""COMPUTED_VALUE"""),"Credit, Debit, Knet")</f>
        <v>Credit, Debit, Knet</v>
      </c>
      <c r="O901" s="4">
        <f>IFERROR(__xludf.DUMMYFUNCTION("""COMPUTED_VALUE"""),0.0)</f>
        <v>0</v>
      </c>
      <c r="P901" s="2">
        <f>IFERROR(__xludf.DUMMYFUNCTION("""COMPUTED_VALUE"""),7.0)</f>
        <v>7</v>
      </c>
      <c r="Q901" s="2">
        <f>IFERROR(__xludf.DUMMYFUNCTION("""COMPUTED_VALUE"""),8.0)</f>
        <v>8</v>
      </c>
      <c r="R901" s="2">
        <f>IFERROR(__xludf.DUMMYFUNCTION("""COMPUTED_VALUE"""),2025.0)</f>
        <v>2025</v>
      </c>
      <c r="S901" s="2" t="str">
        <f>IFERROR(__xludf.DUMMYFUNCTION("""COMPUTED_VALUE"""),"Digizag")</f>
        <v>Digizag</v>
      </c>
      <c r="T901" s="2" t="str">
        <f>IFERROR(__xludf.DUMMYFUNCTION("""COMPUTED_VALUE"""),"Digizag")</f>
        <v>Digizag</v>
      </c>
      <c r="U901" s="5">
        <f>IFERROR(__xludf.DUMMYFUNCTION("""COMPUTED_VALUE"""),55.10447799999999)</f>
        <v>55.104478</v>
      </c>
      <c r="V901" s="2"/>
      <c r="W901" s="2"/>
      <c r="X901" s="2"/>
      <c r="Y901" s="2"/>
      <c r="Z901" s="2"/>
    </row>
    <row r="902">
      <c r="A902" s="6">
        <f>IFERROR(__xludf.DUMMYFUNCTION("""COMPUTED_VALUE"""),45876.9455787037)</f>
        <v>45876.94558</v>
      </c>
      <c r="B902" s="2" t="str">
        <f>IFERROR(__xludf.DUMMYFUNCTION("""COMPUTED_VALUE"""),"August")</f>
        <v>August</v>
      </c>
      <c r="C902" s="3">
        <f>IFERROR(__xludf.DUMMYFUNCTION("""COMPUTED_VALUE"""),776747.0)</f>
        <v>776747</v>
      </c>
      <c r="D902" s="2" t="str">
        <f>IFERROR(__xludf.DUMMYFUNCTION("""COMPUTED_VALUE"""),"MNN16")</f>
        <v>MNN16</v>
      </c>
      <c r="E902" s="2" t="str">
        <f>IFERROR(__xludf.DUMMYFUNCTION("""COMPUTED_VALUE"""),"Imported from file DigiZag Codes 25Feb25.xlsx")</f>
        <v>Imported from file DigiZag Codes 25Feb25.xlsx</v>
      </c>
      <c r="F902" s="2" t="str">
        <f>IFERROR(__xludf.DUMMYFUNCTION("""COMPUTED_VALUE"""),"DJT888800")</f>
        <v>DJT888800</v>
      </c>
      <c r="G902" s="2" t="str">
        <f>IFERROR(__xludf.DUMMYFUNCTION("""COMPUTED_VALUE"""),"Kuwait")</f>
        <v>Kuwait</v>
      </c>
      <c r="H902" s="4">
        <f>IFERROR(__xludf.DUMMYFUNCTION("""COMPUTED_VALUE"""),11.95)</f>
        <v>11.95</v>
      </c>
      <c r="I902" s="3">
        <f>IFERROR(__xludf.DUMMYFUNCTION("""COMPUTED_VALUE"""),0.0)</f>
        <v>0</v>
      </c>
      <c r="J902" s="4">
        <f>IFERROR(__xludf.DUMMYFUNCTION("""COMPUTED_VALUE"""),1.195)</f>
        <v>1.195</v>
      </c>
      <c r="K902" s="2"/>
      <c r="L902" s="2" t="str">
        <f>IFERROR(__xludf.DUMMYFUNCTION("""COMPUTED_VALUE"""),"Delivered")</f>
        <v>Delivered</v>
      </c>
      <c r="M902" s="2" t="str">
        <f>IFERROR(__xludf.DUMMYFUNCTION("""COMPUTED_VALUE"""),"KD")</f>
        <v>KD</v>
      </c>
      <c r="N902" s="2" t="str">
        <f>IFERROR(__xludf.DUMMYFUNCTION("""COMPUTED_VALUE"""),"Credit, Debit, Knet")</f>
        <v>Credit, Debit, Knet</v>
      </c>
      <c r="O902" s="4">
        <f>IFERROR(__xludf.DUMMYFUNCTION("""COMPUTED_VALUE"""),0.0)</f>
        <v>0</v>
      </c>
      <c r="P902" s="2">
        <f>IFERROR(__xludf.DUMMYFUNCTION("""COMPUTED_VALUE"""),7.0)</f>
        <v>7</v>
      </c>
      <c r="Q902" s="2">
        <f>IFERROR(__xludf.DUMMYFUNCTION("""COMPUTED_VALUE"""),8.0)</f>
        <v>8</v>
      </c>
      <c r="R902" s="2">
        <f>IFERROR(__xludf.DUMMYFUNCTION("""COMPUTED_VALUE"""),2025.0)</f>
        <v>2025</v>
      </c>
      <c r="S902" s="2" t="str">
        <f>IFERROR(__xludf.DUMMYFUNCTION("""COMPUTED_VALUE"""),"Digizag")</f>
        <v>Digizag</v>
      </c>
      <c r="T902" s="2" t="str">
        <f>IFERROR(__xludf.DUMMYFUNCTION("""COMPUTED_VALUE"""),"Digizag")</f>
        <v>Digizag</v>
      </c>
      <c r="U902" s="5">
        <f>IFERROR(__xludf.DUMMYFUNCTION("""COMPUTED_VALUE"""),38.964408999999996)</f>
        <v>38.964409</v>
      </c>
      <c r="V902" s="2"/>
      <c r="W902" s="2"/>
      <c r="X902" s="2"/>
      <c r="Y902" s="2"/>
      <c r="Z902" s="2"/>
    </row>
    <row r="903">
      <c r="A903" s="6">
        <f>IFERROR(__xludf.DUMMYFUNCTION("""COMPUTED_VALUE"""),45877.36091435185)</f>
        <v>45877.36091</v>
      </c>
      <c r="B903" s="2" t="str">
        <f>IFERROR(__xludf.DUMMYFUNCTION("""COMPUTED_VALUE"""),"August")</f>
        <v>August</v>
      </c>
      <c r="C903" s="3">
        <f>IFERROR(__xludf.DUMMYFUNCTION("""COMPUTED_VALUE"""),778668.0)</f>
        <v>778668</v>
      </c>
      <c r="D903" s="2" t="str">
        <f>IFERROR(__xludf.DUMMYFUNCTION("""COMPUTED_VALUE"""),"JM")</f>
        <v>JM</v>
      </c>
      <c r="E903" s="2" t="str">
        <f>IFERROR(__xludf.DUMMYFUNCTION("""COMPUTED_VALUE"""),"DigiZag")</f>
        <v>DigiZag</v>
      </c>
      <c r="F903" s="2" t="str">
        <f>IFERROR(__xludf.DUMMYFUNCTION("""COMPUTED_VALUE"""),"ALW580468")</f>
        <v>ALW580468</v>
      </c>
      <c r="G903" s="2" t="str">
        <f>IFERROR(__xludf.DUMMYFUNCTION("""COMPUTED_VALUE"""),"UAE")</f>
        <v>UAE</v>
      </c>
      <c r="H903" s="4">
        <f>IFERROR(__xludf.DUMMYFUNCTION("""COMPUTED_VALUE"""),229.0)</f>
        <v>229</v>
      </c>
      <c r="I903" s="3">
        <f>IFERROR(__xludf.DUMMYFUNCTION("""COMPUTED_VALUE"""),0.0)</f>
        <v>0</v>
      </c>
      <c r="J903" s="4">
        <f>IFERROR(__xludf.DUMMYFUNCTION("""COMPUTED_VALUE"""),22.9)</f>
        <v>22.9</v>
      </c>
      <c r="K903" s="2"/>
      <c r="L903" s="2" t="str">
        <f>IFERROR(__xludf.DUMMYFUNCTION("""COMPUTED_VALUE"""),"Delivered")</f>
        <v>Delivered</v>
      </c>
      <c r="M903" s="2" t="str">
        <f>IFERROR(__xludf.DUMMYFUNCTION("""COMPUTED_VALUE"""),"")</f>
        <v></v>
      </c>
      <c r="N903" s="2" t="str">
        <f>IFERROR(__xludf.DUMMYFUNCTION("""COMPUTED_VALUE"""),"Cash")</f>
        <v>Cash</v>
      </c>
      <c r="O903" s="4">
        <f>IFERROR(__xludf.DUMMYFUNCTION("""COMPUTED_VALUE"""),0.0)</f>
        <v>0</v>
      </c>
      <c r="P903" s="2">
        <f>IFERROR(__xludf.DUMMYFUNCTION("""COMPUTED_VALUE"""),8.0)</f>
        <v>8</v>
      </c>
      <c r="Q903" s="2">
        <f>IFERROR(__xludf.DUMMYFUNCTION("""COMPUTED_VALUE"""),8.0)</f>
        <v>8</v>
      </c>
      <c r="R903" s="2">
        <f>IFERROR(__xludf.DUMMYFUNCTION("""COMPUTED_VALUE"""),2025.0)</f>
        <v>2025</v>
      </c>
      <c r="S903" s="2" t="str">
        <f>IFERROR(__xludf.DUMMYFUNCTION("""COMPUTED_VALUE"""),"Digizag")</f>
        <v>Digizag</v>
      </c>
      <c r="T903" s="2" t="str">
        <f>IFERROR(__xludf.DUMMYFUNCTION("""COMPUTED_VALUE"""),"Digizag")</f>
        <v>Digizag</v>
      </c>
      <c r="U903" s="5">
        <f>IFERROR(__xludf.DUMMYFUNCTION("""COMPUTED_VALUE"""),62.355343862)</f>
        <v>62.35534386</v>
      </c>
      <c r="V903" s="2"/>
      <c r="W903" s="2"/>
      <c r="X903" s="2"/>
      <c r="Y903" s="2"/>
      <c r="Z903" s="2"/>
    </row>
    <row r="904">
      <c r="A904" s="6">
        <f>IFERROR(__xludf.DUMMYFUNCTION("""COMPUTED_VALUE"""),45877.372777777775)</f>
        <v>45877.37278</v>
      </c>
      <c r="B904" s="2" t="str">
        <f>IFERROR(__xludf.DUMMYFUNCTION("""COMPUTED_VALUE"""),"August")</f>
        <v>August</v>
      </c>
      <c r="C904" s="3">
        <f>IFERROR(__xludf.DUMMYFUNCTION("""COMPUTED_VALUE"""),571123.0)</f>
        <v>571123</v>
      </c>
      <c r="D904" s="2" t="str">
        <f>IFERROR(__xludf.DUMMYFUNCTION("""COMPUTED_VALUE"""),"JM")</f>
        <v>JM</v>
      </c>
      <c r="E904" s="2" t="str">
        <f>IFERROR(__xludf.DUMMYFUNCTION("""COMPUTED_VALUE"""),"DigiZag")</f>
        <v>DigiZag</v>
      </c>
      <c r="F904" s="2" t="str">
        <f>IFERROR(__xludf.DUMMYFUNCTION("""COMPUTED_VALUE"""),"XHP101639")</f>
        <v>XHP101639</v>
      </c>
      <c r="G904" s="2" t="str">
        <f>IFERROR(__xludf.DUMMYFUNCTION("""COMPUTED_VALUE"""),"UAE")</f>
        <v>UAE</v>
      </c>
      <c r="H904" s="4">
        <f>IFERROR(__xludf.DUMMYFUNCTION("""COMPUTED_VALUE"""),189.0)</f>
        <v>189</v>
      </c>
      <c r="I904" s="3">
        <f>IFERROR(__xludf.DUMMYFUNCTION("""COMPUTED_VALUE"""),0.0)</f>
        <v>0</v>
      </c>
      <c r="J904" s="4">
        <f>IFERROR(__xludf.DUMMYFUNCTION("""COMPUTED_VALUE"""),18.9)</f>
        <v>18.9</v>
      </c>
      <c r="K904" s="2"/>
      <c r="L904" s="2" t="str">
        <f>IFERROR(__xludf.DUMMYFUNCTION("""COMPUTED_VALUE"""),"Delivered")</f>
        <v>Delivered</v>
      </c>
      <c r="M904" s="2" t="str">
        <f>IFERROR(__xludf.DUMMYFUNCTION("""COMPUTED_VALUE"""),"")</f>
        <v></v>
      </c>
      <c r="N904" s="2" t="str">
        <f>IFERROR(__xludf.DUMMYFUNCTION("""COMPUTED_VALUE"""),"Credit, Debit , Apple Pay")</f>
        <v>Credit, Debit , Apple Pay</v>
      </c>
      <c r="O904" s="4">
        <f>IFERROR(__xludf.DUMMYFUNCTION("""COMPUTED_VALUE"""),0.0)</f>
        <v>0</v>
      </c>
      <c r="P904" s="2">
        <f>IFERROR(__xludf.DUMMYFUNCTION("""COMPUTED_VALUE"""),8.0)</f>
        <v>8</v>
      </c>
      <c r="Q904" s="2">
        <f>IFERROR(__xludf.DUMMYFUNCTION("""COMPUTED_VALUE"""),8.0)</f>
        <v>8</v>
      </c>
      <c r="R904" s="2">
        <f>IFERROR(__xludf.DUMMYFUNCTION("""COMPUTED_VALUE"""),2025.0)</f>
        <v>2025</v>
      </c>
      <c r="S904" s="2" t="str">
        <f>IFERROR(__xludf.DUMMYFUNCTION("""COMPUTED_VALUE"""),"Digizag")</f>
        <v>Digizag</v>
      </c>
      <c r="T904" s="2" t="str">
        <f>IFERROR(__xludf.DUMMYFUNCTION("""COMPUTED_VALUE"""),"Digizag")</f>
        <v>Digizag</v>
      </c>
      <c r="U904" s="5">
        <f>IFERROR(__xludf.DUMMYFUNCTION("""COMPUTED_VALUE"""),51.463580742)</f>
        <v>51.46358074</v>
      </c>
      <c r="V904" s="2"/>
      <c r="W904" s="2"/>
      <c r="X904" s="2"/>
      <c r="Y904" s="2"/>
      <c r="Z904" s="2"/>
    </row>
    <row r="905">
      <c r="A905" s="6">
        <f>IFERROR(__xludf.DUMMYFUNCTION("""COMPUTED_VALUE"""),45877.41537037037)</f>
        <v>45877.41537</v>
      </c>
      <c r="B905" s="2" t="str">
        <f>IFERROR(__xludf.DUMMYFUNCTION("""COMPUTED_VALUE"""),"August")</f>
        <v>August</v>
      </c>
      <c r="C905" s="3">
        <f>IFERROR(__xludf.DUMMYFUNCTION("""COMPUTED_VALUE"""),229155.0)</f>
        <v>229155</v>
      </c>
      <c r="D905" s="2" t="str">
        <f>IFERROR(__xludf.DUMMYFUNCTION("""COMPUTED_VALUE"""),"CC22")</f>
        <v>CC22</v>
      </c>
      <c r="E905" s="2" t="str">
        <f>IFERROR(__xludf.DUMMYFUNCTION("""COMPUTED_VALUE"""),"Imported from file Digizag.xlsx")</f>
        <v>Imported from file Digizag.xlsx</v>
      </c>
      <c r="F905" s="2" t="str">
        <f>IFERROR(__xludf.DUMMYFUNCTION("""COMPUTED_VALUE"""),"JHG704062")</f>
        <v>JHG704062</v>
      </c>
      <c r="G905" s="2" t="str">
        <f>IFERROR(__xludf.DUMMYFUNCTION("""COMPUTED_VALUE"""),"Kingdom of Saudi Arabia")</f>
        <v>Kingdom of Saudi Arabia</v>
      </c>
      <c r="H905" s="4">
        <f>IFERROR(__xludf.DUMMYFUNCTION("""COMPUTED_VALUE"""),338.3)</f>
        <v>338.3</v>
      </c>
      <c r="I905" s="3">
        <f>IFERROR(__xludf.DUMMYFUNCTION("""COMPUTED_VALUE"""),0.0)</f>
        <v>0</v>
      </c>
      <c r="J905" s="4">
        <f>IFERROR(__xludf.DUMMYFUNCTION("""COMPUTED_VALUE"""),30.0)</f>
        <v>30</v>
      </c>
      <c r="K905" s="2"/>
      <c r="L905" s="2" t="str">
        <f>IFERROR(__xludf.DUMMYFUNCTION("""COMPUTED_VALUE"""),"Delivered")</f>
        <v>Delivered</v>
      </c>
      <c r="M905" s="2" t="str">
        <f>IFERROR(__xludf.DUMMYFUNCTION("""COMPUTED_VALUE"""),"")</f>
        <v></v>
      </c>
      <c r="N905" s="2" t="str">
        <f>IFERROR(__xludf.DUMMYFUNCTION("""COMPUTED_VALUE"""),"Credit, Debit, Apple Pay")</f>
        <v>Credit, Debit, Apple Pay</v>
      </c>
      <c r="O905" s="4">
        <f>IFERROR(__xludf.DUMMYFUNCTION("""COMPUTED_VALUE"""),0.0)</f>
        <v>0</v>
      </c>
      <c r="P905" s="2">
        <f>IFERROR(__xludf.DUMMYFUNCTION("""COMPUTED_VALUE"""),8.0)</f>
        <v>8</v>
      </c>
      <c r="Q905" s="2">
        <f>IFERROR(__xludf.DUMMYFUNCTION("""COMPUTED_VALUE"""),8.0)</f>
        <v>8</v>
      </c>
      <c r="R905" s="2">
        <f>IFERROR(__xludf.DUMMYFUNCTION("""COMPUTED_VALUE"""),2025.0)</f>
        <v>2025</v>
      </c>
      <c r="S905" s="2" t="str">
        <f>IFERROR(__xludf.DUMMYFUNCTION("""COMPUTED_VALUE"""),"Digizag")</f>
        <v>Digizag</v>
      </c>
      <c r="T905" s="2" t="str">
        <f>IFERROR(__xludf.DUMMYFUNCTION("""COMPUTED_VALUE"""),"Digizag")</f>
        <v>Digizag</v>
      </c>
      <c r="U905" s="5">
        <f>IFERROR(__xludf.DUMMYFUNCTION("""COMPUTED_VALUE"""),90.20635736180002)</f>
        <v>90.20635736</v>
      </c>
      <c r="V905" s="2"/>
      <c r="W905" s="2"/>
      <c r="X905" s="2"/>
      <c r="Y905" s="2"/>
      <c r="Z905" s="2"/>
    </row>
    <row r="906">
      <c r="A906" s="6">
        <f>IFERROR(__xludf.DUMMYFUNCTION("""COMPUTED_VALUE"""),45877.41707175926)</f>
        <v>45877.41707</v>
      </c>
      <c r="B906" s="2" t="str">
        <f>IFERROR(__xludf.DUMMYFUNCTION("""COMPUTED_VALUE"""),"August")</f>
        <v>August</v>
      </c>
      <c r="C906" s="3">
        <f>IFERROR(__xludf.DUMMYFUNCTION("""COMPUTED_VALUE"""),769244.0)</f>
        <v>769244</v>
      </c>
      <c r="D906" s="2" t="str">
        <f>IFERROR(__xludf.DUMMYFUNCTION("""COMPUTED_VALUE"""),"CC22")</f>
        <v>CC22</v>
      </c>
      <c r="E906" s="2" t="str">
        <f>IFERROR(__xludf.DUMMYFUNCTION("""COMPUTED_VALUE"""),"Imported from file Digizag.xlsx")</f>
        <v>Imported from file Digizag.xlsx</v>
      </c>
      <c r="F906" s="2" t="str">
        <f>IFERROR(__xludf.DUMMYFUNCTION("""COMPUTED_VALUE"""),"LUR926425")</f>
        <v>LUR926425</v>
      </c>
      <c r="G906" s="2" t="str">
        <f>IFERROR(__xludf.DUMMYFUNCTION("""COMPUTED_VALUE"""),"Kingdom of Saudi Arabia")</f>
        <v>Kingdom of Saudi Arabia</v>
      </c>
      <c r="H906" s="4">
        <f>IFERROR(__xludf.DUMMYFUNCTION("""COMPUTED_VALUE"""),102.5)</f>
        <v>102.5</v>
      </c>
      <c r="I906" s="3">
        <f>IFERROR(__xludf.DUMMYFUNCTION("""COMPUTED_VALUE"""),0.0)</f>
        <v>0</v>
      </c>
      <c r="J906" s="4">
        <f>IFERROR(__xludf.DUMMYFUNCTION("""COMPUTED_VALUE"""),25.62)</f>
        <v>25.62</v>
      </c>
      <c r="K906" s="2"/>
      <c r="L906" s="2" t="str">
        <f>IFERROR(__xludf.DUMMYFUNCTION("""COMPUTED_VALUE"""),"Delivered")</f>
        <v>Delivered</v>
      </c>
      <c r="M906" s="2" t="str">
        <f>IFERROR(__xludf.DUMMYFUNCTION("""COMPUTED_VALUE"""),"")</f>
        <v></v>
      </c>
      <c r="N906" s="2" t="str">
        <f>IFERROR(__xludf.DUMMYFUNCTION("""COMPUTED_VALUE"""),"Tamara: Split in 3, interest-free")</f>
        <v>Tamara: Split in 3, interest-free</v>
      </c>
      <c r="O906" s="4">
        <f>IFERROR(__xludf.DUMMYFUNCTION("""COMPUTED_VALUE"""),0.0)</f>
        <v>0</v>
      </c>
      <c r="P906" s="2">
        <f>IFERROR(__xludf.DUMMYFUNCTION("""COMPUTED_VALUE"""),8.0)</f>
        <v>8</v>
      </c>
      <c r="Q906" s="2">
        <f>IFERROR(__xludf.DUMMYFUNCTION("""COMPUTED_VALUE"""),8.0)</f>
        <v>8</v>
      </c>
      <c r="R906" s="2">
        <f>IFERROR(__xludf.DUMMYFUNCTION("""COMPUTED_VALUE"""),2025.0)</f>
        <v>2025</v>
      </c>
      <c r="S906" s="2" t="str">
        <f>IFERROR(__xludf.DUMMYFUNCTION("""COMPUTED_VALUE"""),"Digizag")</f>
        <v>Digizag</v>
      </c>
      <c r="T906" s="2" t="str">
        <f>IFERROR(__xludf.DUMMYFUNCTION("""COMPUTED_VALUE"""),"Digizag")</f>
        <v>Digizag</v>
      </c>
      <c r="U906" s="5">
        <f>IFERROR(__xludf.DUMMYFUNCTION("""COMPUTED_VALUE"""),27.331219715000003)</f>
        <v>27.33121972</v>
      </c>
      <c r="V906" s="2"/>
      <c r="W906" s="2"/>
      <c r="X906" s="2"/>
      <c r="Y906" s="2"/>
      <c r="Z906" s="2"/>
    </row>
    <row r="907">
      <c r="A907" s="6">
        <f>IFERROR(__xludf.DUMMYFUNCTION("""COMPUTED_VALUE"""),45877.94622685185)</f>
        <v>45877.94623</v>
      </c>
      <c r="B907" s="2" t="str">
        <f>IFERROR(__xludf.DUMMYFUNCTION("""COMPUTED_VALUE"""),"August")</f>
        <v>August</v>
      </c>
      <c r="C907" s="3">
        <f>IFERROR(__xludf.DUMMYFUNCTION("""COMPUTED_VALUE"""),783516.0)</f>
        <v>783516</v>
      </c>
      <c r="D907" s="2" t="str">
        <f>IFERROR(__xludf.DUMMYFUNCTION("""COMPUTED_VALUE"""),"DG10")</f>
        <v>DG10</v>
      </c>
      <c r="E907" s="2" t="str">
        <f>IFERROR(__xludf.DUMMYFUNCTION("""COMPUTED_VALUE"""),"DigiZag")</f>
        <v>DigiZag</v>
      </c>
      <c r="F907" s="2" t="str">
        <f>IFERROR(__xludf.DUMMYFUNCTION("""COMPUTED_VALUE"""),"AKC498431")</f>
        <v>AKC498431</v>
      </c>
      <c r="G907" s="2" t="str">
        <f>IFERROR(__xludf.DUMMYFUNCTION("""COMPUTED_VALUE"""),"Kuwait")</f>
        <v>Kuwait</v>
      </c>
      <c r="H907" s="4">
        <f>IFERROR(__xludf.DUMMYFUNCTION("""COMPUTED_VALUE"""),16.0)</f>
        <v>16</v>
      </c>
      <c r="I907" s="3">
        <f>IFERROR(__xludf.DUMMYFUNCTION("""COMPUTED_VALUE"""),0.0)</f>
        <v>0</v>
      </c>
      <c r="J907" s="4">
        <f>IFERROR(__xludf.DUMMYFUNCTION("""COMPUTED_VALUE"""),1.6)</f>
        <v>1.6</v>
      </c>
      <c r="K907" s="2"/>
      <c r="L907" s="2" t="str">
        <f>IFERROR(__xludf.DUMMYFUNCTION("""COMPUTED_VALUE"""),"Delivered")</f>
        <v>Delivered</v>
      </c>
      <c r="M907" s="2" t="str">
        <f>IFERROR(__xludf.DUMMYFUNCTION("""COMPUTED_VALUE"""),"KD")</f>
        <v>KD</v>
      </c>
      <c r="N907" s="2" t="str">
        <f>IFERROR(__xludf.DUMMYFUNCTION("""COMPUTED_VALUE"""),"Cash")</f>
        <v>Cash</v>
      </c>
      <c r="O907" s="4">
        <f>IFERROR(__xludf.DUMMYFUNCTION("""COMPUTED_VALUE"""),0.0)</f>
        <v>0</v>
      </c>
      <c r="P907" s="2">
        <f>IFERROR(__xludf.DUMMYFUNCTION("""COMPUTED_VALUE"""),8.0)</f>
        <v>8</v>
      </c>
      <c r="Q907" s="2">
        <f>IFERROR(__xludf.DUMMYFUNCTION("""COMPUTED_VALUE"""),8.0)</f>
        <v>8</v>
      </c>
      <c r="R907" s="2">
        <f>IFERROR(__xludf.DUMMYFUNCTION("""COMPUTED_VALUE"""),2025.0)</f>
        <v>2025</v>
      </c>
      <c r="S907" s="2" t="str">
        <f>IFERROR(__xludf.DUMMYFUNCTION("""COMPUTED_VALUE"""),"Digizag")</f>
        <v>Digizag</v>
      </c>
      <c r="T907" s="2" t="str">
        <f>IFERROR(__xludf.DUMMYFUNCTION("""COMPUTED_VALUE"""),"Digizag")</f>
        <v>Digizag</v>
      </c>
      <c r="U907" s="5">
        <f>IFERROR(__xludf.DUMMYFUNCTION("""COMPUTED_VALUE"""),52.16992)</f>
        <v>52.16992</v>
      </c>
      <c r="V907" s="2"/>
      <c r="W907" s="2"/>
      <c r="X907" s="2"/>
      <c r="Y907" s="2"/>
      <c r="Z907" s="2"/>
    </row>
    <row r="908">
      <c r="A908" s="6">
        <f>IFERROR(__xludf.DUMMYFUNCTION("""COMPUTED_VALUE"""),45878.23248842592)</f>
        <v>45878.23249</v>
      </c>
      <c r="B908" s="2" t="str">
        <f>IFERROR(__xludf.DUMMYFUNCTION("""COMPUTED_VALUE"""),"August")</f>
        <v>August</v>
      </c>
      <c r="C908" s="3">
        <f>IFERROR(__xludf.DUMMYFUNCTION("""COMPUTED_VALUE"""),1243.0)</f>
        <v>1243</v>
      </c>
      <c r="D908" s="2" t="str">
        <f>IFERROR(__xludf.DUMMYFUNCTION("""COMPUTED_VALUE"""),"DG10")</f>
        <v>DG10</v>
      </c>
      <c r="E908" s="2" t="str">
        <f>IFERROR(__xludf.DUMMYFUNCTION("""COMPUTED_VALUE"""),"Imported from file Digizag.xlsx")</f>
        <v>Imported from file Digizag.xlsx</v>
      </c>
      <c r="F908" s="2" t="str">
        <f>IFERROR(__xludf.DUMMYFUNCTION("""COMPUTED_VALUE"""),"JCH723439")</f>
        <v>JCH723439</v>
      </c>
      <c r="G908" s="2" t="str">
        <f>IFERROR(__xludf.DUMMYFUNCTION("""COMPUTED_VALUE"""),"Kingdom of Saudi Arabia")</f>
        <v>Kingdom of Saudi Arabia</v>
      </c>
      <c r="H908" s="4">
        <f>IFERROR(__xludf.DUMMYFUNCTION("""COMPUTED_VALUE"""),466.0)</f>
        <v>466</v>
      </c>
      <c r="I908" s="3">
        <f>IFERROR(__xludf.DUMMYFUNCTION("""COMPUTED_VALUE"""),0.0)</f>
        <v>0</v>
      </c>
      <c r="J908" s="4">
        <f>IFERROR(__xludf.DUMMYFUNCTION("""COMPUTED_VALUE"""),30.0)</f>
        <v>30</v>
      </c>
      <c r="K908" s="2"/>
      <c r="L908" s="2" t="str">
        <f>IFERROR(__xludf.DUMMYFUNCTION("""COMPUTED_VALUE"""),"Delivered")</f>
        <v>Delivered</v>
      </c>
      <c r="M908" s="2" t="str">
        <f>IFERROR(__xludf.DUMMYFUNCTION("""COMPUTED_VALUE"""),"")</f>
        <v></v>
      </c>
      <c r="N908" s="2" t="str">
        <f>IFERROR(__xludf.DUMMYFUNCTION("""COMPUTED_VALUE"""),"Credit, Debit, Apple Pay")</f>
        <v>Credit, Debit, Apple Pay</v>
      </c>
      <c r="O908" s="4">
        <f>IFERROR(__xludf.DUMMYFUNCTION("""COMPUTED_VALUE"""),0.0)</f>
        <v>0</v>
      </c>
      <c r="P908" s="2">
        <f>IFERROR(__xludf.DUMMYFUNCTION("""COMPUTED_VALUE"""),9.0)</f>
        <v>9</v>
      </c>
      <c r="Q908" s="2">
        <f>IFERROR(__xludf.DUMMYFUNCTION("""COMPUTED_VALUE"""),8.0)</f>
        <v>8</v>
      </c>
      <c r="R908" s="2">
        <f>IFERROR(__xludf.DUMMYFUNCTION("""COMPUTED_VALUE"""),2025.0)</f>
        <v>2025</v>
      </c>
      <c r="S908" s="2" t="str">
        <f>IFERROR(__xludf.DUMMYFUNCTION("""COMPUTED_VALUE"""),"Digizag")</f>
        <v>Digizag</v>
      </c>
      <c r="T908" s="2" t="str">
        <f>IFERROR(__xludf.DUMMYFUNCTION("""COMPUTED_VALUE"""),"Digizag")</f>
        <v>Digizag</v>
      </c>
      <c r="U908" s="5">
        <f>IFERROR(__xludf.DUMMYFUNCTION("""COMPUTED_VALUE"""),124.25705743600001)</f>
        <v>124.2570574</v>
      </c>
      <c r="V908" s="2"/>
      <c r="W908" s="2"/>
      <c r="X908" s="2"/>
      <c r="Y908" s="2"/>
      <c r="Z908" s="2"/>
    </row>
    <row r="909">
      <c r="A909" s="6">
        <f>IFERROR(__xludf.DUMMYFUNCTION("""COMPUTED_VALUE"""),45878.37939814814)</f>
        <v>45878.3794</v>
      </c>
      <c r="B909" s="2" t="str">
        <f>IFERROR(__xludf.DUMMYFUNCTION("""COMPUTED_VALUE"""),"August")</f>
        <v>August</v>
      </c>
      <c r="C909" s="3">
        <f>IFERROR(__xludf.DUMMYFUNCTION("""COMPUTED_VALUE"""),783609.0)</f>
        <v>783609</v>
      </c>
      <c r="D909" s="2" t="str">
        <f>IFERROR(__xludf.DUMMYFUNCTION("""COMPUTED_VALUE"""),"MNN27")</f>
        <v>MNN27</v>
      </c>
      <c r="E909" s="2" t="str">
        <f>IFERROR(__xludf.DUMMYFUNCTION("""COMPUTED_VALUE"""),"Imported from file DigiZag Bidding Codes.xlsx")</f>
        <v>Imported from file DigiZag Bidding Codes.xlsx</v>
      </c>
      <c r="F909" s="2" t="str">
        <f>IFERROR(__xludf.DUMMYFUNCTION("""COMPUTED_VALUE"""),"NSZ109498")</f>
        <v>NSZ109498</v>
      </c>
      <c r="G909" s="2" t="str">
        <f>IFERROR(__xludf.DUMMYFUNCTION("""COMPUTED_VALUE"""),"Kingdom of Saudi Arabia")</f>
        <v>Kingdom of Saudi Arabia</v>
      </c>
      <c r="H909" s="4">
        <f>IFERROR(__xludf.DUMMYFUNCTION("""COMPUTED_VALUE"""),169.0)</f>
        <v>169</v>
      </c>
      <c r="I909" s="3">
        <f>IFERROR(__xludf.DUMMYFUNCTION("""COMPUTED_VALUE"""),0.0)</f>
        <v>0</v>
      </c>
      <c r="J909" s="4">
        <f>IFERROR(__xludf.DUMMYFUNCTION("""COMPUTED_VALUE"""),30.0)</f>
        <v>30</v>
      </c>
      <c r="K909" s="2"/>
      <c r="L909" s="2" t="str">
        <f>IFERROR(__xludf.DUMMYFUNCTION("""COMPUTED_VALUE"""),"Delivered")</f>
        <v>Delivered</v>
      </c>
      <c r="M909" s="2" t="str">
        <f>IFERROR(__xludf.DUMMYFUNCTION("""COMPUTED_VALUE"""),"")</f>
        <v></v>
      </c>
      <c r="N909" s="2" t="str">
        <f>IFERROR(__xludf.DUMMYFUNCTION("""COMPUTED_VALUE"""),"Credit, Debit, Apple Pay")</f>
        <v>Credit, Debit, Apple Pay</v>
      </c>
      <c r="O909" s="4">
        <f>IFERROR(__xludf.DUMMYFUNCTION("""COMPUTED_VALUE"""),0.0)</f>
        <v>0</v>
      </c>
      <c r="P909" s="2">
        <f>IFERROR(__xludf.DUMMYFUNCTION("""COMPUTED_VALUE"""),9.0)</f>
        <v>9</v>
      </c>
      <c r="Q909" s="2">
        <f>IFERROR(__xludf.DUMMYFUNCTION("""COMPUTED_VALUE"""),8.0)</f>
        <v>8</v>
      </c>
      <c r="R909" s="2">
        <f>IFERROR(__xludf.DUMMYFUNCTION("""COMPUTED_VALUE"""),2025.0)</f>
        <v>2025</v>
      </c>
      <c r="S909" s="2" t="str">
        <f>IFERROR(__xludf.DUMMYFUNCTION("""COMPUTED_VALUE"""),"Digizag")</f>
        <v>Digizag</v>
      </c>
      <c r="T909" s="2" t="str">
        <f>IFERROR(__xludf.DUMMYFUNCTION("""COMPUTED_VALUE"""),"Digizag")</f>
        <v>Digizag</v>
      </c>
      <c r="U909" s="5">
        <f>IFERROR(__xludf.DUMMYFUNCTION("""COMPUTED_VALUE"""),45.06318177400001)</f>
        <v>45.06318177</v>
      </c>
      <c r="V909" s="2"/>
      <c r="W909" s="2"/>
      <c r="X909" s="2"/>
      <c r="Y909" s="2"/>
      <c r="Z909" s="2"/>
    </row>
    <row r="910">
      <c r="A910" s="6">
        <f>IFERROR(__xludf.DUMMYFUNCTION("""COMPUTED_VALUE"""),45878.53333333333)</f>
        <v>45878.53333</v>
      </c>
      <c r="B910" s="2" t="str">
        <f>IFERROR(__xludf.DUMMYFUNCTION("""COMPUTED_VALUE"""),"August")</f>
        <v>August</v>
      </c>
      <c r="C910" s="3">
        <f>IFERROR(__xludf.DUMMYFUNCTION("""COMPUTED_VALUE"""),325049.0)</f>
        <v>325049</v>
      </c>
      <c r="D910" s="2" t="str">
        <f>IFERROR(__xludf.DUMMYFUNCTION("""COMPUTED_VALUE"""),"DG10")</f>
        <v>DG10</v>
      </c>
      <c r="E910" s="2" t="str">
        <f>IFERROR(__xludf.DUMMYFUNCTION("""COMPUTED_VALUE"""),"Imported from file Digizag.xlsx")</f>
        <v>Imported from file Digizag.xlsx</v>
      </c>
      <c r="F910" s="2" t="str">
        <f>IFERROR(__xludf.DUMMYFUNCTION("""COMPUTED_VALUE"""),"KGS829783")</f>
        <v>KGS829783</v>
      </c>
      <c r="G910" s="2" t="str">
        <f>IFERROR(__xludf.DUMMYFUNCTION("""COMPUTED_VALUE"""),"Kingdom of Saudi Arabia")</f>
        <v>Kingdom of Saudi Arabia</v>
      </c>
      <c r="H910" s="4">
        <f>IFERROR(__xludf.DUMMYFUNCTION("""COMPUTED_VALUE"""),81.94)</f>
        <v>81.94</v>
      </c>
      <c r="I910" s="3">
        <f>IFERROR(__xludf.DUMMYFUNCTION("""COMPUTED_VALUE"""),0.0)</f>
        <v>0</v>
      </c>
      <c r="J910" s="4">
        <f>IFERROR(__xludf.DUMMYFUNCTION("""COMPUTED_VALUE"""),20.48)</f>
        <v>20.48</v>
      </c>
      <c r="K910" s="2"/>
      <c r="L910" s="2" t="str">
        <f>IFERROR(__xludf.DUMMYFUNCTION("""COMPUTED_VALUE"""),"Delivered")</f>
        <v>Delivered</v>
      </c>
      <c r="M910" s="2" t="str">
        <f>IFERROR(__xludf.DUMMYFUNCTION("""COMPUTED_VALUE"""),"")</f>
        <v></v>
      </c>
      <c r="N910" s="2" t="str">
        <f>IFERROR(__xludf.DUMMYFUNCTION("""COMPUTED_VALUE"""),"Credit, Debit, Apple Pay")</f>
        <v>Credit, Debit, Apple Pay</v>
      </c>
      <c r="O910" s="4">
        <f>IFERROR(__xludf.DUMMYFUNCTION("""COMPUTED_VALUE"""),0.0)</f>
        <v>0</v>
      </c>
      <c r="P910" s="2">
        <f>IFERROR(__xludf.DUMMYFUNCTION("""COMPUTED_VALUE"""),9.0)</f>
        <v>9</v>
      </c>
      <c r="Q910" s="2">
        <f>IFERROR(__xludf.DUMMYFUNCTION("""COMPUTED_VALUE"""),8.0)</f>
        <v>8</v>
      </c>
      <c r="R910" s="2">
        <f>IFERROR(__xludf.DUMMYFUNCTION("""COMPUTED_VALUE"""),2025.0)</f>
        <v>2025</v>
      </c>
      <c r="S910" s="2" t="str">
        <f>IFERROR(__xludf.DUMMYFUNCTION("""COMPUTED_VALUE"""),"Digizag")</f>
        <v>Digizag</v>
      </c>
      <c r="T910" s="2" t="str">
        <f>IFERROR(__xludf.DUMMYFUNCTION("""COMPUTED_VALUE"""),"Digizag")</f>
        <v>Digizag</v>
      </c>
      <c r="U910" s="5">
        <f>IFERROR(__xludf.DUMMYFUNCTION("""COMPUTED_VALUE"""),21.848977009240002)</f>
        <v>21.84897701</v>
      </c>
      <c r="V910" s="2"/>
      <c r="W910" s="2"/>
      <c r="X910" s="2"/>
      <c r="Y910" s="2"/>
      <c r="Z910" s="2"/>
    </row>
    <row r="911">
      <c r="A911" s="6">
        <f>IFERROR(__xludf.DUMMYFUNCTION("""COMPUTED_VALUE"""),45878.60618055555)</f>
        <v>45878.60618</v>
      </c>
      <c r="B911" s="2" t="str">
        <f>IFERROR(__xludf.DUMMYFUNCTION("""COMPUTED_VALUE"""),"August")</f>
        <v>August</v>
      </c>
      <c r="C911" s="3">
        <f>IFERROR(__xludf.DUMMYFUNCTION("""COMPUTED_VALUE"""),534121.0)</f>
        <v>534121</v>
      </c>
      <c r="D911" s="2" t="str">
        <f>IFERROR(__xludf.DUMMYFUNCTION("""COMPUTED_VALUE"""),"MNN27")</f>
        <v>MNN27</v>
      </c>
      <c r="E911" s="2" t="str">
        <f>IFERROR(__xludf.DUMMYFUNCTION("""COMPUTED_VALUE"""),"Imported from file DigiZag Codes 25Feb25.xlsx")</f>
        <v>Imported from file DigiZag Codes 25Feb25.xlsx</v>
      </c>
      <c r="F911" s="2" t="str">
        <f>IFERROR(__xludf.DUMMYFUNCTION("""COMPUTED_VALUE"""),"RAW285959")</f>
        <v>RAW285959</v>
      </c>
      <c r="G911" s="2" t="str">
        <f>IFERROR(__xludf.DUMMYFUNCTION("""COMPUTED_VALUE"""),"Kuwait")</f>
        <v>Kuwait</v>
      </c>
      <c r="H911" s="4">
        <f>IFERROR(__xludf.DUMMYFUNCTION("""COMPUTED_VALUE"""),19.6)</f>
        <v>19.6</v>
      </c>
      <c r="I911" s="3">
        <f>IFERROR(__xludf.DUMMYFUNCTION("""COMPUTED_VALUE"""),0.0)</f>
        <v>0</v>
      </c>
      <c r="J911" s="4">
        <f>IFERROR(__xludf.DUMMYFUNCTION("""COMPUTED_VALUE"""),1.96)</f>
        <v>1.96</v>
      </c>
      <c r="K911" s="2"/>
      <c r="L911" s="2" t="str">
        <f>IFERROR(__xludf.DUMMYFUNCTION("""COMPUTED_VALUE"""),"Delivered")</f>
        <v>Delivered</v>
      </c>
      <c r="M911" s="2" t="str">
        <f>IFERROR(__xludf.DUMMYFUNCTION("""COMPUTED_VALUE"""),"KD")</f>
        <v>KD</v>
      </c>
      <c r="N911" s="2" t="str">
        <f>IFERROR(__xludf.DUMMYFUNCTION("""COMPUTED_VALUE"""),"Credit, Debit, Knet")</f>
        <v>Credit, Debit, Knet</v>
      </c>
      <c r="O911" s="4">
        <f>IFERROR(__xludf.DUMMYFUNCTION("""COMPUTED_VALUE"""),0.0)</f>
        <v>0</v>
      </c>
      <c r="P911" s="2">
        <f>IFERROR(__xludf.DUMMYFUNCTION("""COMPUTED_VALUE"""),9.0)</f>
        <v>9</v>
      </c>
      <c r="Q911" s="2">
        <f>IFERROR(__xludf.DUMMYFUNCTION("""COMPUTED_VALUE"""),8.0)</f>
        <v>8</v>
      </c>
      <c r="R911" s="2">
        <f>IFERROR(__xludf.DUMMYFUNCTION("""COMPUTED_VALUE"""),2025.0)</f>
        <v>2025</v>
      </c>
      <c r="S911" s="2" t="str">
        <f>IFERROR(__xludf.DUMMYFUNCTION("""COMPUTED_VALUE"""),"Digizag")</f>
        <v>Digizag</v>
      </c>
      <c r="T911" s="2" t="str">
        <f>IFERROR(__xludf.DUMMYFUNCTION("""COMPUTED_VALUE"""),"Digizag")</f>
        <v>Digizag</v>
      </c>
      <c r="U911" s="5">
        <f>IFERROR(__xludf.DUMMYFUNCTION("""COMPUTED_VALUE"""),63.908152)</f>
        <v>63.908152</v>
      </c>
      <c r="V911" s="2"/>
      <c r="W911" s="2"/>
      <c r="X911" s="2"/>
      <c r="Y911" s="2"/>
      <c r="Z911" s="2"/>
    </row>
    <row r="912">
      <c r="A912" s="6">
        <f>IFERROR(__xludf.DUMMYFUNCTION("""COMPUTED_VALUE"""),45879.29649305555)</f>
        <v>45879.29649</v>
      </c>
      <c r="B912" s="2" t="str">
        <f>IFERROR(__xludf.DUMMYFUNCTION("""COMPUTED_VALUE"""),"August")</f>
        <v>August</v>
      </c>
      <c r="C912" s="3">
        <f>IFERROR(__xludf.DUMMYFUNCTION("""COMPUTED_VALUE"""),783887.0)</f>
        <v>783887</v>
      </c>
      <c r="D912" s="2" t="str">
        <f>IFERROR(__xludf.DUMMYFUNCTION("""COMPUTED_VALUE"""),"MNN27")</f>
        <v>MNN27</v>
      </c>
      <c r="E912" s="2" t="str">
        <f>IFERROR(__xludf.DUMMYFUNCTION("""COMPUTED_VALUE"""),"Imported from file DigiZag Codes 25Feb25.xlsx")</f>
        <v>Imported from file DigiZag Codes 25Feb25.xlsx</v>
      </c>
      <c r="F912" s="2" t="str">
        <f>IFERROR(__xludf.DUMMYFUNCTION("""COMPUTED_VALUE"""),"RRN261743")</f>
        <v>RRN261743</v>
      </c>
      <c r="G912" s="2" t="str">
        <f>IFERROR(__xludf.DUMMYFUNCTION("""COMPUTED_VALUE"""),"UAE")</f>
        <v>UAE</v>
      </c>
      <c r="H912" s="4">
        <f>IFERROR(__xludf.DUMMYFUNCTION("""COMPUTED_VALUE"""),287.5)</f>
        <v>287.5</v>
      </c>
      <c r="I912" s="3">
        <f>IFERROR(__xludf.DUMMYFUNCTION("""COMPUTED_VALUE"""),0.0)</f>
        <v>0</v>
      </c>
      <c r="J912" s="4">
        <f>IFERROR(__xludf.DUMMYFUNCTION("""COMPUTED_VALUE"""),28.75)</f>
        <v>28.75</v>
      </c>
      <c r="K912" s="2"/>
      <c r="L912" s="2" t="str">
        <f>IFERROR(__xludf.DUMMYFUNCTION("""COMPUTED_VALUE"""),"Delivered")</f>
        <v>Delivered</v>
      </c>
      <c r="M912" s="2" t="str">
        <f>IFERROR(__xludf.DUMMYFUNCTION("""COMPUTED_VALUE"""),"")</f>
        <v></v>
      </c>
      <c r="N912" s="2" t="str">
        <f>IFERROR(__xludf.DUMMYFUNCTION("""COMPUTED_VALUE"""),"Cash")</f>
        <v>Cash</v>
      </c>
      <c r="O912" s="4">
        <f>IFERROR(__xludf.DUMMYFUNCTION("""COMPUTED_VALUE"""),0.0)</f>
        <v>0</v>
      </c>
      <c r="P912" s="2">
        <f>IFERROR(__xludf.DUMMYFUNCTION("""COMPUTED_VALUE"""),10.0)</f>
        <v>10</v>
      </c>
      <c r="Q912" s="2">
        <f>IFERROR(__xludf.DUMMYFUNCTION("""COMPUTED_VALUE"""),8.0)</f>
        <v>8</v>
      </c>
      <c r="R912" s="2">
        <f>IFERROR(__xludf.DUMMYFUNCTION("""COMPUTED_VALUE"""),2025.0)</f>
        <v>2025</v>
      </c>
      <c r="S912" s="2" t="str">
        <f>IFERROR(__xludf.DUMMYFUNCTION("""COMPUTED_VALUE"""),"Digizag")</f>
        <v>Digizag</v>
      </c>
      <c r="T912" s="2" t="str">
        <f>IFERROR(__xludf.DUMMYFUNCTION("""COMPUTED_VALUE"""),"Digizag")</f>
        <v>Digizag</v>
      </c>
      <c r="U912" s="5">
        <f>IFERROR(__xludf.DUMMYFUNCTION("""COMPUTED_VALUE"""),78.284547425)</f>
        <v>78.28454743</v>
      </c>
      <c r="V912" s="2"/>
      <c r="W912" s="2"/>
      <c r="X912" s="2"/>
      <c r="Y912" s="2"/>
      <c r="Z912" s="2"/>
    </row>
    <row r="913">
      <c r="A913" s="6">
        <f>IFERROR(__xludf.DUMMYFUNCTION("""COMPUTED_VALUE"""),45879.55318287037)</f>
        <v>45879.55318</v>
      </c>
      <c r="B913" s="2" t="str">
        <f>IFERROR(__xludf.DUMMYFUNCTION("""COMPUTED_VALUE"""),"August")</f>
        <v>August</v>
      </c>
      <c r="C913" s="3">
        <f>IFERROR(__xludf.DUMMYFUNCTION("""COMPUTED_VALUE"""),425778.0)</f>
        <v>425778</v>
      </c>
      <c r="D913" s="2" t="str">
        <f>IFERROR(__xludf.DUMMYFUNCTION("""COMPUTED_VALUE"""),"ZM22")</f>
        <v>ZM22</v>
      </c>
      <c r="E913" s="2" t="str">
        <f>IFERROR(__xludf.DUMMYFUNCTION("""COMPUTED_VALUE"""),"Imported from file Digizag.xlsx")</f>
        <v>Imported from file Digizag.xlsx</v>
      </c>
      <c r="F913" s="2" t="str">
        <f>IFERROR(__xludf.DUMMYFUNCTION("""COMPUTED_VALUE"""),"XJA950027")</f>
        <v>XJA950027</v>
      </c>
      <c r="G913" s="2" t="str">
        <f>IFERROR(__xludf.DUMMYFUNCTION("""COMPUTED_VALUE"""),"UAE")</f>
        <v>UAE</v>
      </c>
      <c r="H913" s="4">
        <f>IFERROR(__xludf.DUMMYFUNCTION("""COMPUTED_VALUE"""),167.0)</f>
        <v>167</v>
      </c>
      <c r="I913" s="3">
        <f>IFERROR(__xludf.DUMMYFUNCTION("""COMPUTED_VALUE"""),0.0)</f>
        <v>0</v>
      </c>
      <c r="J913" s="4">
        <f>IFERROR(__xludf.DUMMYFUNCTION("""COMPUTED_VALUE"""),16.7)</f>
        <v>16.7</v>
      </c>
      <c r="K913" s="2"/>
      <c r="L913" s="2" t="str">
        <f>IFERROR(__xludf.DUMMYFUNCTION("""COMPUTED_VALUE"""),"Delivered")</f>
        <v>Delivered</v>
      </c>
      <c r="M913" s="2" t="str">
        <f>IFERROR(__xludf.DUMMYFUNCTION("""COMPUTED_VALUE"""),"")</f>
        <v></v>
      </c>
      <c r="N913" s="2" t="str">
        <f>IFERROR(__xludf.DUMMYFUNCTION("""COMPUTED_VALUE"""),"Credit, Debit , Apple Pay")</f>
        <v>Credit, Debit , Apple Pay</v>
      </c>
      <c r="O913" s="4">
        <f>IFERROR(__xludf.DUMMYFUNCTION("""COMPUTED_VALUE"""),0.0)</f>
        <v>0</v>
      </c>
      <c r="P913" s="2">
        <f>IFERROR(__xludf.DUMMYFUNCTION("""COMPUTED_VALUE"""),10.0)</f>
        <v>10</v>
      </c>
      <c r="Q913" s="2">
        <f>IFERROR(__xludf.DUMMYFUNCTION("""COMPUTED_VALUE"""),8.0)</f>
        <v>8</v>
      </c>
      <c r="R913" s="2">
        <f>IFERROR(__xludf.DUMMYFUNCTION("""COMPUTED_VALUE"""),2025.0)</f>
        <v>2025</v>
      </c>
      <c r="S913" s="2" t="str">
        <f>IFERROR(__xludf.DUMMYFUNCTION("""COMPUTED_VALUE"""),"Digizag")</f>
        <v>Digizag</v>
      </c>
      <c r="T913" s="2" t="str">
        <f>IFERROR(__xludf.DUMMYFUNCTION("""COMPUTED_VALUE"""),"Digizag")</f>
        <v>Digizag</v>
      </c>
      <c r="U913" s="5">
        <f>IFERROR(__xludf.DUMMYFUNCTION("""COMPUTED_VALUE"""),45.473111026)</f>
        <v>45.47311103</v>
      </c>
      <c r="V913" s="2"/>
      <c r="W913" s="2"/>
      <c r="X913" s="2"/>
      <c r="Y913" s="2"/>
      <c r="Z913" s="2"/>
    </row>
    <row r="914">
      <c r="A914" s="6">
        <f>IFERROR(__xludf.DUMMYFUNCTION("""COMPUTED_VALUE"""),45879.60836805555)</f>
        <v>45879.60837</v>
      </c>
      <c r="B914" s="2" t="str">
        <f>IFERROR(__xludf.DUMMYFUNCTION("""COMPUTED_VALUE"""),"August")</f>
        <v>August</v>
      </c>
      <c r="C914" s="3">
        <f>IFERROR(__xludf.DUMMYFUNCTION("""COMPUTED_VALUE"""),784128.0)</f>
        <v>784128</v>
      </c>
      <c r="D914" s="2" t="str">
        <f>IFERROR(__xludf.DUMMYFUNCTION("""COMPUTED_VALUE"""),"MNN27")</f>
        <v>MNN27</v>
      </c>
      <c r="E914" s="2" t="str">
        <f>IFERROR(__xludf.DUMMYFUNCTION("""COMPUTED_VALUE"""),"Imported from file DigiZag Codes 25Feb25.xlsx")</f>
        <v>Imported from file DigiZag Codes 25Feb25.xlsx</v>
      </c>
      <c r="F914" s="2" t="str">
        <f>IFERROR(__xludf.DUMMYFUNCTION("""COMPUTED_VALUE"""),"ZJG412804")</f>
        <v>ZJG412804</v>
      </c>
      <c r="G914" s="2" t="str">
        <f>IFERROR(__xludf.DUMMYFUNCTION("""COMPUTED_VALUE"""),"Bahrain")</f>
        <v>Bahrain</v>
      </c>
      <c r="H914" s="4">
        <f>IFERROR(__xludf.DUMMYFUNCTION("""COMPUTED_VALUE"""),35.61)</f>
        <v>35.61</v>
      </c>
      <c r="I914" s="3">
        <f>IFERROR(__xludf.DUMMYFUNCTION("""COMPUTED_VALUE"""),0.0)</f>
        <v>0</v>
      </c>
      <c r="J914" s="4">
        <f>IFERROR(__xludf.DUMMYFUNCTION("""COMPUTED_VALUE"""),3.55)</f>
        <v>3.55</v>
      </c>
      <c r="K914" s="2"/>
      <c r="L914" s="2" t="str">
        <f>IFERROR(__xludf.DUMMYFUNCTION("""COMPUTED_VALUE"""),"Delivered")</f>
        <v>Delivered</v>
      </c>
      <c r="M914" s="2" t="str">
        <f>IFERROR(__xludf.DUMMYFUNCTION("""COMPUTED_VALUE"""),"BHD")</f>
        <v>BHD</v>
      </c>
      <c r="N914" s="2" t="str">
        <f>IFERROR(__xludf.DUMMYFUNCTION("""COMPUTED_VALUE"""),"Credit, Debit")</f>
        <v>Credit, Debit</v>
      </c>
      <c r="O914" s="4">
        <f>IFERROR(__xludf.DUMMYFUNCTION("""COMPUTED_VALUE"""),0.0)</f>
        <v>0</v>
      </c>
      <c r="P914" s="2">
        <f>IFERROR(__xludf.DUMMYFUNCTION("""COMPUTED_VALUE"""),10.0)</f>
        <v>10</v>
      </c>
      <c r="Q914" s="2">
        <f>IFERROR(__xludf.DUMMYFUNCTION("""COMPUTED_VALUE"""),8.0)</f>
        <v>8</v>
      </c>
      <c r="R914" s="2">
        <f>IFERROR(__xludf.DUMMYFUNCTION("""COMPUTED_VALUE"""),2025.0)</f>
        <v>2025</v>
      </c>
      <c r="S914" s="2" t="str">
        <f>IFERROR(__xludf.DUMMYFUNCTION("""COMPUTED_VALUE"""),"Digizag")</f>
        <v>Digizag</v>
      </c>
      <c r="T914" s="2" t="str">
        <f>IFERROR(__xludf.DUMMYFUNCTION("""COMPUTED_VALUE"""),"Digizag")</f>
        <v>Digizag</v>
      </c>
      <c r="U914" s="5">
        <f>IFERROR(__xludf.DUMMYFUNCTION("""COMPUTED_VALUE"""),94.47037437)</f>
        <v>94.47037437</v>
      </c>
      <c r="V914" s="2"/>
      <c r="W914" s="2"/>
      <c r="X914" s="2"/>
      <c r="Y914" s="2"/>
      <c r="Z914" s="2"/>
    </row>
    <row r="915">
      <c r="A915" s="6">
        <f>IFERROR(__xludf.DUMMYFUNCTION("""COMPUTED_VALUE"""),45879.69064814815)</f>
        <v>45879.69065</v>
      </c>
      <c r="B915" s="2" t="str">
        <f>IFERROR(__xludf.DUMMYFUNCTION("""COMPUTED_VALUE"""),"August")</f>
        <v>August</v>
      </c>
      <c r="C915" s="3">
        <f>IFERROR(__xludf.DUMMYFUNCTION("""COMPUTED_VALUE"""),783386.0)</f>
        <v>783386</v>
      </c>
      <c r="D915" s="2" t="str">
        <f>IFERROR(__xludf.DUMMYFUNCTION("""COMPUTED_VALUE"""),"MNN27")</f>
        <v>MNN27</v>
      </c>
      <c r="E915" s="2" t="str">
        <f>IFERROR(__xludf.DUMMYFUNCTION("""COMPUTED_VALUE"""),"Imported from file DigiZag Bidding Codes.xlsx")</f>
        <v>Imported from file DigiZag Bidding Codes.xlsx</v>
      </c>
      <c r="F915" s="2" t="str">
        <f>IFERROR(__xludf.DUMMYFUNCTION("""COMPUTED_VALUE"""),"WGZ660620")</f>
        <v>WGZ660620</v>
      </c>
      <c r="G915" s="2" t="str">
        <f>IFERROR(__xludf.DUMMYFUNCTION("""COMPUTED_VALUE"""),"Kingdom of Saudi Arabia")</f>
        <v>Kingdom of Saudi Arabia</v>
      </c>
      <c r="H915" s="4">
        <f>IFERROR(__xludf.DUMMYFUNCTION("""COMPUTED_VALUE"""),60.0)</f>
        <v>60</v>
      </c>
      <c r="I915" s="3">
        <f>IFERROR(__xludf.DUMMYFUNCTION("""COMPUTED_VALUE"""),0.0)</f>
        <v>0</v>
      </c>
      <c r="J915" s="4">
        <f>IFERROR(__xludf.DUMMYFUNCTION("""COMPUTED_VALUE"""),15.0)</f>
        <v>15</v>
      </c>
      <c r="K915" s="2"/>
      <c r="L915" s="2" t="str">
        <f>IFERROR(__xludf.DUMMYFUNCTION("""COMPUTED_VALUE"""),"Delivered")</f>
        <v>Delivered</v>
      </c>
      <c r="M915" s="2" t="str">
        <f>IFERROR(__xludf.DUMMYFUNCTION("""COMPUTED_VALUE"""),"")</f>
        <v></v>
      </c>
      <c r="N915" s="2" t="str">
        <f>IFERROR(__xludf.DUMMYFUNCTION("""COMPUTED_VALUE"""),"Credit, Debit, Apple Pay")</f>
        <v>Credit, Debit, Apple Pay</v>
      </c>
      <c r="O915" s="4">
        <f>IFERROR(__xludf.DUMMYFUNCTION("""COMPUTED_VALUE"""),0.0)</f>
        <v>0</v>
      </c>
      <c r="P915" s="2">
        <f>IFERROR(__xludf.DUMMYFUNCTION("""COMPUTED_VALUE"""),10.0)</f>
        <v>10</v>
      </c>
      <c r="Q915" s="2">
        <f>IFERROR(__xludf.DUMMYFUNCTION("""COMPUTED_VALUE"""),8.0)</f>
        <v>8</v>
      </c>
      <c r="R915" s="2">
        <f>IFERROR(__xludf.DUMMYFUNCTION("""COMPUTED_VALUE"""),2025.0)</f>
        <v>2025</v>
      </c>
      <c r="S915" s="2" t="str">
        <f>IFERROR(__xludf.DUMMYFUNCTION("""COMPUTED_VALUE"""),"Digizag")</f>
        <v>Digizag</v>
      </c>
      <c r="T915" s="2" t="str">
        <f>IFERROR(__xludf.DUMMYFUNCTION("""COMPUTED_VALUE"""),"Digizag")</f>
        <v>Digizag</v>
      </c>
      <c r="U915" s="5">
        <f>IFERROR(__xludf.DUMMYFUNCTION("""COMPUTED_VALUE"""),15.998762760000002)</f>
        <v>15.99876276</v>
      </c>
      <c r="V915" s="2"/>
      <c r="W915" s="2"/>
      <c r="X915" s="2"/>
      <c r="Y915" s="2"/>
      <c r="Z915" s="2"/>
    </row>
    <row r="916">
      <c r="A916" s="6">
        <f>IFERROR(__xludf.DUMMYFUNCTION("""COMPUTED_VALUE"""),45879.76287037037)</f>
        <v>45879.76287</v>
      </c>
      <c r="B916" s="2" t="str">
        <f>IFERROR(__xludf.DUMMYFUNCTION("""COMPUTED_VALUE"""),"August")</f>
        <v>August</v>
      </c>
      <c r="C916" s="3">
        <f>IFERROR(__xludf.DUMMYFUNCTION("""COMPUTED_VALUE"""),402542.0)</f>
        <v>402542</v>
      </c>
      <c r="D916" s="2" t="str">
        <f>IFERROR(__xludf.DUMMYFUNCTION("""COMPUTED_VALUE"""),"DG10")</f>
        <v>DG10</v>
      </c>
      <c r="E916" s="2" t="str">
        <f>IFERROR(__xludf.DUMMYFUNCTION("""COMPUTED_VALUE"""),"DigiZag")</f>
        <v>DigiZag</v>
      </c>
      <c r="F916" s="2" t="str">
        <f>IFERROR(__xludf.DUMMYFUNCTION("""COMPUTED_VALUE"""),"PMC960301")</f>
        <v>PMC960301</v>
      </c>
      <c r="G916" s="2" t="str">
        <f>IFERROR(__xludf.DUMMYFUNCTION("""COMPUTED_VALUE"""),"UAE")</f>
        <v>UAE</v>
      </c>
      <c r="H916" s="4">
        <f>IFERROR(__xludf.DUMMYFUNCTION("""COMPUTED_VALUE"""),108.0)</f>
        <v>108</v>
      </c>
      <c r="I916" s="3">
        <f>IFERROR(__xludf.DUMMYFUNCTION("""COMPUTED_VALUE"""),0.0)</f>
        <v>0</v>
      </c>
      <c r="J916" s="4">
        <f>IFERROR(__xludf.DUMMYFUNCTION("""COMPUTED_VALUE"""),10.8)</f>
        <v>10.8</v>
      </c>
      <c r="K916" s="2"/>
      <c r="L916" s="2" t="str">
        <f>IFERROR(__xludf.DUMMYFUNCTION("""COMPUTED_VALUE"""),"Delivered")</f>
        <v>Delivered</v>
      </c>
      <c r="M916" s="2" t="str">
        <f>IFERROR(__xludf.DUMMYFUNCTION("""COMPUTED_VALUE"""),"")</f>
        <v></v>
      </c>
      <c r="N916" s="2" t="str">
        <f>IFERROR(__xludf.DUMMYFUNCTION("""COMPUTED_VALUE"""),"Credit, Debit , Apple Pay")</f>
        <v>Credit, Debit , Apple Pay</v>
      </c>
      <c r="O916" s="4">
        <f>IFERROR(__xludf.DUMMYFUNCTION("""COMPUTED_VALUE"""),0.0)</f>
        <v>0</v>
      </c>
      <c r="P916" s="2">
        <f>IFERROR(__xludf.DUMMYFUNCTION("""COMPUTED_VALUE"""),10.0)</f>
        <v>10</v>
      </c>
      <c r="Q916" s="2">
        <f>IFERROR(__xludf.DUMMYFUNCTION("""COMPUTED_VALUE"""),8.0)</f>
        <v>8</v>
      </c>
      <c r="R916" s="2">
        <f>IFERROR(__xludf.DUMMYFUNCTION("""COMPUTED_VALUE"""),2025.0)</f>
        <v>2025</v>
      </c>
      <c r="S916" s="2" t="str">
        <f>IFERROR(__xludf.DUMMYFUNCTION("""COMPUTED_VALUE"""),"Digizag")</f>
        <v>Digizag</v>
      </c>
      <c r="T916" s="2" t="str">
        <f>IFERROR(__xludf.DUMMYFUNCTION("""COMPUTED_VALUE"""),"Digizag")</f>
        <v>Digizag</v>
      </c>
      <c r="U916" s="5">
        <f>IFERROR(__xludf.DUMMYFUNCTION("""COMPUTED_VALUE"""),29.407760424)</f>
        <v>29.40776042</v>
      </c>
      <c r="V916" s="2"/>
      <c r="W916" s="2"/>
      <c r="X916" s="2"/>
      <c r="Y916" s="2"/>
      <c r="Z916" s="2"/>
    </row>
    <row r="917">
      <c r="A917" s="6">
        <f>IFERROR(__xludf.DUMMYFUNCTION("""COMPUTED_VALUE"""),45880.21564814814)</f>
        <v>45880.21565</v>
      </c>
      <c r="B917" s="2" t="str">
        <f>IFERROR(__xludf.DUMMYFUNCTION("""COMPUTED_VALUE"""),"August")</f>
        <v>August</v>
      </c>
      <c r="C917" s="3">
        <f>IFERROR(__xludf.DUMMYFUNCTION("""COMPUTED_VALUE"""),27829.0)</f>
        <v>27829</v>
      </c>
      <c r="D917" s="2" t="str">
        <f>IFERROR(__xludf.DUMMYFUNCTION("""COMPUTED_VALUE"""),"CC22")</f>
        <v>CC22</v>
      </c>
      <c r="E917" s="2" t="str">
        <f>IFERROR(__xludf.DUMMYFUNCTION("""COMPUTED_VALUE"""),"Imported from file Digizag.xlsx")</f>
        <v>Imported from file Digizag.xlsx</v>
      </c>
      <c r="F917" s="2" t="str">
        <f>IFERROR(__xludf.DUMMYFUNCTION("""COMPUTED_VALUE"""),"BYY838630")</f>
        <v>BYY838630</v>
      </c>
      <c r="G917" s="2" t="str">
        <f>IFERROR(__xludf.DUMMYFUNCTION("""COMPUTED_VALUE"""),"Kuwait")</f>
        <v>Kuwait</v>
      </c>
      <c r="H917" s="4">
        <f>IFERROR(__xludf.DUMMYFUNCTION("""COMPUTED_VALUE"""),28.56)</f>
        <v>28.56</v>
      </c>
      <c r="I917" s="3">
        <f>IFERROR(__xludf.DUMMYFUNCTION("""COMPUTED_VALUE"""),0.0)</f>
        <v>0</v>
      </c>
      <c r="J917" s="4">
        <f>IFERROR(__xludf.DUMMYFUNCTION("""COMPUTED_VALUE"""),2.856)</f>
        <v>2.856</v>
      </c>
      <c r="K917" s="2"/>
      <c r="L917" s="2" t="str">
        <f>IFERROR(__xludf.DUMMYFUNCTION("""COMPUTED_VALUE"""),"Delivered")</f>
        <v>Delivered</v>
      </c>
      <c r="M917" s="2" t="str">
        <f>IFERROR(__xludf.DUMMYFUNCTION("""COMPUTED_VALUE"""),"KD")</f>
        <v>KD</v>
      </c>
      <c r="N917" s="2" t="str">
        <f>IFERROR(__xludf.DUMMYFUNCTION("""COMPUTED_VALUE"""),"Credit, Debit, Knet")</f>
        <v>Credit, Debit, Knet</v>
      </c>
      <c r="O917" s="4">
        <f>IFERROR(__xludf.DUMMYFUNCTION("""COMPUTED_VALUE"""),0.0)</f>
        <v>0</v>
      </c>
      <c r="P917" s="2">
        <f>IFERROR(__xludf.DUMMYFUNCTION("""COMPUTED_VALUE"""),11.0)</f>
        <v>11</v>
      </c>
      <c r="Q917" s="2">
        <f>IFERROR(__xludf.DUMMYFUNCTION("""COMPUTED_VALUE"""),8.0)</f>
        <v>8</v>
      </c>
      <c r="R917" s="2">
        <f>IFERROR(__xludf.DUMMYFUNCTION("""COMPUTED_VALUE"""),2025.0)</f>
        <v>2025</v>
      </c>
      <c r="S917" s="2" t="str">
        <f>IFERROR(__xludf.DUMMYFUNCTION("""COMPUTED_VALUE"""),"Digizag")</f>
        <v>Digizag</v>
      </c>
      <c r="T917" s="2" t="str">
        <f>IFERROR(__xludf.DUMMYFUNCTION("""COMPUTED_VALUE"""),"Digizag")</f>
        <v>Digizag</v>
      </c>
      <c r="U917" s="5">
        <f>IFERROR(__xludf.DUMMYFUNCTION("""COMPUTED_VALUE"""),93.12330719999999)</f>
        <v>93.1233072</v>
      </c>
      <c r="V917" s="2"/>
      <c r="W917" s="2"/>
      <c r="X917" s="2"/>
      <c r="Y917" s="2"/>
      <c r="Z917" s="2"/>
    </row>
    <row r="918">
      <c r="A918" s="6">
        <f>IFERROR(__xludf.DUMMYFUNCTION("""COMPUTED_VALUE"""),45880.354675925926)</f>
        <v>45880.35468</v>
      </c>
      <c r="B918" s="2" t="str">
        <f>IFERROR(__xludf.DUMMYFUNCTION("""COMPUTED_VALUE"""),"August")</f>
        <v>August</v>
      </c>
      <c r="C918" s="3">
        <f>IFERROR(__xludf.DUMMYFUNCTION("""COMPUTED_VALUE"""),25653.0)</f>
        <v>25653</v>
      </c>
      <c r="D918" s="2" t="str">
        <f>IFERROR(__xludf.DUMMYFUNCTION("""COMPUTED_VALUE"""),"MNN27")</f>
        <v>MNN27</v>
      </c>
      <c r="E918" s="2" t="str">
        <f>IFERROR(__xludf.DUMMYFUNCTION("""COMPUTED_VALUE"""),"Imported from file DigiZag Bidding Codes.xlsx")</f>
        <v>Imported from file DigiZag Bidding Codes.xlsx</v>
      </c>
      <c r="F918" s="2" t="str">
        <f>IFERROR(__xludf.DUMMYFUNCTION("""COMPUTED_VALUE"""),"YVJ194848")</f>
        <v>YVJ194848</v>
      </c>
      <c r="G918" s="2" t="str">
        <f>IFERROR(__xludf.DUMMYFUNCTION("""COMPUTED_VALUE"""),"Kingdom of Saudi Arabia")</f>
        <v>Kingdom of Saudi Arabia</v>
      </c>
      <c r="H918" s="4">
        <f>IFERROR(__xludf.DUMMYFUNCTION("""COMPUTED_VALUE"""),290.0)</f>
        <v>290</v>
      </c>
      <c r="I918" s="3">
        <f>IFERROR(__xludf.DUMMYFUNCTION("""COMPUTED_VALUE"""),0.0)</f>
        <v>0</v>
      </c>
      <c r="J918" s="4">
        <f>IFERROR(__xludf.DUMMYFUNCTION("""COMPUTED_VALUE"""),30.0)</f>
        <v>30</v>
      </c>
      <c r="K918" s="2"/>
      <c r="L918" s="2" t="str">
        <f>IFERROR(__xludf.DUMMYFUNCTION("""COMPUTED_VALUE"""),"Delivered")</f>
        <v>Delivered</v>
      </c>
      <c r="M918" s="2" t="str">
        <f>IFERROR(__xludf.DUMMYFUNCTION("""COMPUTED_VALUE"""),"")</f>
        <v></v>
      </c>
      <c r="N918" s="2" t="str">
        <f>IFERROR(__xludf.DUMMYFUNCTION("""COMPUTED_VALUE"""),"Credit, Debit, Apple Pay")</f>
        <v>Credit, Debit, Apple Pay</v>
      </c>
      <c r="O918" s="4">
        <f>IFERROR(__xludf.DUMMYFUNCTION("""COMPUTED_VALUE"""),0.0)</f>
        <v>0</v>
      </c>
      <c r="P918" s="2">
        <f>IFERROR(__xludf.DUMMYFUNCTION("""COMPUTED_VALUE"""),11.0)</f>
        <v>11</v>
      </c>
      <c r="Q918" s="2">
        <f>IFERROR(__xludf.DUMMYFUNCTION("""COMPUTED_VALUE"""),8.0)</f>
        <v>8</v>
      </c>
      <c r="R918" s="2">
        <f>IFERROR(__xludf.DUMMYFUNCTION("""COMPUTED_VALUE"""),2025.0)</f>
        <v>2025</v>
      </c>
      <c r="S918" s="2" t="str">
        <f>IFERROR(__xludf.DUMMYFUNCTION("""COMPUTED_VALUE"""),"Digizag")</f>
        <v>Digizag</v>
      </c>
      <c r="T918" s="2" t="str">
        <f>IFERROR(__xludf.DUMMYFUNCTION("""COMPUTED_VALUE"""),"Digizag")</f>
        <v>Digizag</v>
      </c>
      <c r="U918" s="5">
        <f>IFERROR(__xludf.DUMMYFUNCTION("""COMPUTED_VALUE"""),77.32735334)</f>
        <v>77.32735334</v>
      </c>
      <c r="V918" s="2"/>
      <c r="W918" s="2"/>
      <c r="X918" s="2"/>
      <c r="Y918" s="2"/>
      <c r="Z918" s="2"/>
    </row>
    <row r="919">
      <c r="A919" s="6">
        <f>IFERROR(__xludf.DUMMYFUNCTION("""COMPUTED_VALUE"""),45880.37378472222)</f>
        <v>45880.37378</v>
      </c>
      <c r="B919" s="2" t="str">
        <f>IFERROR(__xludf.DUMMYFUNCTION("""COMPUTED_VALUE"""),"August")</f>
        <v>August</v>
      </c>
      <c r="C919" s="3">
        <f>IFERROR(__xludf.DUMMYFUNCTION("""COMPUTED_VALUE"""),386002.0)</f>
        <v>386002</v>
      </c>
      <c r="D919" s="2" t="str">
        <f>IFERROR(__xludf.DUMMYFUNCTION("""COMPUTED_VALUE"""),"CC22")</f>
        <v>CC22</v>
      </c>
      <c r="E919" s="2" t="str">
        <f>IFERROR(__xludf.DUMMYFUNCTION("""COMPUTED_VALUE"""),"Imported from file Digizag.xlsx")</f>
        <v>Imported from file Digizag.xlsx</v>
      </c>
      <c r="F919" s="2" t="str">
        <f>IFERROR(__xludf.DUMMYFUNCTION("""COMPUTED_VALUE"""),"BWV334471")</f>
        <v>BWV334471</v>
      </c>
      <c r="G919" s="2" t="str">
        <f>IFERROR(__xludf.DUMMYFUNCTION("""COMPUTED_VALUE"""),"Kingdom of Saudi Arabia")</f>
        <v>Kingdom of Saudi Arabia</v>
      </c>
      <c r="H919" s="4">
        <f>IFERROR(__xludf.DUMMYFUNCTION("""COMPUTED_VALUE"""),109.9)</f>
        <v>109.9</v>
      </c>
      <c r="I919" s="3">
        <f>IFERROR(__xludf.DUMMYFUNCTION("""COMPUTED_VALUE"""),0.0)</f>
        <v>0</v>
      </c>
      <c r="J919" s="4">
        <f>IFERROR(__xludf.DUMMYFUNCTION("""COMPUTED_VALUE"""),27.47)</f>
        <v>27.47</v>
      </c>
      <c r="K919" s="2"/>
      <c r="L919" s="2" t="str">
        <f>IFERROR(__xludf.DUMMYFUNCTION("""COMPUTED_VALUE"""),"Delivered")</f>
        <v>Delivered</v>
      </c>
      <c r="M919" s="2" t="str">
        <f>IFERROR(__xludf.DUMMYFUNCTION("""COMPUTED_VALUE"""),"")</f>
        <v></v>
      </c>
      <c r="N919" s="2" t="str">
        <f>IFERROR(__xludf.DUMMYFUNCTION("""COMPUTED_VALUE"""),"Credit, Debit, Apple Pay")</f>
        <v>Credit, Debit, Apple Pay</v>
      </c>
      <c r="O919" s="4">
        <f>IFERROR(__xludf.DUMMYFUNCTION("""COMPUTED_VALUE"""),0.0)</f>
        <v>0</v>
      </c>
      <c r="P919" s="2">
        <f>IFERROR(__xludf.DUMMYFUNCTION("""COMPUTED_VALUE"""),11.0)</f>
        <v>11</v>
      </c>
      <c r="Q919" s="2">
        <f>IFERROR(__xludf.DUMMYFUNCTION("""COMPUTED_VALUE"""),8.0)</f>
        <v>8</v>
      </c>
      <c r="R919" s="2">
        <f>IFERROR(__xludf.DUMMYFUNCTION("""COMPUTED_VALUE"""),2025.0)</f>
        <v>2025</v>
      </c>
      <c r="S919" s="2" t="str">
        <f>IFERROR(__xludf.DUMMYFUNCTION("""COMPUTED_VALUE"""),"Digizag")</f>
        <v>Digizag</v>
      </c>
      <c r="T919" s="2" t="str">
        <f>IFERROR(__xludf.DUMMYFUNCTION("""COMPUTED_VALUE"""),"Digizag")</f>
        <v>Digizag</v>
      </c>
      <c r="U919" s="5">
        <f>IFERROR(__xludf.DUMMYFUNCTION("""COMPUTED_VALUE"""),29.304400455400003)</f>
        <v>29.30440046</v>
      </c>
      <c r="V919" s="2"/>
      <c r="W919" s="2"/>
      <c r="X919" s="2"/>
      <c r="Y919" s="2"/>
      <c r="Z919" s="2"/>
    </row>
    <row r="920">
      <c r="A920" s="6">
        <f>IFERROR(__xludf.DUMMYFUNCTION("""COMPUTED_VALUE"""),45880.59894675926)</f>
        <v>45880.59895</v>
      </c>
      <c r="B920" s="2" t="str">
        <f>IFERROR(__xludf.DUMMYFUNCTION("""COMPUTED_VALUE"""),"August")</f>
        <v>August</v>
      </c>
      <c r="C920" s="3">
        <f>IFERROR(__xludf.DUMMYFUNCTION("""COMPUTED_VALUE"""),42892.0)</f>
        <v>42892</v>
      </c>
      <c r="D920" s="2" t="str">
        <f>IFERROR(__xludf.DUMMYFUNCTION("""COMPUTED_VALUE"""),"MNN27")</f>
        <v>MNN27</v>
      </c>
      <c r="E920" s="2" t="str">
        <f>IFERROR(__xludf.DUMMYFUNCTION("""COMPUTED_VALUE"""),"Imported from file DigiZag Bidding Codes.xlsx")</f>
        <v>Imported from file DigiZag Bidding Codes.xlsx</v>
      </c>
      <c r="F920" s="2" t="str">
        <f>IFERROR(__xludf.DUMMYFUNCTION("""COMPUTED_VALUE"""),"WRT809282")</f>
        <v>WRT809282</v>
      </c>
      <c r="G920" s="2" t="str">
        <f>IFERROR(__xludf.DUMMYFUNCTION("""COMPUTED_VALUE"""),"Kingdom of Saudi Arabia")</f>
        <v>Kingdom of Saudi Arabia</v>
      </c>
      <c r="H920" s="4">
        <f>IFERROR(__xludf.DUMMYFUNCTION("""COMPUTED_VALUE"""),100.3)</f>
        <v>100.3</v>
      </c>
      <c r="I920" s="3">
        <f>IFERROR(__xludf.DUMMYFUNCTION("""COMPUTED_VALUE"""),0.0)</f>
        <v>0</v>
      </c>
      <c r="J920" s="4">
        <f>IFERROR(__xludf.DUMMYFUNCTION("""COMPUTED_VALUE"""),25.07)</f>
        <v>25.07</v>
      </c>
      <c r="K920" s="2"/>
      <c r="L920" s="2" t="str">
        <f>IFERROR(__xludf.DUMMYFUNCTION("""COMPUTED_VALUE"""),"Delivered")</f>
        <v>Delivered</v>
      </c>
      <c r="M920" s="2" t="str">
        <f>IFERROR(__xludf.DUMMYFUNCTION("""COMPUTED_VALUE"""),"")</f>
        <v></v>
      </c>
      <c r="N920" s="2" t="str">
        <f>IFERROR(__xludf.DUMMYFUNCTION("""COMPUTED_VALUE"""),"Credit, Debit, Apple Pay")</f>
        <v>Credit, Debit, Apple Pay</v>
      </c>
      <c r="O920" s="4">
        <f>IFERROR(__xludf.DUMMYFUNCTION("""COMPUTED_VALUE"""),0.0)</f>
        <v>0</v>
      </c>
      <c r="P920" s="2">
        <f>IFERROR(__xludf.DUMMYFUNCTION("""COMPUTED_VALUE"""),11.0)</f>
        <v>11</v>
      </c>
      <c r="Q920" s="2">
        <f>IFERROR(__xludf.DUMMYFUNCTION("""COMPUTED_VALUE"""),8.0)</f>
        <v>8</v>
      </c>
      <c r="R920" s="2">
        <f>IFERROR(__xludf.DUMMYFUNCTION("""COMPUTED_VALUE"""),2025.0)</f>
        <v>2025</v>
      </c>
      <c r="S920" s="2" t="str">
        <f>IFERROR(__xludf.DUMMYFUNCTION("""COMPUTED_VALUE"""),"Digizag")</f>
        <v>Digizag</v>
      </c>
      <c r="T920" s="2" t="str">
        <f>IFERROR(__xludf.DUMMYFUNCTION("""COMPUTED_VALUE"""),"Digizag")</f>
        <v>Digizag</v>
      </c>
      <c r="U920" s="5">
        <f>IFERROR(__xludf.DUMMYFUNCTION("""COMPUTED_VALUE"""),26.744598413800002)</f>
        <v>26.74459841</v>
      </c>
      <c r="V920" s="2"/>
      <c r="W920" s="2"/>
      <c r="X920" s="2"/>
      <c r="Y920" s="2"/>
      <c r="Z920" s="2"/>
    </row>
    <row r="921">
      <c r="A921" s="6">
        <f>IFERROR(__xludf.DUMMYFUNCTION("""COMPUTED_VALUE"""),45880.841527777775)</f>
        <v>45880.84153</v>
      </c>
      <c r="B921" s="2" t="str">
        <f>IFERROR(__xludf.DUMMYFUNCTION("""COMPUTED_VALUE"""),"August")</f>
        <v>August</v>
      </c>
      <c r="C921" s="3">
        <f>IFERROR(__xludf.DUMMYFUNCTION("""COMPUTED_VALUE"""),285678.0)</f>
        <v>285678</v>
      </c>
      <c r="D921" s="2" t="str">
        <f>IFERROR(__xludf.DUMMYFUNCTION("""COMPUTED_VALUE"""),"ZM22")</f>
        <v>ZM22</v>
      </c>
      <c r="E921" s="2" t="str">
        <f>IFERROR(__xludf.DUMMYFUNCTION("""COMPUTED_VALUE"""),"Imported from file Digizag.xlsx")</f>
        <v>Imported from file Digizag.xlsx</v>
      </c>
      <c r="F921" s="2" t="str">
        <f>IFERROR(__xludf.DUMMYFUNCTION("""COMPUTED_VALUE"""),"MGP584178")</f>
        <v>MGP584178</v>
      </c>
      <c r="G921" s="2" t="str">
        <f>IFERROR(__xludf.DUMMYFUNCTION("""COMPUTED_VALUE"""),"UAE")</f>
        <v>UAE</v>
      </c>
      <c r="H921" s="4">
        <f>IFERROR(__xludf.DUMMYFUNCTION("""COMPUTED_VALUE"""),555.0)</f>
        <v>555</v>
      </c>
      <c r="I921" s="3">
        <f>IFERROR(__xludf.DUMMYFUNCTION("""COMPUTED_VALUE"""),0.0)</f>
        <v>0</v>
      </c>
      <c r="J921" s="4">
        <f>IFERROR(__xludf.DUMMYFUNCTION("""COMPUTED_VALUE"""),55.5)</f>
        <v>55.5</v>
      </c>
      <c r="K921" s="2"/>
      <c r="L921" s="2" t="str">
        <f>IFERROR(__xludf.DUMMYFUNCTION("""COMPUTED_VALUE"""),"Delivered")</f>
        <v>Delivered</v>
      </c>
      <c r="M921" s="2" t="str">
        <f>IFERROR(__xludf.DUMMYFUNCTION("""COMPUTED_VALUE"""),"")</f>
        <v></v>
      </c>
      <c r="N921" s="2" t="str">
        <f>IFERROR(__xludf.DUMMYFUNCTION("""COMPUTED_VALUE"""),"Tamara: split in 3, interest-free")</f>
        <v>Tamara: split in 3, interest-free</v>
      </c>
      <c r="O921" s="4">
        <f>IFERROR(__xludf.DUMMYFUNCTION("""COMPUTED_VALUE"""),0.0)</f>
        <v>0</v>
      </c>
      <c r="P921" s="2">
        <f>IFERROR(__xludf.DUMMYFUNCTION("""COMPUTED_VALUE"""),11.0)</f>
        <v>11</v>
      </c>
      <c r="Q921" s="2">
        <f>IFERROR(__xludf.DUMMYFUNCTION("""COMPUTED_VALUE"""),8.0)</f>
        <v>8</v>
      </c>
      <c r="R921" s="2">
        <f>IFERROR(__xludf.DUMMYFUNCTION("""COMPUTED_VALUE"""),2025.0)</f>
        <v>2025</v>
      </c>
      <c r="S921" s="2" t="str">
        <f>IFERROR(__xludf.DUMMYFUNCTION("""COMPUTED_VALUE"""),"Digizag")</f>
        <v>Digizag</v>
      </c>
      <c r="T921" s="2" t="str">
        <f>IFERROR(__xludf.DUMMYFUNCTION("""COMPUTED_VALUE"""),"Digizag")</f>
        <v>Digizag</v>
      </c>
      <c r="U921" s="5">
        <f>IFERROR(__xludf.DUMMYFUNCTION("""COMPUTED_VALUE"""),151.12321329)</f>
        <v>151.1232133</v>
      </c>
      <c r="V921" s="2"/>
      <c r="W921" s="2"/>
      <c r="X921" s="2"/>
      <c r="Y921" s="2"/>
      <c r="Z921" s="2"/>
    </row>
    <row r="922">
      <c r="A922" s="6">
        <f>IFERROR(__xludf.DUMMYFUNCTION("""COMPUTED_VALUE"""),45880.92217592592)</f>
        <v>45880.92218</v>
      </c>
      <c r="B922" s="2" t="str">
        <f>IFERROR(__xludf.DUMMYFUNCTION("""COMPUTED_VALUE"""),"August")</f>
        <v>August</v>
      </c>
      <c r="C922" s="3">
        <f>IFERROR(__xludf.DUMMYFUNCTION("""COMPUTED_VALUE"""),586192.0)</f>
        <v>586192</v>
      </c>
      <c r="D922" s="2" t="str">
        <f>IFERROR(__xludf.DUMMYFUNCTION("""COMPUTED_VALUE"""),"ZM22")</f>
        <v>ZM22</v>
      </c>
      <c r="E922" s="2" t="str">
        <f>IFERROR(__xludf.DUMMYFUNCTION("""COMPUTED_VALUE"""),"Imported from file Digizag.xlsx")</f>
        <v>Imported from file Digizag.xlsx</v>
      </c>
      <c r="F922" s="2" t="str">
        <f>IFERROR(__xludf.DUMMYFUNCTION("""COMPUTED_VALUE"""),"ZQK413699")</f>
        <v>ZQK413699</v>
      </c>
      <c r="G922" s="2" t="str">
        <f>IFERROR(__xludf.DUMMYFUNCTION("""COMPUTED_VALUE"""),"Kingdom of Saudi Arabia")</f>
        <v>Kingdom of Saudi Arabia</v>
      </c>
      <c r="H922" s="4">
        <f>IFERROR(__xludf.DUMMYFUNCTION("""COMPUTED_VALUE"""),129.56)</f>
        <v>129.56</v>
      </c>
      <c r="I922" s="3">
        <f>IFERROR(__xludf.DUMMYFUNCTION("""COMPUTED_VALUE"""),0.0)</f>
        <v>0</v>
      </c>
      <c r="J922" s="4">
        <f>IFERROR(__xludf.DUMMYFUNCTION("""COMPUTED_VALUE"""),30.0)</f>
        <v>30</v>
      </c>
      <c r="K922" s="2"/>
      <c r="L922" s="2" t="str">
        <f>IFERROR(__xludf.DUMMYFUNCTION("""COMPUTED_VALUE"""),"Delivered")</f>
        <v>Delivered</v>
      </c>
      <c r="M922" s="2" t="str">
        <f>IFERROR(__xludf.DUMMYFUNCTION("""COMPUTED_VALUE"""),"")</f>
        <v></v>
      </c>
      <c r="N922" s="2" t="str">
        <f>IFERROR(__xludf.DUMMYFUNCTION("""COMPUTED_VALUE"""),"Credit, Debit, Apple Pay")</f>
        <v>Credit, Debit, Apple Pay</v>
      </c>
      <c r="O922" s="4">
        <f>IFERROR(__xludf.DUMMYFUNCTION("""COMPUTED_VALUE"""),0.0)</f>
        <v>0</v>
      </c>
      <c r="P922" s="2">
        <f>IFERROR(__xludf.DUMMYFUNCTION("""COMPUTED_VALUE"""),11.0)</f>
        <v>11</v>
      </c>
      <c r="Q922" s="2">
        <f>IFERROR(__xludf.DUMMYFUNCTION("""COMPUTED_VALUE"""),8.0)</f>
        <v>8</v>
      </c>
      <c r="R922" s="2">
        <f>IFERROR(__xludf.DUMMYFUNCTION("""COMPUTED_VALUE"""),2025.0)</f>
        <v>2025</v>
      </c>
      <c r="S922" s="2" t="str">
        <f>IFERROR(__xludf.DUMMYFUNCTION("""COMPUTED_VALUE"""),"Digizag")</f>
        <v>Digizag</v>
      </c>
      <c r="T922" s="2" t="str">
        <f>IFERROR(__xludf.DUMMYFUNCTION("""COMPUTED_VALUE"""),"Digizag")</f>
        <v>Digizag</v>
      </c>
      <c r="U922" s="5">
        <f>IFERROR(__xludf.DUMMYFUNCTION("""COMPUTED_VALUE"""),34.54666171976)</f>
        <v>34.54666172</v>
      </c>
      <c r="V922" s="2"/>
      <c r="W922" s="2"/>
      <c r="X922" s="2"/>
      <c r="Y922" s="2"/>
      <c r="Z922" s="2"/>
    </row>
    <row r="923">
      <c r="A923" s="6">
        <f>IFERROR(__xludf.DUMMYFUNCTION("""COMPUTED_VALUE"""),45880.927152777775)</f>
        <v>45880.92715</v>
      </c>
      <c r="B923" s="2" t="str">
        <f>IFERROR(__xludf.DUMMYFUNCTION("""COMPUTED_VALUE"""),"August")</f>
        <v>August</v>
      </c>
      <c r="C923" s="3">
        <f>IFERROR(__xludf.DUMMYFUNCTION("""COMPUTED_VALUE"""),288394.0)</f>
        <v>288394</v>
      </c>
      <c r="D923" s="2" t="str">
        <f>IFERROR(__xludf.DUMMYFUNCTION("""COMPUTED_VALUE"""),"DG10")</f>
        <v>DG10</v>
      </c>
      <c r="E923" s="2" t="str">
        <f>IFERROR(__xludf.DUMMYFUNCTION("""COMPUTED_VALUE"""),"DigiZag")</f>
        <v>DigiZag</v>
      </c>
      <c r="F923" s="2" t="str">
        <f>IFERROR(__xludf.DUMMYFUNCTION("""COMPUTED_VALUE"""),"VDV862459")</f>
        <v>VDV862459</v>
      </c>
      <c r="G923" s="2" t="str">
        <f>IFERROR(__xludf.DUMMYFUNCTION("""COMPUTED_VALUE"""),"Kuwait")</f>
        <v>Kuwait</v>
      </c>
      <c r="H923" s="4">
        <f>IFERROR(__xludf.DUMMYFUNCTION("""COMPUTED_VALUE"""),11.95)</f>
        <v>11.95</v>
      </c>
      <c r="I923" s="3">
        <f>IFERROR(__xludf.DUMMYFUNCTION("""COMPUTED_VALUE"""),1.0)</f>
        <v>1</v>
      </c>
      <c r="J923" s="4">
        <f>IFERROR(__xludf.DUMMYFUNCTION("""COMPUTED_VALUE"""),1.195)</f>
        <v>1.195</v>
      </c>
      <c r="K923" s="2"/>
      <c r="L923" s="2" t="str">
        <f>IFERROR(__xludf.DUMMYFUNCTION("""COMPUTED_VALUE"""),"Cancelled")</f>
        <v>Cancelled</v>
      </c>
      <c r="M923" s="2" t="str">
        <f>IFERROR(__xludf.DUMMYFUNCTION("""COMPUTED_VALUE"""),"KD")</f>
        <v>KD</v>
      </c>
      <c r="N923" s="2" t="str">
        <f>IFERROR(__xludf.DUMMYFUNCTION("""COMPUTED_VALUE"""),"Cash")</f>
        <v>Cash</v>
      </c>
      <c r="O923" s="4">
        <f>IFERROR(__xludf.DUMMYFUNCTION("""COMPUTED_VALUE"""),10.755)</f>
        <v>10.755</v>
      </c>
      <c r="P923" s="2">
        <f>IFERROR(__xludf.DUMMYFUNCTION("""COMPUTED_VALUE"""),11.0)</f>
        <v>11</v>
      </c>
      <c r="Q923" s="2">
        <f>IFERROR(__xludf.DUMMYFUNCTION("""COMPUTED_VALUE"""),8.0)</f>
        <v>8</v>
      </c>
      <c r="R923" s="2">
        <f>IFERROR(__xludf.DUMMYFUNCTION("""COMPUTED_VALUE"""),2025.0)</f>
        <v>2025</v>
      </c>
      <c r="S923" s="2" t="str">
        <f>IFERROR(__xludf.DUMMYFUNCTION("""COMPUTED_VALUE"""),"Digizag")</f>
        <v>Digizag</v>
      </c>
      <c r="T923" s="2" t="str">
        <f>IFERROR(__xludf.DUMMYFUNCTION("""COMPUTED_VALUE"""),"Digizag")</f>
        <v>Digizag</v>
      </c>
      <c r="U923" s="5">
        <f>IFERROR(__xludf.DUMMYFUNCTION("""COMPUTED_VALUE"""),38.964408999999996)</f>
        <v>38.964409</v>
      </c>
      <c r="V923" s="2"/>
      <c r="W923" s="2"/>
      <c r="X923" s="2"/>
      <c r="Y923" s="2"/>
      <c r="Z923" s="2"/>
    </row>
    <row r="924">
      <c r="A924" s="6">
        <f>IFERROR(__xludf.DUMMYFUNCTION("""COMPUTED_VALUE"""),45881.38050925926)</f>
        <v>45881.38051</v>
      </c>
      <c r="B924" s="2" t="str">
        <f>IFERROR(__xludf.DUMMYFUNCTION("""COMPUTED_VALUE"""),"August")</f>
        <v>August</v>
      </c>
      <c r="C924" s="3">
        <f>IFERROR(__xludf.DUMMYFUNCTION("""COMPUTED_VALUE"""),288394.0)</f>
        <v>288394</v>
      </c>
      <c r="D924" s="2" t="str">
        <f>IFERROR(__xludf.DUMMYFUNCTION("""COMPUTED_VALUE"""),"DG10")</f>
        <v>DG10</v>
      </c>
      <c r="E924" s="2" t="str">
        <f>IFERROR(__xludf.DUMMYFUNCTION("""COMPUTED_VALUE"""),"DigiZag")</f>
        <v>DigiZag</v>
      </c>
      <c r="F924" s="2" t="str">
        <f>IFERROR(__xludf.DUMMYFUNCTION("""COMPUTED_VALUE"""),"LDN301375")</f>
        <v>LDN301375</v>
      </c>
      <c r="G924" s="2" t="str">
        <f>IFERROR(__xludf.DUMMYFUNCTION("""COMPUTED_VALUE"""),"Kuwait")</f>
        <v>Kuwait</v>
      </c>
      <c r="H924" s="4">
        <f>IFERROR(__xludf.DUMMYFUNCTION("""COMPUTED_VALUE"""),12.4)</f>
        <v>12.4</v>
      </c>
      <c r="I924" s="3">
        <f>IFERROR(__xludf.DUMMYFUNCTION("""COMPUTED_VALUE"""),1.0)</f>
        <v>1</v>
      </c>
      <c r="J924" s="4">
        <f>IFERROR(__xludf.DUMMYFUNCTION("""COMPUTED_VALUE"""),1.24)</f>
        <v>1.24</v>
      </c>
      <c r="K924" s="2"/>
      <c r="L924" s="2" t="str">
        <f>IFERROR(__xludf.DUMMYFUNCTION("""COMPUTED_VALUE"""),"Cancelled")</f>
        <v>Cancelled</v>
      </c>
      <c r="M924" s="2" t="str">
        <f>IFERROR(__xludf.DUMMYFUNCTION("""COMPUTED_VALUE"""),"KD")</f>
        <v>KD</v>
      </c>
      <c r="N924" s="2" t="str">
        <f>IFERROR(__xludf.DUMMYFUNCTION("""COMPUTED_VALUE"""),"Cash")</f>
        <v>Cash</v>
      </c>
      <c r="O924" s="4">
        <f>IFERROR(__xludf.DUMMYFUNCTION("""COMPUTED_VALUE"""),11.16)</f>
        <v>11.16</v>
      </c>
      <c r="P924" s="2">
        <f>IFERROR(__xludf.DUMMYFUNCTION("""COMPUTED_VALUE"""),12.0)</f>
        <v>12</v>
      </c>
      <c r="Q924" s="2">
        <f>IFERROR(__xludf.DUMMYFUNCTION("""COMPUTED_VALUE"""),8.0)</f>
        <v>8</v>
      </c>
      <c r="R924" s="2">
        <f>IFERROR(__xludf.DUMMYFUNCTION("""COMPUTED_VALUE"""),2025.0)</f>
        <v>2025</v>
      </c>
      <c r="S924" s="2" t="str">
        <f>IFERROR(__xludf.DUMMYFUNCTION("""COMPUTED_VALUE"""),"Digizag")</f>
        <v>Digizag</v>
      </c>
      <c r="T924" s="2" t="str">
        <f>IFERROR(__xludf.DUMMYFUNCTION("""COMPUTED_VALUE"""),"Digizag")</f>
        <v>Digizag</v>
      </c>
      <c r="U924" s="5">
        <f>IFERROR(__xludf.DUMMYFUNCTION("""COMPUTED_VALUE"""),40.431688)</f>
        <v>40.431688</v>
      </c>
      <c r="V924" s="2"/>
      <c r="W924" s="2"/>
      <c r="X924" s="2"/>
      <c r="Y924" s="2"/>
      <c r="Z924" s="2"/>
    </row>
    <row r="925">
      <c r="A925" s="6">
        <f>IFERROR(__xludf.DUMMYFUNCTION("""COMPUTED_VALUE"""),45881.38070601851)</f>
        <v>45881.38071</v>
      </c>
      <c r="B925" s="2" t="str">
        <f>IFERROR(__xludf.DUMMYFUNCTION("""COMPUTED_VALUE"""),"August")</f>
        <v>August</v>
      </c>
      <c r="C925" s="3">
        <f>IFERROR(__xludf.DUMMYFUNCTION("""COMPUTED_VALUE"""),534121.0)</f>
        <v>534121</v>
      </c>
      <c r="D925" s="2" t="str">
        <f>IFERROR(__xludf.DUMMYFUNCTION("""COMPUTED_VALUE"""),"MNN27")</f>
        <v>MNN27</v>
      </c>
      <c r="E925" s="2" t="str">
        <f>IFERROR(__xludf.DUMMYFUNCTION("""COMPUTED_VALUE"""),"Imported from file DigiZag Codes 25Feb25.xlsx")</f>
        <v>Imported from file DigiZag Codes 25Feb25.xlsx</v>
      </c>
      <c r="F925" s="2" t="str">
        <f>IFERROR(__xludf.DUMMYFUNCTION("""COMPUTED_VALUE"""),"RUU811751")</f>
        <v>RUU811751</v>
      </c>
      <c r="G925" s="2" t="str">
        <f>IFERROR(__xludf.DUMMYFUNCTION("""COMPUTED_VALUE"""),"Kuwait")</f>
        <v>Kuwait</v>
      </c>
      <c r="H925" s="4">
        <f>IFERROR(__xludf.DUMMYFUNCTION("""COMPUTED_VALUE"""),36.85)</f>
        <v>36.85</v>
      </c>
      <c r="I925" s="3">
        <f>IFERROR(__xludf.DUMMYFUNCTION("""COMPUTED_VALUE"""),0.0)</f>
        <v>0</v>
      </c>
      <c r="J925" s="4">
        <f>IFERROR(__xludf.DUMMYFUNCTION("""COMPUTED_VALUE"""),3.685)</f>
        <v>3.685</v>
      </c>
      <c r="K925" s="2"/>
      <c r="L925" s="2" t="str">
        <f>IFERROR(__xludf.DUMMYFUNCTION("""COMPUTED_VALUE"""),"Delivered")</f>
        <v>Delivered</v>
      </c>
      <c r="M925" s="2" t="str">
        <f>IFERROR(__xludf.DUMMYFUNCTION("""COMPUTED_VALUE"""),"KD")</f>
        <v>KD</v>
      </c>
      <c r="N925" s="2" t="str">
        <f>IFERROR(__xludf.DUMMYFUNCTION("""COMPUTED_VALUE"""),"Credit, Debit, Knet")</f>
        <v>Credit, Debit, Knet</v>
      </c>
      <c r="O925" s="4">
        <f>IFERROR(__xludf.DUMMYFUNCTION("""COMPUTED_VALUE"""),0.0)</f>
        <v>0</v>
      </c>
      <c r="P925" s="2">
        <f>IFERROR(__xludf.DUMMYFUNCTION("""COMPUTED_VALUE"""),12.0)</f>
        <v>12</v>
      </c>
      <c r="Q925" s="2">
        <f>IFERROR(__xludf.DUMMYFUNCTION("""COMPUTED_VALUE"""),8.0)</f>
        <v>8</v>
      </c>
      <c r="R925" s="2">
        <f>IFERROR(__xludf.DUMMYFUNCTION("""COMPUTED_VALUE"""),2025.0)</f>
        <v>2025</v>
      </c>
      <c r="S925" s="2" t="str">
        <f>IFERROR(__xludf.DUMMYFUNCTION("""COMPUTED_VALUE"""),"Digizag")</f>
        <v>Digizag</v>
      </c>
      <c r="T925" s="2" t="str">
        <f>IFERROR(__xludf.DUMMYFUNCTION("""COMPUTED_VALUE"""),"Digizag")</f>
        <v>Digizag</v>
      </c>
      <c r="U925" s="5">
        <f>IFERROR(__xludf.DUMMYFUNCTION("""COMPUTED_VALUE"""),120.153847)</f>
        <v>120.153847</v>
      </c>
      <c r="V925" s="2"/>
      <c r="W925" s="2"/>
      <c r="X925" s="2"/>
      <c r="Y925" s="2"/>
      <c r="Z925" s="2"/>
    </row>
    <row r="926">
      <c r="A926" s="6">
        <f>IFERROR(__xludf.DUMMYFUNCTION("""COMPUTED_VALUE"""),45881.70223379629)</f>
        <v>45881.70223</v>
      </c>
      <c r="B926" s="2" t="str">
        <f>IFERROR(__xludf.DUMMYFUNCTION("""COMPUTED_VALUE"""),"August")</f>
        <v>August</v>
      </c>
      <c r="C926" s="3">
        <f>IFERROR(__xludf.DUMMYFUNCTION("""COMPUTED_VALUE"""),338175.0)</f>
        <v>338175</v>
      </c>
      <c r="D926" s="2" t="str">
        <f>IFERROR(__xludf.DUMMYFUNCTION("""COMPUTED_VALUE"""),"MNN17")</f>
        <v>MNN17</v>
      </c>
      <c r="E926" s="2" t="str">
        <f>IFERROR(__xludf.DUMMYFUNCTION("""COMPUTED_VALUE"""),"Imported from file DigiZag Bidding Codes.xlsx")</f>
        <v>Imported from file DigiZag Bidding Codes.xlsx</v>
      </c>
      <c r="F926" s="2" t="str">
        <f>IFERROR(__xludf.DUMMYFUNCTION("""COMPUTED_VALUE"""),"EGH194295")</f>
        <v>EGH194295</v>
      </c>
      <c r="G926" s="2" t="str">
        <f>IFERROR(__xludf.DUMMYFUNCTION("""COMPUTED_VALUE"""),"Kingdom of Saudi Arabia")</f>
        <v>Kingdom of Saudi Arabia</v>
      </c>
      <c r="H926" s="4">
        <f>IFERROR(__xludf.DUMMYFUNCTION("""COMPUTED_VALUE"""),43.48)</f>
        <v>43.48</v>
      </c>
      <c r="I926" s="3">
        <f>IFERROR(__xludf.DUMMYFUNCTION("""COMPUTED_VALUE"""),0.0)</f>
        <v>0</v>
      </c>
      <c r="J926" s="4">
        <f>IFERROR(__xludf.DUMMYFUNCTION("""COMPUTED_VALUE"""),10.87)</f>
        <v>10.87</v>
      </c>
      <c r="K926" s="2"/>
      <c r="L926" s="2" t="str">
        <f>IFERROR(__xludf.DUMMYFUNCTION("""COMPUTED_VALUE"""),"Delivered")</f>
        <v>Delivered</v>
      </c>
      <c r="M926" s="2" t="str">
        <f>IFERROR(__xludf.DUMMYFUNCTION("""COMPUTED_VALUE"""),"")</f>
        <v></v>
      </c>
      <c r="N926" s="2" t="str">
        <f>IFERROR(__xludf.DUMMYFUNCTION("""COMPUTED_VALUE"""),"Credit, Debit, Apple Pay")</f>
        <v>Credit, Debit, Apple Pay</v>
      </c>
      <c r="O926" s="4">
        <f>IFERROR(__xludf.DUMMYFUNCTION("""COMPUTED_VALUE"""),0.0)</f>
        <v>0</v>
      </c>
      <c r="P926" s="2">
        <f>IFERROR(__xludf.DUMMYFUNCTION("""COMPUTED_VALUE"""),12.0)</f>
        <v>12</v>
      </c>
      <c r="Q926" s="2">
        <f>IFERROR(__xludf.DUMMYFUNCTION("""COMPUTED_VALUE"""),8.0)</f>
        <v>8</v>
      </c>
      <c r="R926" s="2">
        <f>IFERROR(__xludf.DUMMYFUNCTION("""COMPUTED_VALUE"""),2025.0)</f>
        <v>2025</v>
      </c>
      <c r="S926" s="2" t="str">
        <f>IFERROR(__xludf.DUMMYFUNCTION("""COMPUTED_VALUE"""),"Digizag")</f>
        <v>Digizag</v>
      </c>
      <c r="T926" s="2" t="str">
        <f>IFERROR(__xludf.DUMMYFUNCTION("""COMPUTED_VALUE"""),"Digizag")</f>
        <v>Digizag</v>
      </c>
      <c r="U926" s="5">
        <f>IFERROR(__xludf.DUMMYFUNCTION("""COMPUTED_VALUE"""),11.59377008008)</f>
        <v>11.59377008</v>
      </c>
      <c r="V926" s="2"/>
      <c r="W926" s="2"/>
      <c r="X926" s="2"/>
      <c r="Y926" s="2"/>
      <c r="Z926" s="2"/>
    </row>
    <row r="927">
      <c r="A927" s="6">
        <f>IFERROR(__xludf.DUMMYFUNCTION("""COMPUTED_VALUE"""),45881.79011574074)</f>
        <v>45881.79012</v>
      </c>
      <c r="B927" s="2" t="str">
        <f>IFERROR(__xludf.DUMMYFUNCTION("""COMPUTED_VALUE"""),"August")</f>
        <v>August</v>
      </c>
      <c r="C927" s="3">
        <f>IFERROR(__xludf.DUMMYFUNCTION("""COMPUTED_VALUE"""),2282.0)</f>
        <v>2282</v>
      </c>
      <c r="D927" s="2" t="str">
        <f>IFERROR(__xludf.DUMMYFUNCTION("""COMPUTED_VALUE"""),"MNN27")</f>
        <v>MNN27</v>
      </c>
      <c r="E927" s="2" t="str">
        <f>IFERROR(__xludf.DUMMYFUNCTION("""COMPUTED_VALUE"""),"Imported from file DigiZag Codes 25Feb25.xlsx")</f>
        <v>Imported from file DigiZag Codes 25Feb25.xlsx</v>
      </c>
      <c r="F927" s="2" t="str">
        <f>IFERROR(__xludf.DUMMYFUNCTION("""COMPUTED_VALUE"""),"CBH623983")</f>
        <v>CBH623983</v>
      </c>
      <c r="G927" s="2" t="str">
        <f>IFERROR(__xludf.DUMMYFUNCTION("""COMPUTED_VALUE"""),"Kuwait")</f>
        <v>Kuwait</v>
      </c>
      <c r="H927" s="4">
        <f>IFERROR(__xludf.DUMMYFUNCTION("""COMPUTED_VALUE"""),9.9)</f>
        <v>9.9</v>
      </c>
      <c r="I927" s="3">
        <f>IFERROR(__xludf.DUMMYFUNCTION("""COMPUTED_VALUE"""),0.0)</f>
        <v>0</v>
      </c>
      <c r="J927" s="4">
        <f>IFERROR(__xludf.DUMMYFUNCTION("""COMPUTED_VALUE"""),0.99)</f>
        <v>0.99</v>
      </c>
      <c r="K927" s="2"/>
      <c r="L927" s="2" t="str">
        <f>IFERROR(__xludf.DUMMYFUNCTION("""COMPUTED_VALUE"""),"Delivered")</f>
        <v>Delivered</v>
      </c>
      <c r="M927" s="2" t="str">
        <f>IFERROR(__xludf.DUMMYFUNCTION("""COMPUTED_VALUE"""),"KD")</f>
        <v>KD</v>
      </c>
      <c r="N927" s="2" t="str">
        <f>IFERROR(__xludf.DUMMYFUNCTION("""COMPUTED_VALUE"""),"Credit, Debit, Knet")</f>
        <v>Credit, Debit, Knet</v>
      </c>
      <c r="O927" s="4">
        <f>IFERROR(__xludf.DUMMYFUNCTION("""COMPUTED_VALUE"""),0.0)</f>
        <v>0</v>
      </c>
      <c r="P927" s="2">
        <f>IFERROR(__xludf.DUMMYFUNCTION("""COMPUTED_VALUE"""),12.0)</f>
        <v>12</v>
      </c>
      <c r="Q927" s="2">
        <f>IFERROR(__xludf.DUMMYFUNCTION("""COMPUTED_VALUE"""),8.0)</f>
        <v>8</v>
      </c>
      <c r="R927" s="2">
        <f>IFERROR(__xludf.DUMMYFUNCTION("""COMPUTED_VALUE"""),2025.0)</f>
        <v>2025</v>
      </c>
      <c r="S927" s="2" t="str">
        <f>IFERROR(__xludf.DUMMYFUNCTION("""COMPUTED_VALUE"""),"Digizag")</f>
        <v>Digizag</v>
      </c>
      <c r="T927" s="2" t="str">
        <f>IFERROR(__xludf.DUMMYFUNCTION("""COMPUTED_VALUE"""),"Digizag")</f>
        <v>Digizag</v>
      </c>
      <c r="U927" s="5">
        <f>IFERROR(__xludf.DUMMYFUNCTION("""COMPUTED_VALUE"""),32.280138)</f>
        <v>32.280138</v>
      </c>
      <c r="V927" s="2"/>
      <c r="W927" s="2"/>
      <c r="X927" s="2"/>
      <c r="Y927" s="2"/>
      <c r="Z927" s="2"/>
    </row>
    <row r="928">
      <c r="A928" s="6">
        <f>IFERROR(__xludf.DUMMYFUNCTION("""COMPUTED_VALUE"""),45881.834398148145)</f>
        <v>45881.8344</v>
      </c>
      <c r="B928" s="2" t="str">
        <f>IFERROR(__xludf.DUMMYFUNCTION("""COMPUTED_VALUE"""),"August")</f>
        <v>August</v>
      </c>
      <c r="C928" s="3">
        <f>IFERROR(__xludf.DUMMYFUNCTION("""COMPUTED_VALUE"""),6064.0)</f>
        <v>6064</v>
      </c>
      <c r="D928" s="2" t="str">
        <f>IFERROR(__xludf.DUMMYFUNCTION("""COMPUTED_VALUE"""),"DG10")</f>
        <v>DG10</v>
      </c>
      <c r="E928" s="2" t="str">
        <f>IFERROR(__xludf.DUMMYFUNCTION("""COMPUTED_VALUE"""),"DigiZag")</f>
        <v>DigiZag</v>
      </c>
      <c r="F928" s="2" t="str">
        <f>IFERROR(__xludf.DUMMYFUNCTION("""COMPUTED_VALUE"""),"MMP730167")</f>
        <v>MMP730167</v>
      </c>
      <c r="G928" s="2" t="str">
        <f>IFERROR(__xludf.DUMMYFUNCTION("""COMPUTED_VALUE"""),"Kuwait")</f>
        <v>Kuwait</v>
      </c>
      <c r="H928" s="4">
        <f>IFERROR(__xludf.DUMMYFUNCTION("""COMPUTED_VALUE"""),18.5)</f>
        <v>18.5</v>
      </c>
      <c r="I928" s="3">
        <f>IFERROR(__xludf.DUMMYFUNCTION("""COMPUTED_VALUE"""),0.0)</f>
        <v>0</v>
      </c>
      <c r="J928" s="4">
        <f>IFERROR(__xludf.DUMMYFUNCTION("""COMPUTED_VALUE"""),1.85)</f>
        <v>1.85</v>
      </c>
      <c r="K928" s="2"/>
      <c r="L928" s="2" t="str">
        <f>IFERROR(__xludf.DUMMYFUNCTION("""COMPUTED_VALUE"""),"Delivered")</f>
        <v>Delivered</v>
      </c>
      <c r="M928" s="2" t="str">
        <f>IFERROR(__xludf.DUMMYFUNCTION("""COMPUTED_VALUE"""),"KD")</f>
        <v>KD</v>
      </c>
      <c r="N928" s="2" t="str">
        <f>IFERROR(__xludf.DUMMYFUNCTION("""COMPUTED_VALUE"""),"Credit, Debit, Knet")</f>
        <v>Credit, Debit, Knet</v>
      </c>
      <c r="O928" s="4">
        <f>IFERROR(__xludf.DUMMYFUNCTION("""COMPUTED_VALUE"""),0.0)</f>
        <v>0</v>
      </c>
      <c r="P928" s="2">
        <f>IFERROR(__xludf.DUMMYFUNCTION("""COMPUTED_VALUE"""),12.0)</f>
        <v>12</v>
      </c>
      <c r="Q928" s="2">
        <f>IFERROR(__xludf.DUMMYFUNCTION("""COMPUTED_VALUE"""),8.0)</f>
        <v>8</v>
      </c>
      <c r="R928" s="2">
        <f>IFERROR(__xludf.DUMMYFUNCTION("""COMPUTED_VALUE"""),2025.0)</f>
        <v>2025</v>
      </c>
      <c r="S928" s="2" t="str">
        <f>IFERROR(__xludf.DUMMYFUNCTION("""COMPUTED_VALUE"""),"Digizag")</f>
        <v>Digizag</v>
      </c>
      <c r="T928" s="2" t="str">
        <f>IFERROR(__xludf.DUMMYFUNCTION("""COMPUTED_VALUE"""),"Digizag")</f>
        <v>Digizag</v>
      </c>
      <c r="U928" s="5">
        <f>IFERROR(__xludf.DUMMYFUNCTION("""COMPUTED_VALUE"""),60.32147)</f>
        <v>60.32147</v>
      </c>
      <c r="V928" s="2"/>
      <c r="W928" s="2"/>
      <c r="X928" s="2"/>
      <c r="Y928" s="2"/>
      <c r="Z928" s="2"/>
    </row>
    <row r="929">
      <c r="A929" s="6">
        <f>IFERROR(__xludf.DUMMYFUNCTION("""COMPUTED_VALUE"""),45881.85631944444)</f>
        <v>45881.85632</v>
      </c>
      <c r="B929" s="2" t="str">
        <f>IFERROR(__xludf.DUMMYFUNCTION("""COMPUTED_VALUE"""),"August")</f>
        <v>August</v>
      </c>
      <c r="C929" s="3">
        <f>IFERROR(__xludf.DUMMYFUNCTION("""COMPUTED_VALUE"""),785107.0)</f>
        <v>785107</v>
      </c>
      <c r="D929" s="2" t="str">
        <f>IFERROR(__xludf.DUMMYFUNCTION("""COMPUTED_VALUE"""),"DB1")</f>
        <v>DB1</v>
      </c>
      <c r="E929" s="2" t="str">
        <f>IFERROR(__xludf.DUMMYFUNCTION("""COMPUTED_VALUE"""),"Imported from file Digizag.xlsx")</f>
        <v>Imported from file Digizag.xlsx</v>
      </c>
      <c r="F929" s="2" t="str">
        <f>IFERROR(__xludf.DUMMYFUNCTION("""COMPUTED_VALUE"""),"RBU963715")</f>
        <v>RBU963715</v>
      </c>
      <c r="G929" s="2" t="str">
        <f>IFERROR(__xludf.DUMMYFUNCTION("""COMPUTED_VALUE"""),"Kingdom of Saudi Arabia")</f>
        <v>Kingdom of Saudi Arabia</v>
      </c>
      <c r="H929" s="4">
        <f>IFERROR(__xludf.DUMMYFUNCTION("""COMPUTED_VALUE"""),42.86)</f>
        <v>42.86</v>
      </c>
      <c r="I929" s="3">
        <f>IFERROR(__xludf.DUMMYFUNCTION("""COMPUTED_VALUE"""),0.0)</f>
        <v>0</v>
      </c>
      <c r="J929" s="4">
        <f>IFERROR(__xludf.DUMMYFUNCTION("""COMPUTED_VALUE"""),10.71)</f>
        <v>10.71</v>
      </c>
      <c r="K929" s="2"/>
      <c r="L929" s="2" t="str">
        <f>IFERROR(__xludf.DUMMYFUNCTION("""COMPUTED_VALUE"""),"Delivered")</f>
        <v>Delivered</v>
      </c>
      <c r="M929" s="2" t="str">
        <f>IFERROR(__xludf.DUMMYFUNCTION("""COMPUTED_VALUE"""),"")</f>
        <v></v>
      </c>
      <c r="N929" s="2" t="str">
        <f>IFERROR(__xludf.DUMMYFUNCTION("""COMPUTED_VALUE"""),"Credit, Debit, Apple Pay")</f>
        <v>Credit, Debit, Apple Pay</v>
      </c>
      <c r="O929" s="4">
        <f>IFERROR(__xludf.DUMMYFUNCTION("""COMPUTED_VALUE"""),0.0)</f>
        <v>0</v>
      </c>
      <c r="P929" s="2">
        <f>IFERROR(__xludf.DUMMYFUNCTION("""COMPUTED_VALUE"""),12.0)</f>
        <v>12</v>
      </c>
      <c r="Q929" s="2">
        <f>IFERROR(__xludf.DUMMYFUNCTION("""COMPUTED_VALUE"""),8.0)</f>
        <v>8</v>
      </c>
      <c r="R929" s="2">
        <f>IFERROR(__xludf.DUMMYFUNCTION("""COMPUTED_VALUE"""),2025.0)</f>
        <v>2025</v>
      </c>
      <c r="S929" s="2" t="str">
        <f>IFERROR(__xludf.DUMMYFUNCTION("""COMPUTED_VALUE"""),"Digizag")</f>
        <v>Digizag</v>
      </c>
      <c r="T929" s="2" t="str">
        <f>IFERROR(__xludf.DUMMYFUNCTION("""COMPUTED_VALUE"""),"Digizag")</f>
        <v>Digizag</v>
      </c>
      <c r="U929" s="5">
        <f>IFERROR(__xludf.DUMMYFUNCTION("""COMPUTED_VALUE"""),11.42844953156)</f>
        <v>11.42844953</v>
      </c>
      <c r="V929" s="2"/>
      <c r="W929" s="2"/>
      <c r="X929" s="2"/>
      <c r="Y929" s="2"/>
      <c r="Z929" s="2"/>
    </row>
    <row r="930">
      <c r="A930" s="6">
        <f>IFERROR(__xludf.DUMMYFUNCTION("""COMPUTED_VALUE"""),45882.47530092592)</f>
        <v>45882.4753</v>
      </c>
      <c r="B930" s="2" t="str">
        <f>IFERROR(__xludf.DUMMYFUNCTION("""COMPUTED_VALUE"""),"August")</f>
        <v>August</v>
      </c>
      <c r="C930" s="3">
        <f>IFERROR(__xludf.DUMMYFUNCTION("""COMPUTED_VALUE"""),550206.0)</f>
        <v>550206</v>
      </c>
      <c r="D930" s="2" t="str">
        <f>IFERROR(__xludf.DUMMYFUNCTION("""COMPUTED_VALUE"""),"MNN27")</f>
        <v>MNN27</v>
      </c>
      <c r="E930" s="2" t="str">
        <f>IFERROR(__xludf.DUMMYFUNCTION("""COMPUTED_VALUE"""),"Imported from file DigiZag Bidding Codes.xlsx")</f>
        <v>Imported from file DigiZag Bidding Codes.xlsx</v>
      </c>
      <c r="F930" s="2" t="str">
        <f>IFERROR(__xludf.DUMMYFUNCTION("""COMPUTED_VALUE"""),"LML403098")</f>
        <v>LML403098</v>
      </c>
      <c r="G930" s="2" t="str">
        <f>IFERROR(__xludf.DUMMYFUNCTION("""COMPUTED_VALUE"""),"Kingdom of Saudi Arabia")</f>
        <v>Kingdom of Saudi Arabia</v>
      </c>
      <c r="H930" s="4">
        <f>IFERROR(__xludf.DUMMYFUNCTION("""COMPUTED_VALUE"""),132.67)</f>
        <v>132.67</v>
      </c>
      <c r="I930" s="3">
        <f>IFERROR(__xludf.DUMMYFUNCTION("""COMPUTED_VALUE"""),0.0)</f>
        <v>0</v>
      </c>
      <c r="J930" s="4">
        <f>IFERROR(__xludf.DUMMYFUNCTION("""COMPUTED_VALUE"""),30.0)</f>
        <v>30</v>
      </c>
      <c r="K930" s="2"/>
      <c r="L930" s="2" t="str">
        <f>IFERROR(__xludf.DUMMYFUNCTION("""COMPUTED_VALUE"""),"Delivered")</f>
        <v>Delivered</v>
      </c>
      <c r="M930" s="2" t="str">
        <f>IFERROR(__xludf.DUMMYFUNCTION("""COMPUTED_VALUE"""),"")</f>
        <v></v>
      </c>
      <c r="N930" s="2" t="str">
        <f>IFERROR(__xludf.DUMMYFUNCTION("""COMPUTED_VALUE"""),"Tamara: Split in 3, interest-free")</f>
        <v>Tamara: Split in 3, interest-free</v>
      </c>
      <c r="O930" s="4">
        <f>IFERROR(__xludf.DUMMYFUNCTION("""COMPUTED_VALUE"""),0.0)</f>
        <v>0</v>
      </c>
      <c r="P930" s="2">
        <f>IFERROR(__xludf.DUMMYFUNCTION("""COMPUTED_VALUE"""),13.0)</f>
        <v>13</v>
      </c>
      <c r="Q930" s="2">
        <f>IFERROR(__xludf.DUMMYFUNCTION("""COMPUTED_VALUE"""),8.0)</f>
        <v>8</v>
      </c>
      <c r="R930" s="2">
        <f>IFERROR(__xludf.DUMMYFUNCTION("""COMPUTED_VALUE"""),2025.0)</f>
        <v>2025</v>
      </c>
      <c r="S930" s="2" t="str">
        <f>IFERROR(__xludf.DUMMYFUNCTION("""COMPUTED_VALUE"""),"Digizag")</f>
        <v>Digizag</v>
      </c>
      <c r="T930" s="2" t="str">
        <f>IFERROR(__xludf.DUMMYFUNCTION("""COMPUTED_VALUE"""),"Digizag")</f>
        <v>Digizag</v>
      </c>
      <c r="U930" s="5">
        <f>IFERROR(__xludf.DUMMYFUNCTION("""COMPUTED_VALUE"""),35.37593092282)</f>
        <v>35.37593092</v>
      </c>
      <c r="V930" s="2"/>
      <c r="W930" s="2"/>
      <c r="X930" s="2"/>
      <c r="Y930" s="2"/>
      <c r="Z930" s="2"/>
    </row>
    <row r="931">
      <c r="A931" s="6">
        <f>IFERROR(__xludf.DUMMYFUNCTION("""COMPUTED_VALUE"""),45882.501921296294)</f>
        <v>45882.50192</v>
      </c>
      <c r="B931" s="2" t="str">
        <f>IFERROR(__xludf.DUMMYFUNCTION("""COMPUTED_VALUE"""),"August")</f>
        <v>August</v>
      </c>
      <c r="C931" s="3">
        <f>IFERROR(__xludf.DUMMYFUNCTION("""COMPUTED_VALUE"""),637012.0)</f>
        <v>637012</v>
      </c>
      <c r="D931" s="2" t="str">
        <f>IFERROR(__xludf.DUMMYFUNCTION("""COMPUTED_VALUE"""),"CC22")</f>
        <v>CC22</v>
      </c>
      <c r="E931" s="2" t="str">
        <f>IFERROR(__xludf.DUMMYFUNCTION("""COMPUTED_VALUE"""),"Imported from file Digizag.xlsx")</f>
        <v>Imported from file Digizag.xlsx</v>
      </c>
      <c r="F931" s="2" t="str">
        <f>IFERROR(__xludf.DUMMYFUNCTION("""COMPUTED_VALUE"""),"ETK676419")</f>
        <v>ETK676419</v>
      </c>
      <c r="G931" s="2" t="str">
        <f>IFERROR(__xludf.DUMMYFUNCTION("""COMPUTED_VALUE"""),"UAE")</f>
        <v>UAE</v>
      </c>
      <c r="H931" s="4">
        <f>IFERROR(__xludf.DUMMYFUNCTION("""COMPUTED_VALUE"""),300.0)</f>
        <v>300</v>
      </c>
      <c r="I931" s="3">
        <f>IFERROR(__xludf.DUMMYFUNCTION("""COMPUTED_VALUE"""),0.0)</f>
        <v>0</v>
      </c>
      <c r="J931" s="4">
        <f>IFERROR(__xludf.DUMMYFUNCTION("""COMPUTED_VALUE"""),30.0)</f>
        <v>30</v>
      </c>
      <c r="K931" s="2"/>
      <c r="L931" s="2" t="str">
        <f>IFERROR(__xludf.DUMMYFUNCTION("""COMPUTED_VALUE"""),"Delivered")</f>
        <v>Delivered</v>
      </c>
      <c r="M931" s="2" t="str">
        <f>IFERROR(__xludf.DUMMYFUNCTION("""COMPUTED_VALUE"""),"")</f>
        <v></v>
      </c>
      <c r="N931" s="2" t="str">
        <f>IFERROR(__xludf.DUMMYFUNCTION("""COMPUTED_VALUE"""),"Credit, Debit , Apple Pay")</f>
        <v>Credit, Debit , Apple Pay</v>
      </c>
      <c r="O931" s="4">
        <f>IFERROR(__xludf.DUMMYFUNCTION("""COMPUTED_VALUE"""),0.0)</f>
        <v>0</v>
      </c>
      <c r="P931" s="2">
        <f>IFERROR(__xludf.DUMMYFUNCTION("""COMPUTED_VALUE"""),13.0)</f>
        <v>13</v>
      </c>
      <c r="Q931" s="2">
        <f>IFERROR(__xludf.DUMMYFUNCTION("""COMPUTED_VALUE"""),8.0)</f>
        <v>8</v>
      </c>
      <c r="R931" s="2">
        <f>IFERROR(__xludf.DUMMYFUNCTION("""COMPUTED_VALUE"""),2025.0)</f>
        <v>2025</v>
      </c>
      <c r="S931" s="2" t="str">
        <f>IFERROR(__xludf.DUMMYFUNCTION("""COMPUTED_VALUE"""),"Digizag")</f>
        <v>Digizag</v>
      </c>
      <c r="T931" s="2" t="str">
        <f>IFERROR(__xludf.DUMMYFUNCTION("""COMPUTED_VALUE"""),"Digizag")</f>
        <v>Digizag</v>
      </c>
      <c r="U931" s="5">
        <f>IFERROR(__xludf.DUMMYFUNCTION("""COMPUTED_VALUE"""),81.6882234)</f>
        <v>81.6882234</v>
      </c>
      <c r="V931" s="2"/>
      <c r="W931" s="2"/>
      <c r="X931" s="2"/>
      <c r="Y931" s="2"/>
      <c r="Z931" s="2"/>
    </row>
    <row r="932">
      <c r="A932" s="6">
        <f>IFERROR(__xludf.DUMMYFUNCTION("""COMPUTED_VALUE"""),45882.524189814816)</f>
        <v>45882.52419</v>
      </c>
      <c r="B932" s="2" t="str">
        <f>IFERROR(__xludf.DUMMYFUNCTION("""COMPUTED_VALUE"""),"August")</f>
        <v>August</v>
      </c>
      <c r="C932" s="3">
        <f>IFERROR(__xludf.DUMMYFUNCTION("""COMPUTED_VALUE"""),774725.0)</f>
        <v>774725</v>
      </c>
      <c r="D932" s="2" t="str">
        <f>IFERROR(__xludf.DUMMYFUNCTION("""COMPUTED_VALUE"""),"RR22")</f>
        <v>RR22</v>
      </c>
      <c r="E932" s="2" t="str">
        <f>IFERROR(__xludf.DUMMYFUNCTION("""COMPUTED_VALUE"""),"Imported from file Digizag.xlsx")</f>
        <v>Imported from file Digizag.xlsx</v>
      </c>
      <c r="F932" s="2" t="str">
        <f>IFERROR(__xludf.DUMMYFUNCTION("""COMPUTED_VALUE"""),"XYE245113")</f>
        <v>XYE245113</v>
      </c>
      <c r="G932" s="2" t="str">
        <f>IFERROR(__xludf.DUMMYFUNCTION("""COMPUTED_VALUE"""),"UAE")</f>
        <v>UAE</v>
      </c>
      <c r="H932" s="4">
        <f>IFERROR(__xludf.DUMMYFUNCTION("""COMPUTED_VALUE"""),285.0)</f>
        <v>285</v>
      </c>
      <c r="I932" s="3">
        <f>IFERROR(__xludf.DUMMYFUNCTION("""COMPUTED_VALUE"""),0.0)</f>
        <v>0</v>
      </c>
      <c r="J932" s="4">
        <f>IFERROR(__xludf.DUMMYFUNCTION("""COMPUTED_VALUE"""),28.5)</f>
        <v>28.5</v>
      </c>
      <c r="K932" s="2"/>
      <c r="L932" s="2" t="str">
        <f>IFERROR(__xludf.DUMMYFUNCTION("""COMPUTED_VALUE"""),"Delivered")</f>
        <v>Delivered</v>
      </c>
      <c r="M932" s="2" t="str">
        <f>IFERROR(__xludf.DUMMYFUNCTION("""COMPUTED_VALUE"""),"")</f>
        <v></v>
      </c>
      <c r="N932" s="2" t="str">
        <f>IFERROR(__xludf.DUMMYFUNCTION("""COMPUTED_VALUE"""),"Credit, Debit , Apple Pay")</f>
        <v>Credit, Debit , Apple Pay</v>
      </c>
      <c r="O932" s="4">
        <f>IFERROR(__xludf.DUMMYFUNCTION("""COMPUTED_VALUE"""),0.0)</f>
        <v>0</v>
      </c>
      <c r="P932" s="2">
        <f>IFERROR(__xludf.DUMMYFUNCTION("""COMPUTED_VALUE"""),13.0)</f>
        <v>13</v>
      </c>
      <c r="Q932" s="2">
        <f>IFERROR(__xludf.DUMMYFUNCTION("""COMPUTED_VALUE"""),8.0)</f>
        <v>8</v>
      </c>
      <c r="R932" s="2">
        <f>IFERROR(__xludf.DUMMYFUNCTION("""COMPUTED_VALUE"""),2025.0)</f>
        <v>2025</v>
      </c>
      <c r="S932" s="2" t="str">
        <f>IFERROR(__xludf.DUMMYFUNCTION("""COMPUTED_VALUE"""),"Digizag")</f>
        <v>Digizag</v>
      </c>
      <c r="T932" s="2" t="str">
        <f>IFERROR(__xludf.DUMMYFUNCTION("""COMPUTED_VALUE"""),"Digizag")</f>
        <v>Digizag</v>
      </c>
      <c r="U932" s="5">
        <f>IFERROR(__xludf.DUMMYFUNCTION("""COMPUTED_VALUE"""),77.60381223)</f>
        <v>77.60381223</v>
      </c>
      <c r="V932" s="2"/>
      <c r="W932" s="2"/>
      <c r="X932" s="2"/>
      <c r="Y932" s="2"/>
      <c r="Z932" s="2"/>
    </row>
    <row r="933">
      <c r="A933" s="6">
        <f>IFERROR(__xludf.DUMMYFUNCTION("""COMPUTED_VALUE"""),45882.95074074074)</f>
        <v>45882.95074</v>
      </c>
      <c r="B933" s="2" t="str">
        <f>IFERROR(__xludf.DUMMYFUNCTION("""COMPUTED_VALUE"""),"August")</f>
        <v>August</v>
      </c>
      <c r="C933" s="3">
        <f>IFERROR(__xludf.DUMMYFUNCTION("""COMPUTED_VALUE"""),615667.0)</f>
        <v>615667</v>
      </c>
      <c r="D933" s="2" t="str">
        <f>IFERROR(__xludf.DUMMYFUNCTION("""COMPUTED_VALUE"""),"MNN27")</f>
        <v>MNN27</v>
      </c>
      <c r="E933" s="2" t="str">
        <f>IFERROR(__xludf.DUMMYFUNCTION("""COMPUTED_VALUE"""),"Imported from file DigiZag Bidding Codes.xlsx")</f>
        <v>Imported from file DigiZag Bidding Codes.xlsx</v>
      </c>
      <c r="F933" s="2" t="str">
        <f>IFERROR(__xludf.DUMMYFUNCTION("""COMPUTED_VALUE"""),"PPV804055")</f>
        <v>PPV804055</v>
      </c>
      <c r="G933" s="2" t="str">
        <f>IFERROR(__xludf.DUMMYFUNCTION("""COMPUTED_VALUE"""),"Kingdom of Saudi Arabia")</f>
        <v>Kingdom of Saudi Arabia</v>
      </c>
      <c r="H933" s="4">
        <f>IFERROR(__xludf.DUMMYFUNCTION("""COMPUTED_VALUE"""),94.78)</f>
        <v>94.78</v>
      </c>
      <c r="I933" s="3">
        <f>IFERROR(__xludf.DUMMYFUNCTION("""COMPUTED_VALUE"""),0.0)</f>
        <v>0</v>
      </c>
      <c r="J933" s="4">
        <f>IFERROR(__xludf.DUMMYFUNCTION("""COMPUTED_VALUE"""),23.69)</f>
        <v>23.69</v>
      </c>
      <c r="K933" s="2"/>
      <c r="L933" s="2" t="str">
        <f>IFERROR(__xludf.DUMMYFUNCTION("""COMPUTED_VALUE"""),"Delivered")</f>
        <v>Delivered</v>
      </c>
      <c r="M933" s="2" t="str">
        <f>IFERROR(__xludf.DUMMYFUNCTION("""COMPUTED_VALUE"""),"")</f>
        <v></v>
      </c>
      <c r="N933" s="2" t="str">
        <f>IFERROR(__xludf.DUMMYFUNCTION("""COMPUTED_VALUE"""),"Tamara: Split in 3, interest-free")</f>
        <v>Tamara: Split in 3, interest-free</v>
      </c>
      <c r="O933" s="4">
        <f>IFERROR(__xludf.DUMMYFUNCTION("""COMPUTED_VALUE"""),0.0)</f>
        <v>0</v>
      </c>
      <c r="P933" s="2">
        <f>IFERROR(__xludf.DUMMYFUNCTION("""COMPUTED_VALUE"""),13.0)</f>
        <v>13</v>
      </c>
      <c r="Q933" s="2">
        <f>IFERROR(__xludf.DUMMYFUNCTION("""COMPUTED_VALUE"""),8.0)</f>
        <v>8</v>
      </c>
      <c r="R933" s="2">
        <f>IFERROR(__xludf.DUMMYFUNCTION("""COMPUTED_VALUE"""),2025.0)</f>
        <v>2025</v>
      </c>
      <c r="S933" s="2" t="str">
        <f>IFERROR(__xludf.DUMMYFUNCTION("""COMPUTED_VALUE"""),"Digizag")</f>
        <v>Digizag</v>
      </c>
      <c r="T933" s="2" t="str">
        <f>IFERROR(__xludf.DUMMYFUNCTION("""COMPUTED_VALUE"""),"Digizag")</f>
        <v>Digizag</v>
      </c>
      <c r="U933" s="5">
        <f>IFERROR(__xludf.DUMMYFUNCTION("""COMPUTED_VALUE"""),25.272712239880004)</f>
        <v>25.27271224</v>
      </c>
      <c r="V933" s="2"/>
      <c r="W933" s="2"/>
      <c r="X933" s="2"/>
      <c r="Y933" s="2"/>
      <c r="Z933" s="2"/>
    </row>
    <row r="934">
      <c r="A934" s="6">
        <f>IFERROR(__xludf.DUMMYFUNCTION("""COMPUTED_VALUE"""),45882.96469907407)</f>
        <v>45882.9647</v>
      </c>
      <c r="B934" s="2" t="str">
        <f>IFERROR(__xludf.DUMMYFUNCTION("""COMPUTED_VALUE"""),"August")</f>
        <v>August</v>
      </c>
      <c r="C934" s="3">
        <f>IFERROR(__xludf.DUMMYFUNCTION("""COMPUTED_VALUE"""),109026.0)</f>
        <v>109026</v>
      </c>
      <c r="D934" s="2" t="str">
        <f>IFERROR(__xludf.DUMMYFUNCTION("""COMPUTED_VALUE"""),"MNN27")</f>
        <v>MNN27</v>
      </c>
      <c r="E934" s="2" t="str">
        <f>IFERROR(__xludf.DUMMYFUNCTION("""COMPUTED_VALUE"""),"Imported from file DigiZag Bidding Codes.xlsx")</f>
        <v>Imported from file DigiZag Bidding Codes.xlsx</v>
      </c>
      <c r="F934" s="2" t="str">
        <f>IFERROR(__xludf.DUMMYFUNCTION("""COMPUTED_VALUE"""),"SLP432178")</f>
        <v>SLP432178</v>
      </c>
      <c r="G934" s="2" t="str">
        <f>IFERROR(__xludf.DUMMYFUNCTION("""COMPUTED_VALUE"""),"Kingdom of Saudi Arabia")</f>
        <v>Kingdom of Saudi Arabia</v>
      </c>
      <c r="H934" s="4">
        <f>IFERROR(__xludf.DUMMYFUNCTION("""COMPUTED_VALUE"""),129.0)</f>
        <v>129</v>
      </c>
      <c r="I934" s="3">
        <f>IFERROR(__xludf.DUMMYFUNCTION("""COMPUTED_VALUE"""),0.0)</f>
        <v>0</v>
      </c>
      <c r="J934" s="4">
        <f>IFERROR(__xludf.DUMMYFUNCTION("""COMPUTED_VALUE"""),30.0)</f>
        <v>30</v>
      </c>
      <c r="K934" s="2"/>
      <c r="L934" s="2" t="str">
        <f>IFERROR(__xludf.DUMMYFUNCTION("""COMPUTED_VALUE"""),"Delivered")</f>
        <v>Delivered</v>
      </c>
      <c r="M934" s="2" t="str">
        <f>IFERROR(__xludf.DUMMYFUNCTION("""COMPUTED_VALUE"""),"")</f>
        <v></v>
      </c>
      <c r="N934" s="2" t="str">
        <f>IFERROR(__xludf.DUMMYFUNCTION("""COMPUTED_VALUE"""),"Credit, Debit, Apple Pay")</f>
        <v>Credit, Debit, Apple Pay</v>
      </c>
      <c r="O934" s="4">
        <f>IFERROR(__xludf.DUMMYFUNCTION("""COMPUTED_VALUE"""),0.0)</f>
        <v>0</v>
      </c>
      <c r="P934" s="2">
        <f>IFERROR(__xludf.DUMMYFUNCTION("""COMPUTED_VALUE"""),13.0)</f>
        <v>13</v>
      </c>
      <c r="Q934" s="2">
        <f>IFERROR(__xludf.DUMMYFUNCTION("""COMPUTED_VALUE"""),8.0)</f>
        <v>8</v>
      </c>
      <c r="R934" s="2">
        <f>IFERROR(__xludf.DUMMYFUNCTION("""COMPUTED_VALUE"""),2025.0)</f>
        <v>2025</v>
      </c>
      <c r="S934" s="2" t="str">
        <f>IFERROR(__xludf.DUMMYFUNCTION("""COMPUTED_VALUE"""),"Digizag")</f>
        <v>Digizag</v>
      </c>
      <c r="T934" s="2" t="str">
        <f>IFERROR(__xludf.DUMMYFUNCTION("""COMPUTED_VALUE"""),"Digizag")</f>
        <v>Digizag</v>
      </c>
      <c r="U934" s="5">
        <f>IFERROR(__xludf.DUMMYFUNCTION("""COMPUTED_VALUE"""),34.397339934)</f>
        <v>34.39733993</v>
      </c>
      <c r="V934" s="2"/>
      <c r="W934" s="2"/>
      <c r="X934" s="2"/>
      <c r="Y934" s="2"/>
      <c r="Z934" s="2"/>
    </row>
    <row r="935">
      <c r="A935" s="6">
        <f>IFERROR(__xludf.DUMMYFUNCTION("""COMPUTED_VALUE"""),45883.02479166666)</f>
        <v>45883.02479</v>
      </c>
      <c r="B935" s="2" t="str">
        <f>IFERROR(__xludf.DUMMYFUNCTION("""COMPUTED_VALUE"""),"August")</f>
        <v>August</v>
      </c>
      <c r="C935" s="3">
        <f>IFERROR(__xludf.DUMMYFUNCTION("""COMPUTED_VALUE"""),785382.0)</f>
        <v>785382</v>
      </c>
      <c r="D935" s="2" t="str">
        <f>IFERROR(__xludf.DUMMYFUNCTION("""COMPUTED_VALUE"""),"MNN27")</f>
        <v>MNN27</v>
      </c>
      <c r="E935" s="2" t="str">
        <f>IFERROR(__xludf.DUMMYFUNCTION("""COMPUTED_VALUE"""),"Imported from file DigiZag Bidding Codes.xlsx")</f>
        <v>Imported from file DigiZag Bidding Codes.xlsx</v>
      </c>
      <c r="F935" s="2" t="str">
        <f>IFERROR(__xludf.DUMMYFUNCTION("""COMPUTED_VALUE"""),"QLW434210")</f>
        <v>QLW434210</v>
      </c>
      <c r="G935" s="2" t="str">
        <f>IFERROR(__xludf.DUMMYFUNCTION("""COMPUTED_VALUE"""),"Kingdom of Saudi Arabia")</f>
        <v>Kingdom of Saudi Arabia</v>
      </c>
      <c r="H935" s="4">
        <f>IFERROR(__xludf.DUMMYFUNCTION("""COMPUTED_VALUE"""),209.12)</f>
        <v>209.12</v>
      </c>
      <c r="I935" s="3">
        <f>IFERROR(__xludf.DUMMYFUNCTION("""COMPUTED_VALUE"""),0.0)</f>
        <v>0</v>
      </c>
      <c r="J935" s="4">
        <f>IFERROR(__xludf.DUMMYFUNCTION("""COMPUTED_VALUE"""),30.0)</f>
        <v>30</v>
      </c>
      <c r="K935" s="2"/>
      <c r="L935" s="2" t="str">
        <f>IFERROR(__xludf.DUMMYFUNCTION("""COMPUTED_VALUE"""),"Delivered")</f>
        <v>Delivered</v>
      </c>
      <c r="M935" s="2" t="str">
        <f>IFERROR(__xludf.DUMMYFUNCTION("""COMPUTED_VALUE"""),"")</f>
        <v></v>
      </c>
      <c r="N935" s="2" t="str">
        <f>IFERROR(__xludf.DUMMYFUNCTION("""COMPUTED_VALUE"""),"Credit, Debit, Apple Pay")</f>
        <v>Credit, Debit, Apple Pay</v>
      </c>
      <c r="O935" s="4">
        <f>IFERROR(__xludf.DUMMYFUNCTION("""COMPUTED_VALUE"""),0.0)</f>
        <v>0</v>
      </c>
      <c r="P935" s="2">
        <f>IFERROR(__xludf.DUMMYFUNCTION("""COMPUTED_VALUE"""),14.0)</f>
        <v>14</v>
      </c>
      <c r="Q935" s="2">
        <f>IFERROR(__xludf.DUMMYFUNCTION("""COMPUTED_VALUE"""),8.0)</f>
        <v>8</v>
      </c>
      <c r="R935" s="2">
        <f>IFERROR(__xludf.DUMMYFUNCTION("""COMPUTED_VALUE"""),2025.0)</f>
        <v>2025</v>
      </c>
      <c r="S935" s="2" t="str">
        <f>IFERROR(__xludf.DUMMYFUNCTION("""COMPUTED_VALUE"""),"Digizag")</f>
        <v>Digizag</v>
      </c>
      <c r="T935" s="2" t="str">
        <f>IFERROR(__xludf.DUMMYFUNCTION("""COMPUTED_VALUE"""),"Digizag")</f>
        <v>Digizag</v>
      </c>
      <c r="U935" s="5">
        <f>IFERROR(__xludf.DUMMYFUNCTION("""COMPUTED_VALUE"""),55.761021139520004)</f>
        <v>55.76102114</v>
      </c>
      <c r="V935" s="2"/>
      <c r="W935" s="2"/>
      <c r="X935" s="2"/>
      <c r="Y935" s="2"/>
      <c r="Z935" s="2"/>
    </row>
    <row r="936">
      <c r="A936" s="6">
        <f>IFERROR(__xludf.DUMMYFUNCTION("""COMPUTED_VALUE"""),45883.30207175926)</f>
        <v>45883.30207</v>
      </c>
      <c r="B936" s="2" t="str">
        <f>IFERROR(__xludf.DUMMYFUNCTION("""COMPUTED_VALUE"""),"August")</f>
        <v>August</v>
      </c>
      <c r="C936" s="3">
        <f>IFERROR(__xludf.DUMMYFUNCTION("""COMPUTED_VALUE"""),305294.0)</f>
        <v>305294</v>
      </c>
      <c r="D936" s="2" t="str">
        <f>IFERROR(__xludf.DUMMYFUNCTION("""COMPUTED_VALUE"""),"CC22")</f>
        <v>CC22</v>
      </c>
      <c r="E936" s="2" t="str">
        <f>IFERROR(__xludf.DUMMYFUNCTION("""COMPUTED_VALUE"""),"Imported from file Digizag.xlsx")</f>
        <v>Imported from file Digizag.xlsx</v>
      </c>
      <c r="F936" s="2" t="str">
        <f>IFERROR(__xludf.DUMMYFUNCTION("""COMPUTED_VALUE"""),"ABK686263")</f>
        <v>ABK686263</v>
      </c>
      <c r="G936" s="2" t="str">
        <f>IFERROR(__xludf.DUMMYFUNCTION("""COMPUTED_VALUE"""),"UAE")</f>
        <v>UAE</v>
      </c>
      <c r="H936" s="4">
        <f>IFERROR(__xludf.DUMMYFUNCTION("""COMPUTED_VALUE"""),179.76)</f>
        <v>179.76</v>
      </c>
      <c r="I936" s="3">
        <f>IFERROR(__xludf.DUMMYFUNCTION("""COMPUTED_VALUE"""),0.0)</f>
        <v>0</v>
      </c>
      <c r="J936" s="4">
        <f>IFERROR(__xludf.DUMMYFUNCTION("""COMPUTED_VALUE"""),17.97)</f>
        <v>17.97</v>
      </c>
      <c r="K936" s="2"/>
      <c r="L936" s="2" t="str">
        <f>IFERROR(__xludf.DUMMYFUNCTION("""COMPUTED_VALUE"""),"Delivered")</f>
        <v>Delivered</v>
      </c>
      <c r="M936" s="2" t="str">
        <f>IFERROR(__xludf.DUMMYFUNCTION("""COMPUTED_VALUE"""),"")</f>
        <v></v>
      </c>
      <c r="N936" s="2" t="str">
        <f>IFERROR(__xludf.DUMMYFUNCTION("""COMPUTED_VALUE"""),"Credit, Debit , Apple Pay")</f>
        <v>Credit, Debit , Apple Pay</v>
      </c>
      <c r="O936" s="4">
        <f>IFERROR(__xludf.DUMMYFUNCTION("""COMPUTED_VALUE"""),0.0)</f>
        <v>0</v>
      </c>
      <c r="P936" s="2">
        <f>IFERROR(__xludf.DUMMYFUNCTION("""COMPUTED_VALUE"""),14.0)</f>
        <v>14</v>
      </c>
      <c r="Q936" s="2">
        <f>IFERROR(__xludf.DUMMYFUNCTION("""COMPUTED_VALUE"""),8.0)</f>
        <v>8</v>
      </c>
      <c r="R936" s="2">
        <f>IFERROR(__xludf.DUMMYFUNCTION("""COMPUTED_VALUE"""),2025.0)</f>
        <v>2025</v>
      </c>
      <c r="S936" s="2" t="str">
        <f>IFERROR(__xludf.DUMMYFUNCTION("""COMPUTED_VALUE"""),"Digizag")</f>
        <v>Digizag</v>
      </c>
      <c r="T936" s="2" t="str">
        <f>IFERROR(__xludf.DUMMYFUNCTION("""COMPUTED_VALUE"""),"Digizag")</f>
        <v>Digizag</v>
      </c>
      <c r="U936" s="5">
        <f>IFERROR(__xludf.DUMMYFUNCTION("""COMPUTED_VALUE"""),48.94758346128)</f>
        <v>48.94758346</v>
      </c>
      <c r="V936" s="2"/>
      <c r="W936" s="2"/>
      <c r="X936" s="2"/>
      <c r="Y936" s="2"/>
      <c r="Z936" s="2"/>
    </row>
    <row r="937">
      <c r="A937" s="6">
        <f>IFERROR(__xludf.DUMMYFUNCTION("""COMPUTED_VALUE"""),45883.30599537037)</f>
        <v>45883.306</v>
      </c>
      <c r="B937" s="2" t="str">
        <f>IFERROR(__xludf.DUMMYFUNCTION("""COMPUTED_VALUE"""),"August")</f>
        <v>August</v>
      </c>
      <c r="C937" s="3">
        <f>IFERROR(__xludf.DUMMYFUNCTION("""COMPUTED_VALUE"""),776984.0)</f>
        <v>776984</v>
      </c>
      <c r="D937" s="2" t="str">
        <f>IFERROR(__xludf.DUMMYFUNCTION("""COMPUTED_VALUE"""),"JM")</f>
        <v>JM</v>
      </c>
      <c r="E937" s="2" t="str">
        <f>IFERROR(__xludf.DUMMYFUNCTION("""COMPUTED_VALUE"""),"DigiZag")</f>
        <v>DigiZag</v>
      </c>
      <c r="F937" s="2" t="str">
        <f>IFERROR(__xludf.DUMMYFUNCTION("""COMPUTED_VALUE"""),"KJL138785")</f>
        <v>KJL138785</v>
      </c>
      <c r="G937" s="2" t="str">
        <f>IFERROR(__xludf.DUMMYFUNCTION("""COMPUTED_VALUE"""),"Kingdom of Saudi Arabia")</f>
        <v>Kingdom of Saudi Arabia</v>
      </c>
      <c r="H937" s="4">
        <f>IFERROR(__xludf.DUMMYFUNCTION("""COMPUTED_VALUE"""),259.59)</f>
        <v>259.59</v>
      </c>
      <c r="I937" s="3">
        <f>IFERROR(__xludf.DUMMYFUNCTION("""COMPUTED_VALUE"""),0.0)</f>
        <v>0</v>
      </c>
      <c r="J937" s="4">
        <f>IFERROR(__xludf.DUMMYFUNCTION("""COMPUTED_VALUE"""),30.0)</f>
        <v>30</v>
      </c>
      <c r="K937" s="2"/>
      <c r="L937" s="2" t="str">
        <f>IFERROR(__xludf.DUMMYFUNCTION("""COMPUTED_VALUE"""),"Delivered")</f>
        <v>Delivered</v>
      </c>
      <c r="M937" s="2" t="str">
        <f>IFERROR(__xludf.DUMMYFUNCTION("""COMPUTED_VALUE"""),"")</f>
        <v></v>
      </c>
      <c r="N937" s="2" t="str">
        <f>IFERROR(__xludf.DUMMYFUNCTION("""COMPUTED_VALUE"""),"Credit, Debit, Apple Pay")</f>
        <v>Credit, Debit, Apple Pay</v>
      </c>
      <c r="O937" s="4">
        <f>IFERROR(__xludf.DUMMYFUNCTION("""COMPUTED_VALUE"""),0.0)</f>
        <v>0</v>
      </c>
      <c r="P937" s="2">
        <f>IFERROR(__xludf.DUMMYFUNCTION("""COMPUTED_VALUE"""),14.0)</f>
        <v>14</v>
      </c>
      <c r="Q937" s="2">
        <f>IFERROR(__xludf.DUMMYFUNCTION("""COMPUTED_VALUE"""),8.0)</f>
        <v>8</v>
      </c>
      <c r="R937" s="2">
        <f>IFERROR(__xludf.DUMMYFUNCTION("""COMPUTED_VALUE"""),2025.0)</f>
        <v>2025</v>
      </c>
      <c r="S937" s="2" t="str">
        <f>IFERROR(__xludf.DUMMYFUNCTION("""COMPUTED_VALUE"""),"Digizag")</f>
        <v>Digizag</v>
      </c>
      <c r="T937" s="2" t="str">
        <f>IFERROR(__xludf.DUMMYFUNCTION("""COMPUTED_VALUE"""),"Digizag")</f>
        <v>Digizag</v>
      </c>
      <c r="U937" s="5">
        <f>IFERROR(__xludf.DUMMYFUNCTION("""COMPUTED_VALUE"""),69.21864708114)</f>
        <v>69.21864708</v>
      </c>
      <c r="V937" s="2"/>
      <c r="W937" s="2"/>
      <c r="X937" s="2"/>
      <c r="Y937" s="2"/>
      <c r="Z937" s="2"/>
    </row>
    <row r="938">
      <c r="A938" s="6">
        <f>IFERROR(__xludf.DUMMYFUNCTION("""COMPUTED_VALUE"""),45883.327465277776)</f>
        <v>45883.32747</v>
      </c>
      <c r="B938" s="2" t="str">
        <f>IFERROR(__xludf.DUMMYFUNCTION("""COMPUTED_VALUE"""),"August")</f>
        <v>August</v>
      </c>
      <c r="C938" s="3">
        <f>IFERROR(__xludf.DUMMYFUNCTION("""COMPUTED_VALUE"""),66777.0)</f>
        <v>66777</v>
      </c>
      <c r="D938" s="2" t="str">
        <f>IFERROR(__xludf.DUMMYFUNCTION("""COMPUTED_VALUE"""),"JM")</f>
        <v>JM</v>
      </c>
      <c r="E938" s="2" t="str">
        <f>IFERROR(__xludf.DUMMYFUNCTION("""COMPUTED_VALUE"""),"DigiZag")</f>
        <v>DigiZag</v>
      </c>
      <c r="F938" s="2" t="str">
        <f>IFERROR(__xludf.DUMMYFUNCTION("""COMPUTED_VALUE"""),"LNR303386")</f>
        <v>LNR303386</v>
      </c>
      <c r="G938" s="2" t="str">
        <f>IFERROR(__xludf.DUMMYFUNCTION("""COMPUTED_VALUE"""),"Kingdom of Saudi Arabia")</f>
        <v>Kingdom of Saudi Arabia</v>
      </c>
      <c r="H938" s="4">
        <f>IFERROR(__xludf.DUMMYFUNCTION("""COMPUTED_VALUE"""),93.0)</f>
        <v>93</v>
      </c>
      <c r="I938" s="3">
        <f>IFERROR(__xludf.DUMMYFUNCTION("""COMPUTED_VALUE"""),0.0)</f>
        <v>0</v>
      </c>
      <c r="J938" s="4">
        <f>IFERROR(__xludf.DUMMYFUNCTION("""COMPUTED_VALUE"""),23.25)</f>
        <v>23.25</v>
      </c>
      <c r="K938" s="2"/>
      <c r="L938" s="2" t="str">
        <f>IFERROR(__xludf.DUMMYFUNCTION("""COMPUTED_VALUE"""),"Delivered")</f>
        <v>Delivered</v>
      </c>
      <c r="M938" s="2" t="str">
        <f>IFERROR(__xludf.DUMMYFUNCTION("""COMPUTED_VALUE"""),"")</f>
        <v></v>
      </c>
      <c r="N938" s="2" t="str">
        <f>IFERROR(__xludf.DUMMYFUNCTION("""COMPUTED_VALUE"""),"Credit, Debit, Apple Pay")</f>
        <v>Credit, Debit, Apple Pay</v>
      </c>
      <c r="O938" s="4">
        <f>IFERROR(__xludf.DUMMYFUNCTION("""COMPUTED_VALUE"""),0.0)</f>
        <v>0</v>
      </c>
      <c r="P938" s="2">
        <f>IFERROR(__xludf.DUMMYFUNCTION("""COMPUTED_VALUE"""),14.0)</f>
        <v>14</v>
      </c>
      <c r="Q938" s="2">
        <f>IFERROR(__xludf.DUMMYFUNCTION("""COMPUTED_VALUE"""),8.0)</f>
        <v>8</v>
      </c>
      <c r="R938" s="2">
        <f>IFERROR(__xludf.DUMMYFUNCTION("""COMPUTED_VALUE"""),2025.0)</f>
        <v>2025</v>
      </c>
      <c r="S938" s="2" t="str">
        <f>IFERROR(__xludf.DUMMYFUNCTION("""COMPUTED_VALUE"""),"Digizag")</f>
        <v>Digizag</v>
      </c>
      <c r="T938" s="2" t="str">
        <f>IFERROR(__xludf.DUMMYFUNCTION("""COMPUTED_VALUE"""),"Digizag")</f>
        <v>Digizag</v>
      </c>
      <c r="U938" s="5">
        <f>IFERROR(__xludf.DUMMYFUNCTION("""COMPUTED_VALUE"""),24.798082278000003)</f>
        <v>24.79808228</v>
      </c>
      <c r="V938" s="2"/>
      <c r="W938" s="2"/>
      <c r="X938" s="2"/>
      <c r="Y938" s="2"/>
      <c r="Z938" s="2"/>
    </row>
    <row r="939">
      <c r="A939" s="6">
        <f>IFERROR(__xludf.DUMMYFUNCTION("""COMPUTED_VALUE"""),45883.42785879629)</f>
        <v>45883.42786</v>
      </c>
      <c r="B939" s="2" t="str">
        <f>IFERROR(__xludf.DUMMYFUNCTION("""COMPUTED_VALUE"""),"August")</f>
        <v>August</v>
      </c>
      <c r="C939" s="3">
        <f>IFERROR(__xludf.DUMMYFUNCTION("""COMPUTED_VALUE"""),295809.0)</f>
        <v>295809</v>
      </c>
      <c r="D939" s="2" t="str">
        <f>IFERROR(__xludf.DUMMYFUNCTION("""COMPUTED_VALUE"""),"MNN27")</f>
        <v>MNN27</v>
      </c>
      <c r="E939" s="2" t="str">
        <f>IFERROR(__xludf.DUMMYFUNCTION("""COMPUTED_VALUE"""),"Imported from file DigiZag Codes 25Feb25.xlsx")</f>
        <v>Imported from file DigiZag Codes 25Feb25.xlsx</v>
      </c>
      <c r="F939" s="2" t="str">
        <f>IFERROR(__xludf.DUMMYFUNCTION("""COMPUTED_VALUE"""),"AUB734945")</f>
        <v>AUB734945</v>
      </c>
      <c r="G939" s="2" t="str">
        <f>IFERROR(__xludf.DUMMYFUNCTION("""COMPUTED_VALUE"""),"Kuwait")</f>
        <v>Kuwait</v>
      </c>
      <c r="H939" s="4">
        <f>IFERROR(__xludf.DUMMYFUNCTION("""COMPUTED_VALUE"""),5.0)</f>
        <v>5</v>
      </c>
      <c r="I939" s="3">
        <f>IFERROR(__xludf.DUMMYFUNCTION("""COMPUTED_VALUE"""),0.0)</f>
        <v>0</v>
      </c>
      <c r="J939" s="4">
        <f>IFERROR(__xludf.DUMMYFUNCTION("""COMPUTED_VALUE"""),0.5)</f>
        <v>0.5</v>
      </c>
      <c r="K939" s="2"/>
      <c r="L939" s="2" t="str">
        <f>IFERROR(__xludf.DUMMYFUNCTION("""COMPUTED_VALUE"""),"Delivered")</f>
        <v>Delivered</v>
      </c>
      <c r="M939" s="2" t="str">
        <f>IFERROR(__xludf.DUMMYFUNCTION("""COMPUTED_VALUE"""),"KD")</f>
        <v>KD</v>
      </c>
      <c r="N939" s="2" t="str">
        <f>IFERROR(__xludf.DUMMYFUNCTION("""COMPUTED_VALUE"""),"Credit, Debit, Knet")</f>
        <v>Credit, Debit, Knet</v>
      </c>
      <c r="O939" s="4">
        <f>IFERROR(__xludf.DUMMYFUNCTION("""COMPUTED_VALUE"""),0.0)</f>
        <v>0</v>
      </c>
      <c r="P939" s="2">
        <f>IFERROR(__xludf.DUMMYFUNCTION("""COMPUTED_VALUE"""),14.0)</f>
        <v>14</v>
      </c>
      <c r="Q939" s="2">
        <f>IFERROR(__xludf.DUMMYFUNCTION("""COMPUTED_VALUE"""),8.0)</f>
        <v>8</v>
      </c>
      <c r="R939" s="2">
        <f>IFERROR(__xludf.DUMMYFUNCTION("""COMPUTED_VALUE"""),2025.0)</f>
        <v>2025</v>
      </c>
      <c r="S939" s="2" t="str">
        <f>IFERROR(__xludf.DUMMYFUNCTION("""COMPUTED_VALUE"""),"Digizag")</f>
        <v>Digizag</v>
      </c>
      <c r="T939" s="2" t="str">
        <f>IFERROR(__xludf.DUMMYFUNCTION("""COMPUTED_VALUE"""),"Digizag")</f>
        <v>Digizag</v>
      </c>
      <c r="U939" s="5">
        <f>IFERROR(__xludf.DUMMYFUNCTION("""COMPUTED_VALUE"""),16.3031)</f>
        <v>16.3031</v>
      </c>
      <c r="V939" s="2"/>
      <c r="W939" s="2"/>
      <c r="X939" s="2"/>
      <c r="Y939" s="2"/>
      <c r="Z939" s="2"/>
    </row>
    <row r="940">
      <c r="A940" s="6">
        <f>IFERROR(__xludf.DUMMYFUNCTION("""COMPUTED_VALUE"""),45883.52560185185)</f>
        <v>45883.5256</v>
      </c>
      <c r="B940" s="2" t="str">
        <f>IFERROR(__xludf.DUMMYFUNCTION("""COMPUTED_VALUE"""),"August")</f>
        <v>August</v>
      </c>
      <c r="C940" s="3">
        <f>IFERROR(__xludf.DUMMYFUNCTION("""COMPUTED_VALUE"""),227916.0)</f>
        <v>227916</v>
      </c>
      <c r="D940" s="2" t="str">
        <f>IFERROR(__xludf.DUMMYFUNCTION("""COMPUTED_VALUE"""),"MNN27")</f>
        <v>MNN27</v>
      </c>
      <c r="E940" s="2" t="str">
        <f>IFERROR(__xludf.DUMMYFUNCTION("""COMPUTED_VALUE"""),"Imported from file DigiZag Bidding Codes.xlsx")</f>
        <v>Imported from file DigiZag Bidding Codes.xlsx</v>
      </c>
      <c r="F940" s="2" t="str">
        <f>IFERROR(__xludf.DUMMYFUNCTION("""COMPUTED_VALUE"""),"BTD722613")</f>
        <v>BTD722613</v>
      </c>
      <c r="G940" s="2" t="str">
        <f>IFERROR(__xludf.DUMMYFUNCTION("""COMPUTED_VALUE"""),"Kingdom of Saudi Arabia")</f>
        <v>Kingdom of Saudi Arabia</v>
      </c>
      <c r="H940" s="4">
        <f>IFERROR(__xludf.DUMMYFUNCTION("""COMPUTED_VALUE"""),191.68)</f>
        <v>191.68</v>
      </c>
      <c r="I940" s="3">
        <f>IFERROR(__xludf.DUMMYFUNCTION("""COMPUTED_VALUE"""),0.0)</f>
        <v>0</v>
      </c>
      <c r="J940" s="4">
        <f>IFERROR(__xludf.DUMMYFUNCTION("""COMPUTED_VALUE"""),30.0)</f>
        <v>30</v>
      </c>
      <c r="K940" s="2"/>
      <c r="L940" s="2" t="str">
        <f>IFERROR(__xludf.DUMMYFUNCTION("""COMPUTED_VALUE"""),"Delivered")</f>
        <v>Delivered</v>
      </c>
      <c r="M940" s="2" t="str">
        <f>IFERROR(__xludf.DUMMYFUNCTION("""COMPUTED_VALUE"""),"")</f>
        <v></v>
      </c>
      <c r="N940" s="2" t="str">
        <f>IFERROR(__xludf.DUMMYFUNCTION("""COMPUTED_VALUE"""),"Credit, Debit, Apple Pay")</f>
        <v>Credit, Debit, Apple Pay</v>
      </c>
      <c r="O940" s="4">
        <f>IFERROR(__xludf.DUMMYFUNCTION("""COMPUTED_VALUE"""),0.0)</f>
        <v>0</v>
      </c>
      <c r="P940" s="2">
        <f>IFERROR(__xludf.DUMMYFUNCTION("""COMPUTED_VALUE"""),14.0)</f>
        <v>14</v>
      </c>
      <c r="Q940" s="2">
        <f>IFERROR(__xludf.DUMMYFUNCTION("""COMPUTED_VALUE"""),8.0)</f>
        <v>8</v>
      </c>
      <c r="R940" s="2">
        <f>IFERROR(__xludf.DUMMYFUNCTION("""COMPUTED_VALUE"""),2025.0)</f>
        <v>2025</v>
      </c>
      <c r="S940" s="2" t="str">
        <f>IFERROR(__xludf.DUMMYFUNCTION("""COMPUTED_VALUE"""),"Digizag")</f>
        <v>Digizag</v>
      </c>
      <c r="T940" s="2" t="str">
        <f>IFERROR(__xludf.DUMMYFUNCTION("""COMPUTED_VALUE"""),"Digizag")</f>
        <v>Digizag</v>
      </c>
      <c r="U940" s="5">
        <f>IFERROR(__xludf.DUMMYFUNCTION("""COMPUTED_VALUE"""),51.11071409728001)</f>
        <v>51.1107141</v>
      </c>
      <c r="V940" s="2"/>
      <c r="W940" s="2"/>
      <c r="X940" s="2"/>
      <c r="Y940" s="2"/>
      <c r="Z940" s="2"/>
    </row>
    <row r="941">
      <c r="A941" s="6">
        <f>IFERROR(__xludf.DUMMYFUNCTION("""COMPUTED_VALUE"""),45883.55171296296)</f>
        <v>45883.55171</v>
      </c>
      <c r="B941" s="2" t="str">
        <f>IFERROR(__xludf.DUMMYFUNCTION("""COMPUTED_VALUE"""),"August")</f>
        <v>August</v>
      </c>
      <c r="C941" s="3">
        <f>IFERROR(__xludf.DUMMYFUNCTION("""COMPUTED_VALUE"""),450389.0)</f>
        <v>450389</v>
      </c>
      <c r="D941" s="2" t="str">
        <f>IFERROR(__xludf.DUMMYFUNCTION("""COMPUTED_VALUE"""),"MNN27")</f>
        <v>MNN27</v>
      </c>
      <c r="E941" s="2" t="str">
        <f>IFERROR(__xludf.DUMMYFUNCTION("""COMPUTED_VALUE"""),"Imported from file DigiZag Codes 25Feb25.xlsx")</f>
        <v>Imported from file DigiZag Codes 25Feb25.xlsx</v>
      </c>
      <c r="F941" s="2" t="str">
        <f>IFERROR(__xludf.DUMMYFUNCTION("""COMPUTED_VALUE"""),"MVX980123")</f>
        <v>MVX980123</v>
      </c>
      <c r="G941" s="2" t="str">
        <f>IFERROR(__xludf.DUMMYFUNCTION("""COMPUTED_VALUE"""),"UAE")</f>
        <v>UAE</v>
      </c>
      <c r="H941" s="4">
        <f>IFERROR(__xludf.DUMMYFUNCTION("""COMPUTED_VALUE"""),237.0)</f>
        <v>237</v>
      </c>
      <c r="I941" s="3">
        <f>IFERROR(__xludf.DUMMYFUNCTION("""COMPUTED_VALUE"""),0.0)</f>
        <v>0</v>
      </c>
      <c r="J941" s="4">
        <f>IFERROR(__xludf.DUMMYFUNCTION("""COMPUTED_VALUE"""),23.7)</f>
        <v>23.7</v>
      </c>
      <c r="K941" s="2"/>
      <c r="L941" s="2" t="str">
        <f>IFERROR(__xludf.DUMMYFUNCTION("""COMPUTED_VALUE"""),"Delivered")</f>
        <v>Delivered</v>
      </c>
      <c r="M941" s="2" t="str">
        <f>IFERROR(__xludf.DUMMYFUNCTION("""COMPUTED_VALUE"""),"")</f>
        <v></v>
      </c>
      <c r="N941" s="2" t="str">
        <f>IFERROR(__xludf.DUMMYFUNCTION("""COMPUTED_VALUE"""),"Credit, Debit , Apple Pay")</f>
        <v>Credit, Debit , Apple Pay</v>
      </c>
      <c r="O941" s="4">
        <f>IFERROR(__xludf.DUMMYFUNCTION("""COMPUTED_VALUE"""),0.0)</f>
        <v>0</v>
      </c>
      <c r="P941" s="2">
        <f>IFERROR(__xludf.DUMMYFUNCTION("""COMPUTED_VALUE"""),14.0)</f>
        <v>14</v>
      </c>
      <c r="Q941" s="2">
        <f>IFERROR(__xludf.DUMMYFUNCTION("""COMPUTED_VALUE"""),8.0)</f>
        <v>8</v>
      </c>
      <c r="R941" s="2">
        <f>IFERROR(__xludf.DUMMYFUNCTION("""COMPUTED_VALUE"""),2025.0)</f>
        <v>2025</v>
      </c>
      <c r="S941" s="2" t="str">
        <f>IFERROR(__xludf.DUMMYFUNCTION("""COMPUTED_VALUE"""),"Digizag")</f>
        <v>Digizag</v>
      </c>
      <c r="T941" s="2" t="str">
        <f>IFERROR(__xludf.DUMMYFUNCTION("""COMPUTED_VALUE"""),"Digizag")</f>
        <v>Digizag</v>
      </c>
      <c r="U941" s="5">
        <f>IFERROR(__xludf.DUMMYFUNCTION("""COMPUTED_VALUE"""),64.533696486)</f>
        <v>64.53369649</v>
      </c>
      <c r="V941" s="2"/>
      <c r="W941" s="2"/>
      <c r="X941" s="2"/>
      <c r="Y941" s="2"/>
      <c r="Z941" s="2"/>
    </row>
    <row r="942">
      <c r="A942" s="6">
        <f>IFERROR(__xludf.DUMMYFUNCTION("""COMPUTED_VALUE"""),45883.89134259259)</f>
        <v>45883.89134</v>
      </c>
      <c r="B942" s="2" t="str">
        <f>IFERROR(__xludf.DUMMYFUNCTION("""COMPUTED_VALUE"""),"August")</f>
        <v>August</v>
      </c>
      <c r="C942" s="3">
        <f>IFERROR(__xludf.DUMMYFUNCTION("""COMPUTED_VALUE"""),434479.0)</f>
        <v>434479</v>
      </c>
      <c r="D942" s="2" t="str">
        <f>IFERROR(__xludf.DUMMYFUNCTION("""COMPUTED_VALUE"""),"MNN27")</f>
        <v>MNN27</v>
      </c>
      <c r="E942" s="2" t="str">
        <f>IFERROR(__xludf.DUMMYFUNCTION("""COMPUTED_VALUE"""),"Imported from file DigiZag Codes 25Feb25.xlsx")</f>
        <v>Imported from file DigiZag Codes 25Feb25.xlsx</v>
      </c>
      <c r="F942" s="2" t="str">
        <f>IFERROR(__xludf.DUMMYFUNCTION("""COMPUTED_VALUE"""),"MLW226941")</f>
        <v>MLW226941</v>
      </c>
      <c r="G942" s="2" t="str">
        <f>IFERROR(__xludf.DUMMYFUNCTION("""COMPUTED_VALUE"""),"Bahrain")</f>
        <v>Bahrain</v>
      </c>
      <c r="H942" s="4">
        <f>IFERROR(__xludf.DUMMYFUNCTION("""COMPUTED_VALUE"""),25.08)</f>
        <v>25.08</v>
      </c>
      <c r="I942" s="3">
        <f>IFERROR(__xludf.DUMMYFUNCTION("""COMPUTED_VALUE"""),0.0)</f>
        <v>0</v>
      </c>
      <c r="J942" s="4">
        <f>IFERROR(__xludf.DUMMYFUNCTION("""COMPUTED_VALUE"""),2.5)</f>
        <v>2.5</v>
      </c>
      <c r="K942" s="2"/>
      <c r="L942" s="2" t="str">
        <f>IFERROR(__xludf.DUMMYFUNCTION("""COMPUTED_VALUE"""),"Delivered")</f>
        <v>Delivered</v>
      </c>
      <c r="M942" s="2" t="str">
        <f>IFERROR(__xludf.DUMMYFUNCTION("""COMPUTED_VALUE"""),"BHD")</f>
        <v>BHD</v>
      </c>
      <c r="N942" s="2" t="str">
        <f>IFERROR(__xludf.DUMMYFUNCTION("""COMPUTED_VALUE"""),"Credit, Debit")</f>
        <v>Credit, Debit</v>
      </c>
      <c r="O942" s="4">
        <f>IFERROR(__xludf.DUMMYFUNCTION("""COMPUTED_VALUE"""),0.0)</f>
        <v>0</v>
      </c>
      <c r="P942" s="2">
        <f>IFERROR(__xludf.DUMMYFUNCTION("""COMPUTED_VALUE"""),14.0)</f>
        <v>14</v>
      </c>
      <c r="Q942" s="2">
        <f>IFERROR(__xludf.DUMMYFUNCTION("""COMPUTED_VALUE"""),8.0)</f>
        <v>8</v>
      </c>
      <c r="R942" s="2">
        <f>IFERROR(__xludf.DUMMYFUNCTION("""COMPUTED_VALUE"""),2025.0)</f>
        <v>2025</v>
      </c>
      <c r="S942" s="2" t="str">
        <f>IFERROR(__xludf.DUMMYFUNCTION("""COMPUTED_VALUE"""),"Digizag")</f>
        <v>Digizag</v>
      </c>
      <c r="T942" s="2" t="str">
        <f>IFERROR(__xludf.DUMMYFUNCTION("""COMPUTED_VALUE"""),"Digizag")</f>
        <v>Digizag</v>
      </c>
      <c r="U942" s="5">
        <f>IFERROR(__xludf.DUMMYFUNCTION("""COMPUTED_VALUE"""),66.53515836)</f>
        <v>66.53515836</v>
      </c>
      <c r="V942" s="2"/>
      <c r="W942" s="2"/>
      <c r="X942" s="2"/>
      <c r="Y942" s="2"/>
      <c r="Z942" s="2"/>
    </row>
    <row r="943">
      <c r="A943" s="6">
        <f>IFERROR(__xludf.DUMMYFUNCTION("""COMPUTED_VALUE"""),45884.03136574074)</f>
        <v>45884.03137</v>
      </c>
      <c r="B943" s="2" t="str">
        <f>IFERROR(__xludf.DUMMYFUNCTION("""COMPUTED_VALUE"""),"August")</f>
        <v>August</v>
      </c>
      <c r="C943" s="3">
        <f>IFERROR(__xludf.DUMMYFUNCTION("""COMPUTED_VALUE"""),517810.0)</f>
        <v>517810</v>
      </c>
      <c r="D943" s="2" t="str">
        <f>IFERROR(__xludf.DUMMYFUNCTION("""COMPUTED_VALUE"""),"MNN27")</f>
        <v>MNN27</v>
      </c>
      <c r="E943" s="2" t="str">
        <f>IFERROR(__xludf.DUMMYFUNCTION("""COMPUTED_VALUE"""),"Imported from file DigiZag Codes 25Feb25.xlsx")</f>
        <v>Imported from file DigiZag Codes 25Feb25.xlsx</v>
      </c>
      <c r="F943" s="2" t="str">
        <f>IFERROR(__xludf.DUMMYFUNCTION("""COMPUTED_VALUE"""),"TKL445638")</f>
        <v>TKL445638</v>
      </c>
      <c r="G943" s="2" t="str">
        <f>IFERROR(__xludf.DUMMYFUNCTION("""COMPUTED_VALUE"""),"Kuwait")</f>
        <v>Kuwait</v>
      </c>
      <c r="H943" s="4">
        <f>IFERROR(__xludf.DUMMYFUNCTION("""COMPUTED_VALUE"""),15.9)</f>
        <v>15.9</v>
      </c>
      <c r="I943" s="3">
        <f>IFERROR(__xludf.DUMMYFUNCTION("""COMPUTED_VALUE"""),0.0)</f>
        <v>0</v>
      </c>
      <c r="J943" s="4">
        <f>IFERROR(__xludf.DUMMYFUNCTION("""COMPUTED_VALUE"""),1.59)</f>
        <v>1.59</v>
      </c>
      <c r="K943" s="2"/>
      <c r="L943" s="2" t="str">
        <f>IFERROR(__xludf.DUMMYFUNCTION("""COMPUTED_VALUE"""),"Delivered")</f>
        <v>Delivered</v>
      </c>
      <c r="M943" s="2" t="str">
        <f>IFERROR(__xludf.DUMMYFUNCTION("""COMPUTED_VALUE"""),"KD")</f>
        <v>KD</v>
      </c>
      <c r="N943" s="2" t="str">
        <f>IFERROR(__xludf.DUMMYFUNCTION("""COMPUTED_VALUE"""),"Credit, Debit, Knet")</f>
        <v>Credit, Debit, Knet</v>
      </c>
      <c r="O943" s="4">
        <f>IFERROR(__xludf.DUMMYFUNCTION("""COMPUTED_VALUE"""),0.0)</f>
        <v>0</v>
      </c>
      <c r="P943" s="2">
        <f>IFERROR(__xludf.DUMMYFUNCTION("""COMPUTED_VALUE"""),15.0)</f>
        <v>15</v>
      </c>
      <c r="Q943" s="2">
        <f>IFERROR(__xludf.DUMMYFUNCTION("""COMPUTED_VALUE"""),8.0)</f>
        <v>8</v>
      </c>
      <c r="R943" s="2">
        <f>IFERROR(__xludf.DUMMYFUNCTION("""COMPUTED_VALUE"""),2025.0)</f>
        <v>2025</v>
      </c>
      <c r="S943" s="2" t="str">
        <f>IFERROR(__xludf.DUMMYFUNCTION("""COMPUTED_VALUE"""),"Digizag")</f>
        <v>Digizag</v>
      </c>
      <c r="T943" s="2" t="str">
        <f>IFERROR(__xludf.DUMMYFUNCTION("""COMPUTED_VALUE"""),"Digizag")</f>
        <v>Digizag</v>
      </c>
      <c r="U943" s="5">
        <f>IFERROR(__xludf.DUMMYFUNCTION("""COMPUTED_VALUE"""),51.843858)</f>
        <v>51.843858</v>
      </c>
      <c r="V943" s="2"/>
      <c r="W943" s="2"/>
      <c r="X943" s="2"/>
      <c r="Y943" s="2"/>
      <c r="Z943" s="2"/>
    </row>
    <row r="944">
      <c r="A944" s="6">
        <f>IFERROR(__xludf.DUMMYFUNCTION("""COMPUTED_VALUE"""),45884.54393518518)</f>
        <v>45884.54394</v>
      </c>
      <c r="B944" s="2" t="str">
        <f>IFERROR(__xludf.DUMMYFUNCTION("""COMPUTED_VALUE"""),"August")</f>
        <v>August</v>
      </c>
      <c r="C944" s="3">
        <f>IFERROR(__xludf.DUMMYFUNCTION("""COMPUTED_VALUE"""),699219.0)</f>
        <v>699219</v>
      </c>
      <c r="D944" s="2" t="str">
        <f>IFERROR(__xludf.DUMMYFUNCTION("""COMPUTED_VALUE"""),"CC22")</f>
        <v>CC22</v>
      </c>
      <c r="E944" s="2" t="str">
        <f>IFERROR(__xludf.DUMMYFUNCTION("""COMPUTED_VALUE"""),"Imported from file Digizag.xlsx")</f>
        <v>Imported from file Digizag.xlsx</v>
      </c>
      <c r="F944" s="2" t="str">
        <f>IFERROR(__xludf.DUMMYFUNCTION("""COMPUTED_VALUE"""),"UTJ604620")</f>
        <v>UTJ604620</v>
      </c>
      <c r="G944" s="2" t="str">
        <f>IFERROR(__xludf.DUMMYFUNCTION("""COMPUTED_VALUE"""),"Kingdom of Saudi Arabia")</f>
        <v>Kingdom of Saudi Arabia</v>
      </c>
      <c r="H944" s="4">
        <f>IFERROR(__xludf.DUMMYFUNCTION("""COMPUTED_VALUE"""),238.5)</f>
        <v>238.5</v>
      </c>
      <c r="I944" s="3">
        <f>IFERROR(__xludf.DUMMYFUNCTION("""COMPUTED_VALUE"""),0.0)</f>
        <v>0</v>
      </c>
      <c r="J944" s="4">
        <f>IFERROR(__xludf.DUMMYFUNCTION("""COMPUTED_VALUE"""),30.0)</f>
        <v>30</v>
      </c>
      <c r="K944" s="2"/>
      <c r="L944" s="2" t="str">
        <f>IFERROR(__xludf.DUMMYFUNCTION("""COMPUTED_VALUE"""),"Delivered")</f>
        <v>Delivered</v>
      </c>
      <c r="M944" s="2" t="str">
        <f>IFERROR(__xludf.DUMMYFUNCTION("""COMPUTED_VALUE"""),"")</f>
        <v></v>
      </c>
      <c r="N944" s="2" t="str">
        <f>IFERROR(__xludf.DUMMYFUNCTION("""COMPUTED_VALUE"""),"Credit, Debit, Apple Pay")</f>
        <v>Credit, Debit, Apple Pay</v>
      </c>
      <c r="O944" s="4">
        <f>IFERROR(__xludf.DUMMYFUNCTION("""COMPUTED_VALUE"""),0.0)</f>
        <v>0</v>
      </c>
      <c r="P944" s="2">
        <f>IFERROR(__xludf.DUMMYFUNCTION("""COMPUTED_VALUE"""),15.0)</f>
        <v>15</v>
      </c>
      <c r="Q944" s="2">
        <f>IFERROR(__xludf.DUMMYFUNCTION("""COMPUTED_VALUE"""),8.0)</f>
        <v>8</v>
      </c>
      <c r="R944" s="2">
        <f>IFERROR(__xludf.DUMMYFUNCTION("""COMPUTED_VALUE"""),2025.0)</f>
        <v>2025</v>
      </c>
      <c r="S944" s="2" t="str">
        <f>IFERROR(__xludf.DUMMYFUNCTION("""COMPUTED_VALUE"""),"Digizag")</f>
        <v>Digizag</v>
      </c>
      <c r="T944" s="2" t="str">
        <f>IFERROR(__xludf.DUMMYFUNCTION("""COMPUTED_VALUE"""),"Digizag")</f>
        <v>Digizag</v>
      </c>
      <c r="U944" s="5">
        <f>IFERROR(__xludf.DUMMYFUNCTION("""COMPUTED_VALUE"""),63.595081971000006)</f>
        <v>63.59508197</v>
      </c>
      <c r="V944" s="2"/>
      <c r="W944" s="2"/>
      <c r="X944" s="2"/>
      <c r="Y944" s="2"/>
      <c r="Z944" s="2"/>
    </row>
    <row r="945">
      <c r="A945" s="6">
        <f>IFERROR(__xludf.DUMMYFUNCTION("""COMPUTED_VALUE"""),45884.576423611106)</f>
        <v>45884.57642</v>
      </c>
      <c r="B945" s="2" t="str">
        <f>IFERROR(__xludf.DUMMYFUNCTION("""COMPUTED_VALUE"""),"August")</f>
        <v>August</v>
      </c>
      <c r="C945" s="3">
        <f>IFERROR(__xludf.DUMMYFUNCTION("""COMPUTED_VALUE"""),418411.0)</f>
        <v>418411</v>
      </c>
      <c r="D945" s="2" t="str">
        <f>IFERROR(__xludf.DUMMYFUNCTION("""COMPUTED_VALUE"""),"MNN27")</f>
        <v>MNN27</v>
      </c>
      <c r="E945" s="2" t="str">
        <f>IFERROR(__xludf.DUMMYFUNCTION("""COMPUTED_VALUE"""),"Imported from file DigiZag Codes 25Feb25.xlsx")</f>
        <v>Imported from file DigiZag Codes 25Feb25.xlsx</v>
      </c>
      <c r="F945" s="2" t="str">
        <f>IFERROR(__xludf.DUMMYFUNCTION("""COMPUTED_VALUE"""),"VCQ557263")</f>
        <v>VCQ557263</v>
      </c>
      <c r="G945" s="2" t="str">
        <f>IFERROR(__xludf.DUMMYFUNCTION("""COMPUTED_VALUE"""),"UAE")</f>
        <v>UAE</v>
      </c>
      <c r="H945" s="4">
        <f>IFERROR(__xludf.DUMMYFUNCTION("""COMPUTED_VALUE"""),102.0)</f>
        <v>102</v>
      </c>
      <c r="I945" s="3">
        <f>IFERROR(__xludf.DUMMYFUNCTION("""COMPUTED_VALUE"""),0.0)</f>
        <v>0</v>
      </c>
      <c r="J945" s="4">
        <f>IFERROR(__xludf.DUMMYFUNCTION("""COMPUTED_VALUE"""),10.2)</f>
        <v>10.2</v>
      </c>
      <c r="K945" s="2"/>
      <c r="L945" s="2" t="str">
        <f>IFERROR(__xludf.DUMMYFUNCTION("""COMPUTED_VALUE"""),"Delivered")</f>
        <v>Delivered</v>
      </c>
      <c r="M945" s="2" t="str">
        <f>IFERROR(__xludf.DUMMYFUNCTION("""COMPUTED_VALUE"""),"")</f>
        <v></v>
      </c>
      <c r="N945" s="2" t="str">
        <f>IFERROR(__xludf.DUMMYFUNCTION("""COMPUTED_VALUE"""),"Credit, Debit , Apple Pay")</f>
        <v>Credit, Debit , Apple Pay</v>
      </c>
      <c r="O945" s="4">
        <f>IFERROR(__xludf.DUMMYFUNCTION("""COMPUTED_VALUE"""),0.0)</f>
        <v>0</v>
      </c>
      <c r="P945" s="2">
        <f>IFERROR(__xludf.DUMMYFUNCTION("""COMPUTED_VALUE"""),15.0)</f>
        <v>15</v>
      </c>
      <c r="Q945" s="2">
        <f>IFERROR(__xludf.DUMMYFUNCTION("""COMPUTED_VALUE"""),8.0)</f>
        <v>8</v>
      </c>
      <c r="R945" s="2">
        <f>IFERROR(__xludf.DUMMYFUNCTION("""COMPUTED_VALUE"""),2025.0)</f>
        <v>2025</v>
      </c>
      <c r="S945" s="2" t="str">
        <f>IFERROR(__xludf.DUMMYFUNCTION("""COMPUTED_VALUE"""),"Digizag")</f>
        <v>Digizag</v>
      </c>
      <c r="T945" s="2" t="str">
        <f>IFERROR(__xludf.DUMMYFUNCTION("""COMPUTED_VALUE"""),"Digizag")</f>
        <v>Digizag</v>
      </c>
      <c r="U945" s="5">
        <f>IFERROR(__xludf.DUMMYFUNCTION("""COMPUTED_VALUE"""),27.773995956)</f>
        <v>27.77399596</v>
      </c>
      <c r="V945" s="2"/>
      <c r="W945" s="2"/>
      <c r="X945" s="2"/>
      <c r="Y945" s="2"/>
      <c r="Z945" s="2"/>
    </row>
    <row r="946">
      <c r="A946" s="6">
        <f>IFERROR(__xludf.DUMMYFUNCTION("""COMPUTED_VALUE"""),45884.631898148145)</f>
        <v>45884.6319</v>
      </c>
      <c r="B946" s="2" t="str">
        <f>IFERROR(__xludf.DUMMYFUNCTION("""COMPUTED_VALUE"""),"August")</f>
        <v>August</v>
      </c>
      <c r="C946" s="3">
        <f>IFERROR(__xludf.DUMMYFUNCTION("""COMPUTED_VALUE"""),37506.0)</f>
        <v>37506</v>
      </c>
      <c r="D946" s="2" t="str">
        <f>IFERROR(__xludf.DUMMYFUNCTION("""COMPUTED_VALUE"""),"JM")</f>
        <v>JM</v>
      </c>
      <c r="E946" s="2" t="str">
        <f>IFERROR(__xludf.DUMMYFUNCTION("""COMPUTED_VALUE"""),"Digizag")</f>
        <v>Digizag</v>
      </c>
      <c r="F946" s="2" t="str">
        <f>IFERROR(__xludf.DUMMYFUNCTION("""COMPUTED_VALUE"""),"MAM190010")</f>
        <v>MAM190010</v>
      </c>
      <c r="G946" s="2" t="str">
        <f>IFERROR(__xludf.DUMMYFUNCTION("""COMPUTED_VALUE"""),"Kuwait")</f>
        <v>Kuwait</v>
      </c>
      <c r="H946" s="4">
        <f>IFERROR(__xludf.DUMMYFUNCTION("""COMPUTED_VALUE"""),25.2)</f>
        <v>25.2</v>
      </c>
      <c r="I946" s="3">
        <f>IFERROR(__xludf.DUMMYFUNCTION("""COMPUTED_VALUE"""),0.0)</f>
        <v>0</v>
      </c>
      <c r="J946" s="4">
        <f>IFERROR(__xludf.DUMMYFUNCTION("""COMPUTED_VALUE"""),2.52)</f>
        <v>2.52</v>
      </c>
      <c r="K946" s="2"/>
      <c r="L946" s="2" t="str">
        <f>IFERROR(__xludf.DUMMYFUNCTION("""COMPUTED_VALUE"""),"Delivered")</f>
        <v>Delivered</v>
      </c>
      <c r="M946" s="2" t="str">
        <f>IFERROR(__xludf.DUMMYFUNCTION("""COMPUTED_VALUE"""),"KD")</f>
        <v>KD</v>
      </c>
      <c r="N946" s="2" t="str">
        <f>IFERROR(__xludf.DUMMYFUNCTION("""COMPUTED_VALUE"""),"Credit, Debit, Knet")</f>
        <v>Credit, Debit, Knet</v>
      </c>
      <c r="O946" s="4">
        <f>IFERROR(__xludf.DUMMYFUNCTION("""COMPUTED_VALUE"""),0.0)</f>
        <v>0</v>
      </c>
      <c r="P946" s="2">
        <f>IFERROR(__xludf.DUMMYFUNCTION("""COMPUTED_VALUE"""),15.0)</f>
        <v>15</v>
      </c>
      <c r="Q946" s="2">
        <f>IFERROR(__xludf.DUMMYFUNCTION("""COMPUTED_VALUE"""),8.0)</f>
        <v>8</v>
      </c>
      <c r="R946" s="2">
        <f>IFERROR(__xludf.DUMMYFUNCTION("""COMPUTED_VALUE"""),2025.0)</f>
        <v>2025</v>
      </c>
      <c r="S946" s="2" t="str">
        <f>IFERROR(__xludf.DUMMYFUNCTION("""COMPUTED_VALUE"""),"Digizag")</f>
        <v>Digizag</v>
      </c>
      <c r="T946" s="2" t="str">
        <f>IFERROR(__xludf.DUMMYFUNCTION("""COMPUTED_VALUE"""),"Digizag")</f>
        <v>Digizag</v>
      </c>
      <c r="U946" s="5">
        <f>IFERROR(__xludf.DUMMYFUNCTION("""COMPUTED_VALUE"""),82.16762399999999)</f>
        <v>82.167624</v>
      </c>
      <c r="V946" s="2"/>
      <c r="W946" s="2"/>
      <c r="X946" s="2"/>
      <c r="Y946" s="2"/>
      <c r="Z946" s="2"/>
    </row>
    <row r="947">
      <c r="A947" s="6">
        <f>IFERROR(__xludf.DUMMYFUNCTION("""COMPUTED_VALUE"""),45884.75918981481)</f>
        <v>45884.75919</v>
      </c>
      <c r="B947" s="2" t="str">
        <f>IFERROR(__xludf.DUMMYFUNCTION("""COMPUTED_VALUE"""),"August")</f>
        <v>August</v>
      </c>
      <c r="C947" s="3">
        <f>IFERROR(__xludf.DUMMYFUNCTION("""COMPUTED_VALUE"""),535239.0)</f>
        <v>535239</v>
      </c>
      <c r="D947" s="2" t="str">
        <f>IFERROR(__xludf.DUMMYFUNCTION("""COMPUTED_VALUE"""),"ZM22")</f>
        <v>ZM22</v>
      </c>
      <c r="E947" s="2" t="str">
        <f>IFERROR(__xludf.DUMMYFUNCTION("""COMPUTED_VALUE"""),"Imported from file Digizag.xlsx")</f>
        <v>Imported from file Digizag.xlsx</v>
      </c>
      <c r="F947" s="2" t="str">
        <f>IFERROR(__xludf.DUMMYFUNCTION("""COMPUTED_VALUE"""),"XEN942040")</f>
        <v>XEN942040</v>
      </c>
      <c r="G947" s="2" t="str">
        <f>IFERROR(__xludf.DUMMYFUNCTION("""COMPUTED_VALUE"""),"UAE")</f>
        <v>UAE</v>
      </c>
      <c r="H947" s="4">
        <f>IFERROR(__xludf.DUMMYFUNCTION("""COMPUTED_VALUE"""),158.0)</f>
        <v>158</v>
      </c>
      <c r="I947" s="3">
        <f>IFERROR(__xludf.DUMMYFUNCTION("""COMPUTED_VALUE"""),0.0)</f>
        <v>0</v>
      </c>
      <c r="J947" s="4">
        <f>IFERROR(__xludf.DUMMYFUNCTION("""COMPUTED_VALUE"""),15.8)</f>
        <v>15.8</v>
      </c>
      <c r="K947" s="2"/>
      <c r="L947" s="2" t="str">
        <f>IFERROR(__xludf.DUMMYFUNCTION("""COMPUTED_VALUE"""),"Delivered")</f>
        <v>Delivered</v>
      </c>
      <c r="M947" s="2" t="str">
        <f>IFERROR(__xludf.DUMMYFUNCTION("""COMPUTED_VALUE"""),"")</f>
        <v></v>
      </c>
      <c r="N947" s="2" t="str">
        <f>IFERROR(__xludf.DUMMYFUNCTION("""COMPUTED_VALUE"""),"Credit, Debit , Apple Pay")</f>
        <v>Credit, Debit , Apple Pay</v>
      </c>
      <c r="O947" s="4">
        <f>IFERROR(__xludf.DUMMYFUNCTION("""COMPUTED_VALUE"""),0.0)</f>
        <v>0</v>
      </c>
      <c r="P947" s="2">
        <f>IFERROR(__xludf.DUMMYFUNCTION("""COMPUTED_VALUE"""),15.0)</f>
        <v>15</v>
      </c>
      <c r="Q947" s="2">
        <f>IFERROR(__xludf.DUMMYFUNCTION("""COMPUTED_VALUE"""),8.0)</f>
        <v>8</v>
      </c>
      <c r="R947" s="2">
        <f>IFERROR(__xludf.DUMMYFUNCTION("""COMPUTED_VALUE"""),2025.0)</f>
        <v>2025</v>
      </c>
      <c r="S947" s="2" t="str">
        <f>IFERROR(__xludf.DUMMYFUNCTION("""COMPUTED_VALUE"""),"Digizag")</f>
        <v>Digizag</v>
      </c>
      <c r="T947" s="2" t="str">
        <f>IFERROR(__xludf.DUMMYFUNCTION("""COMPUTED_VALUE"""),"Digizag")</f>
        <v>Digizag</v>
      </c>
      <c r="U947" s="5">
        <f>IFERROR(__xludf.DUMMYFUNCTION("""COMPUTED_VALUE"""),43.022464324)</f>
        <v>43.02246432</v>
      </c>
      <c r="V947" s="2"/>
      <c r="W947" s="2"/>
      <c r="X947" s="2"/>
      <c r="Y947" s="2"/>
      <c r="Z947" s="2"/>
    </row>
    <row r="948">
      <c r="A948" s="6">
        <f>IFERROR(__xludf.DUMMYFUNCTION("""COMPUTED_VALUE"""),45884.92261574074)</f>
        <v>45884.92262</v>
      </c>
      <c r="B948" s="2" t="str">
        <f>IFERROR(__xludf.DUMMYFUNCTION("""COMPUTED_VALUE"""),"August")</f>
        <v>August</v>
      </c>
      <c r="C948" s="3">
        <f>IFERROR(__xludf.DUMMYFUNCTION("""COMPUTED_VALUE"""),33136.0)</f>
        <v>33136</v>
      </c>
      <c r="D948" s="2" t="str">
        <f>IFERROR(__xludf.DUMMYFUNCTION("""COMPUTED_VALUE"""),"CC22")</f>
        <v>CC22</v>
      </c>
      <c r="E948" s="2" t="str">
        <f>IFERROR(__xludf.DUMMYFUNCTION("""COMPUTED_VALUE"""),"Imported from file Digizag.xlsx")</f>
        <v>Imported from file Digizag.xlsx</v>
      </c>
      <c r="F948" s="2" t="str">
        <f>IFERROR(__xludf.DUMMYFUNCTION("""COMPUTED_VALUE"""),"GJH511350")</f>
        <v>GJH511350</v>
      </c>
      <c r="G948" s="2" t="str">
        <f>IFERROR(__xludf.DUMMYFUNCTION("""COMPUTED_VALUE"""),"Kingdom of Saudi Arabia")</f>
        <v>Kingdom of Saudi Arabia</v>
      </c>
      <c r="H948" s="4">
        <f>IFERROR(__xludf.DUMMYFUNCTION("""COMPUTED_VALUE"""),317.0)</f>
        <v>317</v>
      </c>
      <c r="I948" s="3">
        <f>IFERROR(__xludf.DUMMYFUNCTION("""COMPUTED_VALUE"""),0.0)</f>
        <v>0</v>
      </c>
      <c r="J948" s="4">
        <f>IFERROR(__xludf.DUMMYFUNCTION("""COMPUTED_VALUE"""),30.0)</f>
        <v>30</v>
      </c>
      <c r="K948" s="2"/>
      <c r="L948" s="2" t="str">
        <f>IFERROR(__xludf.DUMMYFUNCTION("""COMPUTED_VALUE"""),"Delivered")</f>
        <v>Delivered</v>
      </c>
      <c r="M948" s="2" t="str">
        <f>IFERROR(__xludf.DUMMYFUNCTION("""COMPUTED_VALUE"""),"")</f>
        <v></v>
      </c>
      <c r="N948" s="2" t="str">
        <f>IFERROR(__xludf.DUMMYFUNCTION("""COMPUTED_VALUE"""),"Credit, Debit, Apple Pay")</f>
        <v>Credit, Debit, Apple Pay</v>
      </c>
      <c r="O948" s="4">
        <f>IFERROR(__xludf.DUMMYFUNCTION("""COMPUTED_VALUE"""),0.0)</f>
        <v>0</v>
      </c>
      <c r="P948" s="2">
        <f>IFERROR(__xludf.DUMMYFUNCTION("""COMPUTED_VALUE"""),15.0)</f>
        <v>15</v>
      </c>
      <c r="Q948" s="2">
        <f>IFERROR(__xludf.DUMMYFUNCTION("""COMPUTED_VALUE"""),8.0)</f>
        <v>8</v>
      </c>
      <c r="R948" s="2">
        <f>IFERROR(__xludf.DUMMYFUNCTION("""COMPUTED_VALUE"""),2025.0)</f>
        <v>2025</v>
      </c>
      <c r="S948" s="2" t="str">
        <f>IFERROR(__xludf.DUMMYFUNCTION("""COMPUTED_VALUE"""),"Digizag")</f>
        <v>Digizag</v>
      </c>
      <c r="T948" s="2" t="str">
        <f>IFERROR(__xludf.DUMMYFUNCTION("""COMPUTED_VALUE"""),"Digizag")</f>
        <v>Digizag</v>
      </c>
      <c r="U948" s="5">
        <f>IFERROR(__xludf.DUMMYFUNCTION("""COMPUTED_VALUE"""),84.526796582)</f>
        <v>84.52679658</v>
      </c>
      <c r="V948" s="2"/>
      <c r="W948" s="2"/>
      <c r="X948" s="2"/>
      <c r="Y948" s="2"/>
      <c r="Z948" s="2"/>
    </row>
    <row r="949">
      <c r="A949" s="6">
        <f>IFERROR(__xludf.DUMMYFUNCTION("""COMPUTED_VALUE"""),45885.47625)</f>
        <v>45885.47625</v>
      </c>
      <c r="B949" s="2" t="str">
        <f>IFERROR(__xludf.DUMMYFUNCTION("""COMPUTED_VALUE"""),"August")</f>
        <v>August</v>
      </c>
      <c r="C949" s="3">
        <f>IFERROR(__xludf.DUMMYFUNCTION("""COMPUTED_VALUE"""),353085.0)</f>
        <v>353085</v>
      </c>
      <c r="D949" s="2" t="str">
        <f>IFERROR(__xludf.DUMMYFUNCTION("""COMPUTED_VALUE"""),"ZM22")</f>
        <v>ZM22</v>
      </c>
      <c r="E949" s="2" t="str">
        <f>IFERROR(__xludf.DUMMYFUNCTION("""COMPUTED_VALUE"""),"Imported from file Digizag.xlsx")</f>
        <v>Imported from file Digizag.xlsx</v>
      </c>
      <c r="F949" s="2" t="str">
        <f>IFERROR(__xludf.DUMMYFUNCTION("""COMPUTED_VALUE"""),"AHR384163")</f>
        <v>AHR384163</v>
      </c>
      <c r="G949" s="2" t="str">
        <f>IFERROR(__xludf.DUMMYFUNCTION("""COMPUTED_VALUE"""),"UAE")</f>
        <v>UAE</v>
      </c>
      <c r="H949" s="4">
        <f>IFERROR(__xludf.DUMMYFUNCTION("""COMPUTED_VALUE"""),95.0)</f>
        <v>95</v>
      </c>
      <c r="I949" s="3">
        <f>IFERROR(__xludf.DUMMYFUNCTION("""COMPUTED_VALUE"""),0.0)</f>
        <v>0</v>
      </c>
      <c r="J949" s="4">
        <f>IFERROR(__xludf.DUMMYFUNCTION("""COMPUTED_VALUE"""),9.5)</f>
        <v>9.5</v>
      </c>
      <c r="K949" s="2"/>
      <c r="L949" s="2" t="str">
        <f>IFERROR(__xludf.DUMMYFUNCTION("""COMPUTED_VALUE"""),"Delivered")</f>
        <v>Delivered</v>
      </c>
      <c r="M949" s="2" t="str">
        <f>IFERROR(__xludf.DUMMYFUNCTION("""COMPUTED_VALUE"""),"")</f>
        <v></v>
      </c>
      <c r="N949" s="2" t="str">
        <f>IFERROR(__xludf.DUMMYFUNCTION("""COMPUTED_VALUE"""),"Credit, Debit , Apple Pay")</f>
        <v>Credit, Debit , Apple Pay</v>
      </c>
      <c r="O949" s="4">
        <f>IFERROR(__xludf.DUMMYFUNCTION("""COMPUTED_VALUE"""),0.0)</f>
        <v>0</v>
      </c>
      <c r="P949" s="2">
        <f>IFERROR(__xludf.DUMMYFUNCTION("""COMPUTED_VALUE"""),16.0)</f>
        <v>16</v>
      </c>
      <c r="Q949" s="2">
        <f>IFERROR(__xludf.DUMMYFUNCTION("""COMPUTED_VALUE"""),8.0)</f>
        <v>8</v>
      </c>
      <c r="R949" s="2">
        <f>IFERROR(__xludf.DUMMYFUNCTION("""COMPUTED_VALUE"""),2025.0)</f>
        <v>2025</v>
      </c>
      <c r="S949" s="2" t="str">
        <f>IFERROR(__xludf.DUMMYFUNCTION("""COMPUTED_VALUE"""),"Digizag")</f>
        <v>Digizag</v>
      </c>
      <c r="T949" s="2" t="str">
        <f>IFERROR(__xludf.DUMMYFUNCTION("""COMPUTED_VALUE"""),"Digizag")</f>
        <v>Digizag</v>
      </c>
      <c r="U949" s="5">
        <f>IFERROR(__xludf.DUMMYFUNCTION("""COMPUTED_VALUE"""),25.86793741)</f>
        <v>25.86793741</v>
      </c>
      <c r="V949" s="2"/>
      <c r="W949" s="2"/>
      <c r="X949" s="2"/>
      <c r="Y949" s="2"/>
      <c r="Z949" s="2"/>
    </row>
    <row r="950">
      <c r="A950" s="6">
        <f>IFERROR(__xludf.DUMMYFUNCTION("""COMPUTED_VALUE"""),45886.27898148148)</f>
        <v>45886.27898</v>
      </c>
      <c r="B950" s="2" t="str">
        <f>IFERROR(__xludf.DUMMYFUNCTION("""COMPUTED_VALUE"""),"August")</f>
        <v>August</v>
      </c>
      <c r="C950" s="3">
        <f>IFERROR(__xludf.DUMMYFUNCTION("""COMPUTED_VALUE"""),177231.0)</f>
        <v>177231</v>
      </c>
      <c r="D950" s="2" t="str">
        <f>IFERROR(__xludf.DUMMYFUNCTION("""COMPUTED_VALUE"""),"MNN27")</f>
        <v>MNN27</v>
      </c>
      <c r="E950" s="2" t="str">
        <f>IFERROR(__xludf.DUMMYFUNCTION("""COMPUTED_VALUE"""),"Imported from file DigiZag Codes 25Feb25.xlsx")</f>
        <v>Imported from file DigiZag Codes 25Feb25.xlsx</v>
      </c>
      <c r="F950" s="2" t="str">
        <f>IFERROR(__xludf.DUMMYFUNCTION("""COMPUTED_VALUE"""),"UKZ998697")</f>
        <v>UKZ998697</v>
      </c>
      <c r="G950" s="2" t="str">
        <f>IFERROR(__xludf.DUMMYFUNCTION("""COMPUTED_VALUE"""),"UAE")</f>
        <v>UAE</v>
      </c>
      <c r="H950" s="4">
        <f>IFERROR(__xludf.DUMMYFUNCTION("""COMPUTED_VALUE"""),198.75)</f>
        <v>198.75</v>
      </c>
      <c r="I950" s="3">
        <f>IFERROR(__xludf.DUMMYFUNCTION("""COMPUTED_VALUE"""),1.0)</f>
        <v>1</v>
      </c>
      <c r="J950" s="4">
        <f>IFERROR(__xludf.DUMMYFUNCTION("""COMPUTED_VALUE"""),19.87)</f>
        <v>19.87</v>
      </c>
      <c r="K950" s="2"/>
      <c r="L950" s="2" t="str">
        <f>IFERROR(__xludf.DUMMYFUNCTION("""COMPUTED_VALUE"""),"Cancelled")</f>
        <v>Cancelled</v>
      </c>
      <c r="M950" s="2" t="str">
        <f>IFERROR(__xludf.DUMMYFUNCTION("""COMPUTED_VALUE"""),"")</f>
        <v></v>
      </c>
      <c r="N950" s="2" t="str">
        <f>IFERROR(__xludf.DUMMYFUNCTION("""COMPUTED_VALUE"""),"Credit, Debit , Apple Pay")</f>
        <v>Credit, Debit , Apple Pay</v>
      </c>
      <c r="O950" s="4">
        <f>IFERROR(__xludf.DUMMYFUNCTION("""COMPUTED_VALUE"""),178.88)</f>
        <v>178.88</v>
      </c>
      <c r="P950" s="2">
        <f>IFERROR(__xludf.DUMMYFUNCTION("""COMPUTED_VALUE"""),17.0)</f>
        <v>17</v>
      </c>
      <c r="Q950" s="2">
        <f>IFERROR(__xludf.DUMMYFUNCTION("""COMPUTED_VALUE"""),8.0)</f>
        <v>8</v>
      </c>
      <c r="R950" s="2">
        <f>IFERROR(__xludf.DUMMYFUNCTION("""COMPUTED_VALUE"""),2025.0)</f>
        <v>2025</v>
      </c>
      <c r="S950" s="2" t="str">
        <f>IFERROR(__xludf.DUMMYFUNCTION("""COMPUTED_VALUE"""),"Digizag")</f>
        <v>Digizag</v>
      </c>
      <c r="T950" s="2" t="str">
        <f>IFERROR(__xludf.DUMMYFUNCTION("""COMPUTED_VALUE"""),"Digizag")</f>
        <v>Digizag</v>
      </c>
      <c r="U950" s="5">
        <f>IFERROR(__xludf.DUMMYFUNCTION("""COMPUTED_VALUE"""),54.118448002499996)</f>
        <v>54.118448</v>
      </c>
      <c r="V950" s="2"/>
      <c r="W950" s="2"/>
      <c r="X950" s="2"/>
      <c r="Y950" s="2"/>
      <c r="Z950" s="2"/>
    </row>
    <row r="951">
      <c r="A951" s="6">
        <f>IFERROR(__xludf.DUMMYFUNCTION("""COMPUTED_VALUE"""),45886.55074074074)</f>
        <v>45886.55074</v>
      </c>
      <c r="B951" s="2" t="str">
        <f>IFERROR(__xludf.DUMMYFUNCTION("""COMPUTED_VALUE"""),"August")</f>
        <v>August</v>
      </c>
      <c r="C951" s="3">
        <f>IFERROR(__xludf.DUMMYFUNCTION("""COMPUTED_VALUE"""),517331.0)</f>
        <v>517331</v>
      </c>
      <c r="D951" s="2" t="str">
        <f>IFERROR(__xludf.DUMMYFUNCTION("""COMPUTED_VALUE"""),"MNN27")</f>
        <v>MNN27</v>
      </c>
      <c r="E951" s="2" t="str">
        <f>IFERROR(__xludf.DUMMYFUNCTION("""COMPUTED_VALUE"""),"Imported from file DigiZag Bidding Codes.xlsx")</f>
        <v>Imported from file DigiZag Bidding Codes.xlsx</v>
      </c>
      <c r="F951" s="2" t="str">
        <f>IFERROR(__xludf.DUMMYFUNCTION("""COMPUTED_VALUE"""),"BTB651001")</f>
        <v>BTB651001</v>
      </c>
      <c r="G951" s="2" t="str">
        <f>IFERROR(__xludf.DUMMYFUNCTION("""COMPUTED_VALUE"""),"Kingdom of Saudi Arabia")</f>
        <v>Kingdom of Saudi Arabia</v>
      </c>
      <c r="H951" s="4">
        <f>IFERROR(__xludf.DUMMYFUNCTION("""COMPUTED_VALUE"""),257.16)</f>
        <v>257.16</v>
      </c>
      <c r="I951" s="3">
        <f>IFERROR(__xludf.DUMMYFUNCTION("""COMPUTED_VALUE"""),0.0)</f>
        <v>0</v>
      </c>
      <c r="J951" s="4">
        <f>IFERROR(__xludf.DUMMYFUNCTION("""COMPUTED_VALUE"""),30.0)</f>
        <v>30</v>
      </c>
      <c r="K951" s="2"/>
      <c r="L951" s="2" t="str">
        <f>IFERROR(__xludf.DUMMYFUNCTION("""COMPUTED_VALUE"""),"Delivered")</f>
        <v>Delivered</v>
      </c>
      <c r="M951" s="2" t="str">
        <f>IFERROR(__xludf.DUMMYFUNCTION("""COMPUTED_VALUE"""),"")</f>
        <v></v>
      </c>
      <c r="N951" s="2" t="str">
        <f>IFERROR(__xludf.DUMMYFUNCTION("""COMPUTED_VALUE"""),"Credit, Debit, Apple Pay")</f>
        <v>Credit, Debit, Apple Pay</v>
      </c>
      <c r="O951" s="4">
        <f>IFERROR(__xludf.DUMMYFUNCTION("""COMPUTED_VALUE"""),0.0)</f>
        <v>0</v>
      </c>
      <c r="P951" s="2">
        <f>IFERROR(__xludf.DUMMYFUNCTION("""COMPUTED_VALUE"""),17.0)</f>
        <v>17</v>
      </c>
      <c r="Q951" s="2">
        <f>IFERROR(__xludf.DUMMYFUNCTION("""COMPUTED_VALUE"""),8.0)</f>
        <v>8</v>
      </c>
      <c r="R951" s="2">
        <f>IFERROR(__xludf.DUMMYFUNCTION("""COMPUTED_VALUE"""),2025.0)</f>
        <v>2025</v>
      </c>
      <c r="S951" s="2" t="str">
        <f>IFERROR(__xludf.DUMMYFUNCTION("""COMPUTED_VALUE"""),"Digizag")</f>
        <v>Digizag</v>
      </c>
      <c r="T951" s="2" t="str">
        <f>IFERROR(__xludf.DUMMYFUNCTION("""COMPUTED_VALUE"""),"Digizag")</f>
        <v>Digizag</v>
      </c>
      <c r="U951" s="5">
        <f>IFERROR(__xludf.DUMMYFUNCTION("""COMPUTED_VALUE"""),68.57069718936002)</f>
        <v>68.57069719</v>
      </c>
      <c r="V951" s="2"/>
      <c r="W951" s="2"/>
      <c r="X951" s="2"/>
      <c r="Y951" s="2"/>
      <c r="Z951" s="2"/>
    </row>
    <row r="952">
      <c r="A952" s="6">
        <f>IFERROR(__xludf.DUMMYFUNCTION("""COMPUTED_VALUE"""),45886.77503472222)</f>
        <v>45886.77503</v>
      </c>
      <c r="B952" s="2" t="str">
        <f>IFERROR(__xludf.DUMMYFUNCTION("""COMPUTED_VALUE"""),"August")</f>
        <v>August</v>
      </c>
      <c r="C952" s="3">
        <f>IFERROR(__xludf.DUMMYFUNCTION("""COMPUTED_VALUE"""),787282.0)</f>
        <v>787282</v>
      </c>
      <c r="D952" s="2" t="str">
        <f>IFERROR(__xludf.DUMMYFUNCTION("""COMPUTED_VALUE"""),"MNN27")</f>
        <v>MNN27</v>
      </c>
      <c r="E952" s="2" t="str">
        <f>IFERROR(__xludf.DUMMYFUNCTION("""COMPUTED_VALUE"""),"Imported from file DigiZag Codes 25Feb25.xlsx")</f>
        <v>Imported from file DigiZag Codes 25Feb25.xlsx</v>
      </c>
      <c r="F952" s="2" t="str">
        <f>IFERROR(__xludf.DUMMYFUNCTION("""COMPUTED_VALUE"""),"QSP958478")</f>
        <v>QSP958478</v>
      </c>
      <c r="G952" s="2" t="str">
        <f>IFERROR(__xludf.DUMMYFUNCTION("""COMPUTED_VALUE"""),"Kuwait")</f>
        <v>Kuwait</v>
      </c>
      <c r="H952" s="4">
        <f>IFERROR(__xludf.DUMMYFUNCTION("""COMPUTED_VALUE"""),7.9)</f>
        <v>7.9</v>
      </c>
      <c r="I952" s="3">
        <f>IFERROR(__xludf.DUMMYFUNCTION("""COMPUTED_VALUE"""),1.0)</f>
        <v>1</v>
      </c>
      <c r="J952" s="4">
        <f>IFERROR(__xludf.DUMMYFUNCTION("""COMPUTED_VALUE"""),0.79)</f>
        <v>0.79</v>
      </c>
      <c r="K952" s="2"/>
      <c r="L952" s="2" t="str">
        <f>IFERROR(__xludf.DUMMYFUNCTION("""COMPUTED_VALUE"""),"Cancelled")</f>
        <v>Cancelled</v>
      </c>
      <c r="M952" s="2" t="str">
        <f>IFERROR(__xludf.DUMMYFUNCTION("""COMPUTED_VALUE"""),"KD")</f>
        <v>KD</v>
      </c>
      <c r="N952" s="2" t="str">
        <f>IFERROR(__xludf.DUMMYFUNCTION("""COMPUTED_VALUE"""),"Cash")</f>
        <v>Cash</v>
      </c>
      <c r="O952" s="4">
        <f>IFERROR(__xludf.DUMMYFUNCTION("""COMPUTED_VALUE"""),7.11)</f>
        <v>7.11</v>
      </c>
      <c r="P952" s="2">
        <f>IFERROR(__xludf.DUMMYFUNCTION("""COMPUTED_VALUE"""),17.0)</f>
        <v>17</v>
      </c>
      <c r="Q952" s="2">
        <f>IFERROR(__xludf.DUMMYFUNCTION("""COMPUTED_VALUE"""),8.0)</f>
        <v>8</v>
      </c>
      <c r="R952" s="2">
        <f>IFERROR(__xludf.DUMMYFUNCTION("""COMPUTED_VALUE"""),2025.0)</f>
        <v>2025</v>
      </c>
      <c r="S952" s="2" t="str">
        <f>IFERROR(__xludf.DUMMYFUNCTION("""COMPUTED_VALUE"""),"Digizag")</f>
        <v>Digizag</v>
      </c>
      <c r="T952" s="2" t="str">
        <f>IFERROR(__xludf.DUMMYFUNCTION("""COMPUTED_VALUE"""),"Digizag")</f>
        <v>Digizag</v>
      </c>
      <c r="U952" s="5">
        <f>IFERROR(__xludf.DUMMYFUNCTION("""COMPUTED_VALUE"""),25.758898)</f>
        <v>25.758898</v>
      </c>
      <c r="V952" s="2"/>
      <c r="W952" s="2"/>
      <c r="X952" s="2"/>
      <c r="Y952" s="2"/>
      <c r="Z952" s="2"/>
    </row>
    <row r="953">
      <c r="A953" s="6">
        <f>IFERROR(__xludf.DUMMYFUNCTION("""COMPUTED_VALUE"""),45886.887974537036)</f>
        <v>45886.88797</v>
      </c>
      <c r="B953" s="2" t="str">
        <f>IFERROR(__xludf.DUMMYFUNCTION("""COMPUTED_VALUE"""),"August")</f>
        <v>August</v>
      </c>
      <c r="C953" s="3">
        <f>IFERROR(__xludf.DUMMYFUNCTION("""COMPUTED_VALUE"""),343972.0)</f>
        <v>343972</v>
      </c>
      <c r="D953" s="2" t="str">
        <f>IFERROR(__xludf.DUMMYFUNCTION("""COMPUTED_VALUE"""),"MNN27")</f>
        <v>MNN27</v>
      </c>
      <c r="E953" s="2" t="str">
        <f>IFERROR(__xludf.DUMMYFUNCTION("""COMPUTED_VALUE"""),"Imported from file DigiZag Codes 25Feb25.xlsx")</f>
        <v>Imported from file DigiZag Codes 25Feb25.xlsx</v>
      </c>
      <c r="F953" s="2" t="str">
        <f>IFERROR(__xludf.DUMMYFUNCTION("""COMPUTED_VALUE"""),"SVS306869")</f>
        <v>SVS306869</v>
      </c>
      <c r="G953" s="2" t="str">
        <f>IFERROR(__xludf.DUMMYFUNCTION("""COMPUTED_VALUE"""),"Bahrain")</f>
        <v>Bahrain</v>
      </c>
      <c r="H953" s="4">
        <f>IFERROR(__xludf.DUMMYFUNCTION("""COMPUTED_VALUE"""),14.91)</f>
        <v>14.91</v>
      </c>
      <c r="I953" s="3">
        <f>IFERROR(__xludf.DUMMYFUNCTION("""COMPUTED_VALUE"""),0.0)</f>
        <v>0</v>
      </c>
      <c r="J953" s="4">
        <f>IFERROR(__xludf.DUMMYFUNCTION("""COMPUTED_VALUE"""),1.49)</f>
        <v>1.49</v>
      </c>
      <c r="K953" s="2"/>
      <c r="L953" s="2" t="str">
        <f>IFERROR(__xludf.DUMMYFUNCTION("""COMPUTED_VALUE"""),"Delivered")</f>
        <v>Delivered</v>
      </c>
      <c r="M953" s="2" t="str">
        <f>IFERROR(__xludf.DUMMYFUNCTION("""COMPUTED_VALUE"""),"BHD")</f>
        <v>BHD</v>
      </c>
      <c r="N953" s="2" t="str">
        <f>IFERROR(__xludf.DUMMYFUNCTION("""COMPUTED_VALUE"""),"Credit, Debit")</f>
        <v>Credit, Debit</v>
      </c>
      <c r="O953" s="4">
        <f>IFERROR(__xludf.DUMMYFUNCTION("""COMPUTED_VALUE"""),0.0)</f>
        <v>0</v>
      </c>
      <c r="P953" s="2">
        <f>IFERROR(__xludf.DUMMYFUNCTION("""COMPUTED_VALUE"""),17.0)</f>
        <v>17</v>
      </c>
      <c r="Q953" s="2">
        <f>IFERROR(__xludf.DUMMYFUNCTION("""COMPUTED_VALUE"""),8.0)</f>
        <v>8</v>
      </c>
      <c r="R953" s="2">
        <f>IFERROR(__xludf.DUMMYFUNCTION("""COMPUTED_VALUE"""),2025.0)</f>
        <v>2025</v>
      </c>
      <c r="S953" s="2" t="str">
        <f>IFERROR(__xludf.DUMMYFUNCTION("""COMPUTED_VALUE"""),"Digizag")</f>
        <v>Digizag</v>
      </c>
      <c r="T953" s="2" t="str">
        <f>IFERROR(__xludf.DUMMYFUNCTION("""COMPUTED_VALUE"""),"Digizag")</f>
        <v>Digizag</v>
      </c>
      <c r="U953" s="5">
        <f>IFERROR(__xludf.DUMMYFUNCTION("""COMPUTED_VALUE"""),39.55499247)</f>
        <v>39.55499247</v>
      </c>
      <c r="V953" s="2"/>
      <c r="W953" s="2"/>
      <c r="X953" s="2"/>
      <c r="Y953" s="2"/>
      <c r="Z953" s="2"/>
    </row>
    <row r="954">
      <c r="A954" s="6">
        <f>IFERROR(__xludf.DUMMYFUNCTION("""COMPUTED_VALUE"""),45887.19844907407)</f>
        <v>45887.19845</v>
      </c>
      <c r="B954" s="2" t="str">
        <f>IFERROR(__xludf.DUMMYFUNCTION("""COMPUTED_VALUE"""),"August")</f>
        <v>August</v>
      </c>
      <c r="C954" s="3">
        <f>IFERROR(__xludf.DUMMYFUNCTION("""COMPUTED_VALUE"""),380105.0)</f>
        <v>380105</v>
      </c>
      <c r="D954" s="2" t="str">
        <f>IFERROR(__xludf.DUMMYFUNCTION("""COMPUTED_VALUE"""),"CC22")</f>
        <v>CC22</v>
      </c>
      <c r="E954" s="2" t="str">
        <f>IFERROR(__xludf.DUMMYFUNCTION("""COMPUTED_VALUE"""),"Imported from file Digizag.xlsx")</f>
        <v>Imported from file Digizag.xlsx</v>
      </c>
      <c r="F954" s="2" t="str">
        <f>IFERROR(__xludf.DUMMYFUNCTION("""COMPUTED_VALUE"""),"TZL908008")</f>
        <v>TZL908008</v>
      </c>
      <c r="G954" s="2" t="str">
        <f>IFERROR(__xludf.DUMMYFUNCTION("""COMPUTED_VALUE"""),"Kingdom of Saudi Arabia")</f>
        <v>Kingdom of Saudi Arabia</v>
      </c>
      <c r="H954" s="4">
        <f>IFERROR(__xludf.DUMMYFUNCTION("""COMPUTED_VALUE"""),135.71)</f>
        <v>135.71</v>
      </c>
      <c r="I954" s="3">
        <f>IFERROR(__xludf.DUMMYFUNCTION("""COMPUTED_VALUE"""),0.0)</f>
        <v>0</v>
      </c>
      <c r="J954" s="4">
        <f>IFERROR(__xludf.DUMMYFUNCTION("""COMPUTED_VALUE"""),30.0)</f>
        <v>30</v>
      </c>
      <c r="K954" s="2"/>
      <c r="L954" s="2" t="str">
        <f>IFERROR(__xludf.DUMMYFUNCTION("""COMPUTED_VALUE"""),"Delivered")</f>
        <v>Delivered</v>
      </c>
      <c r="M954" s="2" t="str">
        <f>IFERROR(__xludf.DUMMYFUNCTION("""COMPUTED_VALUE"""),"")</f>
        <v></v>
      </c>
      <c r="N954" s="2" t="str">
        <f>IFERROR(__xludf.DUMMYFUNCTION("""COMPUTED_VALUE"""),"Credit, Debit, Apple Pay")</f>
        <v>Credit, Debit, Apple Pay</v>
      </c>
      <c r="O954" s="4">
        <f>IFERROR(__xludf.DUMMYFUNCTION("""COMPUTED_VALUE"""),0.0)</f>
        <v>0</v>
      </c>
      <c r="P954" s="2">
        <f>IFERROR(__xludf.DUMMYFUNCTION("""COMPUTED_VALUE"""),18.0)</f>
        <v>18</v>
      </c>
      <c r="Q954" s="2">
        <f>IFERROR(__xludf.DUMMYFUNCTION("""COMPUTED_VALUE"""),8.0)</f>
        <v>8</v>
      </c>
      <c r="R954" s="2">
        <f>IFERROR(__xludf.DUMMYFUNCTION("""COMPUTED_VALUE"""),2025.0)</f>
        <v>2025</v>
      </c>
      <c r="S954" s="2" t="str">
        <f>IFERROR(__xludf.DUMMYFUNCTION("""COMPUTED_VALUE"""),"Digizag")</f>
        <v>Digizag</v>
      </c>
      <c r="T954" s="2" t="str">
        <f>IFERROR(__xludf.DUMMYFUNCTION("""COMPUTED_VALUE"""),"Digizag")</f>
        <v>Digizag</v>
      </c>
      <c r="U954" s="5">
        <f>IFERROR(__xludf.DUMMYFUNCTION("""COMPUTED_VALUE"""),36.18653490266001)</f>
        <v>36.1865349</v>
      </c>
      <c r="V954" s="2"/>
      <c r="W954" s="2"/>
      <c r="X954" s="2"/>
      <c r="Y954" s="2"/>
      <c r="Z954" s="2"/>
    </row>
    <row r="955">
      <c r="A955" s="6">
        <f>IFERROR(__xludf.DUMMYFUNCTION("""COMPUTED_VALUE"""),45887.6643287037)</f>
        <v>45887.66433</v>
      </c>
      <c r="B955" s="2" t="str">
        <f>IFERROR(__xludf.DUMMYFUNCTION("""COMPUTED_VALUE"""),"August")</f>
        <v>August</v>
      </c>
      <c r="C955" s="3">
        <f>IFERROR(__xludf.DUMMYFUNCTION("""COMPUTED_VALUE"""),787608.0)</f>
        <v>787608</v>
      </c>
      <c r="D955" s="2" t="str">
        <f>IFERROR(__xludf.DUMMYFUNCTION("""COMPUTED_VALUE"""),"MNN27")</f>
        <v>MNN27</v>
      </c>
      <c r="E955" s="2" t="str">
        <f>IFERROR(__xludf.DUMMYFUNCTION("""COMPUTED_VALUE"""),"Imported from file DigiZag Codes 25Feb25.xlsx")</f>
        <v>Imported from file DigiZag Codes 25Feb25.xlsx</v>
      </c>
      <c r="F955" s="2" t="str">
        <f>IFERROR(__xludf.DUMMYFUNCTION("""COMPUTED_VALUE"""),"ZGU175049")</f>
        <v>ZGU175049</v>
      </c>
      <c r="G955" s="2" t="str">
        <f>IFERROR(__xludf.DUMMYFUNCTION("""COMPUTED_VALUE"""),"Kuwait")</f>
        <v>Kuwait</v>
      </c>
      <c r="H955" s="4">
        <f>IFERROR(__xludf.DUMMYFUNCTION("""COMPUTED_VALUE"""),4.9)</f>
        <v>4.9</v>
      </c>
      <c r="I955" s="3">
        <f>IFERROR(__xludf.DUMMYFUNCTION("""COMPUTED_VALUE"""),0.0)</f>
        <v>0</v>
      </c>
      <c r="J955" s="4">
        <f>IFERROR(__xludf.DUMMYFUNCTION("""COMPUTED_VALUE"""),0.49)</f>
        <v>0.49</v>
      </c>
      <c r="K955" s="2"/>
      <c r="L955" s="2" t="str">
        <f>IFERROR(__xludf.DUMMYFUNCTION("""COMPUTED_VALUE"""),"Delivered")</f>
        <v>Delivered</v>
      </c>
      <c r="M955" s="2" t="str">
        <f>IFERROR(__xludf.DUMMYFUNCTION("""COMPUTED_VALUE"""),"KD")</f>
        <v>KD</v>
      </c>
      <c r="N955" s="2" t="str">
        <f>IFERROR(__xludf.DUMMYFUNCTION("""COMPUTED_VALUE"""),"Credit, Debit, Knet")</f>
        <v>Credit, Debit, Knet</v>
      </c>
      <c r="O955" s="4">
        <f>IFERROR(__xludf.DUMMYFUNCTION("""COMPUTED_VALUE"""),0.0)</f>
        <v>0</v>
      </c>
      <c r="P955" s="2">
        <f>IFERROR(__xludf.DUMMYFUNCTION("""COMPUTED_VALUE"""),18.0)</f>
        <v>18</v>
      </c>
      <c r="Q955" s="2">
        <f>IFERROR(__xludf.DUMMYFUNCTION("""COMPUTED_VALUE"""),8.0)</f>
        <v>8</v>
      </c>
      <c r="R955" s="2">
        <f>IFERROR(__xludf.DUMMYFUNCTION("""COMPUTED_VALUE"""),2025.0)</f>
        <v>2025</v>
      </c>
      <c r="S955" s="2" t="str">
        <f>IFERROR(__xludf.DUMMYFUNCTION("""COMPUTED_VALUE"""),"Digizag")</f>
        <v>Digizag</v>
      </c>
      <c r="T955" s="2" t="str">
        <f>IFERROR(__xludf.DUMMYFUNCTION("""COMPUTED_VALUE"""),"Digizag")</f>
        <v>Digizag</v>
      </c>
      <c r="U955" s="5">
        <f>IFERROR(__xludf.DUMMYFUNCTION("""COMPUTED_VALUE"""),15.977038)</f>
        <v>15.977038</v>
      </c>
      <c r="V955" s="2"/>
      <c r="W955" s="2"/>
      <c r="X955" s="2"/>
      <c r="Y955" s="2"/>
      <c r="Z955" s="2"/>
    </row>
    <row r="956">
      <c r="A956" s="6">
        <f>IFERROR(__xludf.DUMMYFUNCTION("""COMPUTED_VALUE"""),45887.79262731481)</f>
        <v>45887.79263</v>
      </c>
      <c r="B956" s="2" t="str">
        <f>IFERROR(__xludf.DUMMYFUNCTION("""COMPUTED_VALUE"""),"August")</f>
        <v>August</v>
      </c>
      <c r="C956" s="3">
        <f>IFERROR(__xludf.DUMMYFUNCTION("""COMPUTED_VALUE"""),787687.0)</f>
        <v>787687</v>
      </c>
      <c r="D956" s="2" t="str">
        <f>IFERROR(__xludf.DUMMYFUNCTION("""COMPUTED_VALUE"""),"MNN27")</f>
        <v>MNN27</v>
      </c>
      <c r="E956" s="2" t="str">
        <f>IFERROR(__xludf.DUMMYFUNCTION("""COMPUTED_VALUE"""),"Imported from file DigiZag Codes 25Feb25.xlsx")</f>
        <v>Imported from file DigiZag Codes 25Feb25.xlsx</v>
      </c>
      <c r="F956" s="2" t="str">
        <f>IFERROR(__xludf.DUMMYFUNCTION("""COMPUTED_VALUE"""),"QQM729213")</f>
        <v>QQM729213</v>
      </c>
      <c r="G956" s="2" t="str">
        <f>IFERROR(__xludf.DUMMYFUNCTION("""COMPUTED_VALUE"""),"Kuwait")</f>
        <v>Kuwait</v>
      </c>
      <c r="H956" s="4">
        <f>IFERROR(__xludf.DUMMYFUNCTION("""COMPUTED_VALUE"""),10.95)</f>
        <v>10.95</v>
      </c>
      <c r="I956" s="3">
        <f>IFERROR(__xludf.DUMMYFUNCTION("""COMPUTED_VALUE"""),0.0)</f>
        <v>0</v>
      </c>
      <c r="J956" s="4">
        <f>IFERROR(__xludf.DUMMYFUNCTION("""COMPUTED_VALUE"""),1.095)</f>
        <v>1.095</v>
      </c>
      <c r="K956" s="2"/>
      <c r="L956" s="2" t="str">
        <f>IFERROR(__xludf.DUMMYFUNCTION("""COMPUTED_VALUE"""),"Delivered")</f>
        <v>Delivered</v>
      </c>
      <c r="M956" s="2" t="str">
        <f>IFERROR(__xludf.DUMMYFUNCTION("""COMPUTED_VALUE"""),"KD")</f>
        <v>KD</v>
      </c>
      <c r="N956" s="2" t="str">
        <f>IFERROR(__xludf.DUMMYFUNCTION("""COMPUTED_VALUE"""),"Credit, Debit, Knet")</f>
        <v>Credit, Debit, Knet</v>
      </c>
      <c r="O956" s="4">
        <f>IFERROR(__xludf.DUMMYFUNCTION("""COMPUTED_VALUE"""),0.0)</f>
        <v>0</v>
      </c>
      <c r="P956" s="2">
        <f>IFERROR(__xludf.DUMMYFUNCTION("""COMPUTED_VALUE"""),18.0)</f>
        <v>18</v>
      </c>
      <c r="Q956" s="2">
        <f>IFERROR(__xludf.DUMMYFUNCTION("""COMPUTED_VALUE"""),8.0)</f>
        <v>8</v>
      </c>
      <c r="R956" s="2">
        <f>IFERROR(__xludf.DUMMYFUNCTION("""COMPUTED_VALUE"""),2025.0)</f>
        <v>2025</v>
      </c>
      <c r="S956" s="2" t="str">
        <f>IFERROR(__xludf.DUMMYFUNCTION("""COMPUTED_VALUE"""),"Digizag")</f>
        <v>Digizag</v>
      </c>
      <c r="T956" s="2" t="str">
        <f>IFERROR(__xludf.DUMMYFUNCTION("""COMPUTED_VALUE"""),"Digizag")</f>
        <v>Digizag</v>
      </c>
      <c r="U956" s="5">
        <f>IFERROR(__xludf.DUMMYFUNCTION("""COMPUTED_VALUE"""),35.70378899999999)</f>
        <v>35.703789</v>
      </c>
      <c r="V956" s="2"/>
      <c r="W956" s="2"/>
      <c r="X956" s="2"/>
      <c r="Y956" s="2"/>
      <c r="Z956" s="2"/>
    </row>
    <row r="957">
      <c r="A957" s="6">
        <f>IFERROR(__xludf.DUMMYFUNCTION("""COMPUTED_VALUE"""),45887.80747685185)</f>
        <v>45887.80748</v>
      </c>
      <c r="B957" s="2" t="str">
        <f>IFERROR(__xludf.DUMMYFUNCTION("""COMPUTED_VALUE"""),"August")</f>
        <v>August</v>
      </c>
      <c r="C957" s="3">
        <f>IFERROR(__xludf.DUMMYFUNCTION("""COMPUTED_VALUE"""),439000.0)</f>
        <v>439000</v>
      </c>
      <c r="D957" s="2" t="str">
        <f>IFERROR(__xludf.DUMMYFUNCTION("""COMPUTED_VALUE"""),"CC22")</f>
        <v>CC22</v>
      </c>
      <c r="E957" s="2" t="str">
        <f>IFERROR(__xludf.DUMMYFUNCTION("""COMPUTED_VALUE"""),"Imported from file Digizag.xlsx")</f>
        <v>Imported from file Digizag.xlsx</v>
      </c>
      <c r="F957" s="2" t="str">
        <f>IFERROR(__xludf.DUMMYFUNCTION("""COMPUTED_VALUE"""),"XUC163936")</f>
        <v>XUC163936</v>
      </c>
      <c r="G957" s="2" t="str">
        <f>IFERROR(__xludf.DUMMYFUNCTION("""COMPUTED_VALUE"""),"Kingdom of Saudi Arabia")</f>
        <v>Kingdom of Saudi Arabia</v>
      </c>
      <c r="H957" s="4">
        <f>IFERROR(__xludf.DUMMYFUNCTION("""COMPUTED_VALUE"""),199.0)</f>
        <v>199</v>
      </c>
      <c r="I957" s="3">
        <f>IFERROR(__xludf.DUMMYFUNCTION("""COMPUTED_VALUE"""),0.0)</f>
        <v>0</v>
      </c>
      <c r="J957" s="4">
        <f>IFERROR(__xludf.DUMMYFUNCTION("""COMPUTED_VALUE"""),30.0)</f>
        <v>30</v>
      </c>
      <c r="K957" s="2"/>
      <c r="L957" s="2" t="str">
        <f>IFERROR(__xludf.DUMMYFUNCTION("""COMPUTED_VALUE"""),"Delivered")</f>
        <v>Delivered</v>
      </c>
      <c r="M957" s="2" t="str">
        <f>IFERROR(__xludf.DUMMYFUNCTION("""COMPUTED_VALUE"""),"")</f>
        <v></v>
      </c>
      <c r="N957" s="2" t="str">
        <f>IFERROR(__xludf.DUMMYFUNCTION("""COMPUTED_VALUE"""),"Credit, Debit, Apple Pay")</f>
        <v>Credit, Debit, Apple Pay</v>
      </c>
      <c r="O957" s="4">
        <f>IFERROR(__xludf.DUMMYFUNCTION("""COMPUTED_VALUE"""),0.0)</f>
        <v>0</v>
      </c>
      <c r="P957" s="2">
        <f>IFERROR(__xludf.DUMMYFUNCTION("""COMPUTED_VALUE"""),18.0)</f>
        <v>18</v>
      </c>
      <c r="Q957" s="2">
        <f>IFERROR(__xludf.DUMMYFUNCTION("""COMPUTED_VALUE"""),8.0)</f>
        <v>8</v>
      </c>
      <c r="R957" s="2">
        <f>IFERROR(__xludf.DUMMYFUNCTION("""COMPUTED_VALUE"""),2025.0)</f>
        <v>2025</v>
      </c>
      <c r="S957" s="2" t="str">
        <f>IFERROR(__xludf.DUMMYFUNCTION("""COMPUTED_VALUE"""),"Digizag")</f>
        <v>Digizag</v>
      </c>
      <c r="T957" s="2" t="str">
        <f>IFERROR(__xludf.DUMMYFUNCTION("""COMPUTED_VALUE"""),"Digizag")</f>
        <v>Digizag</v>
      </c>
      <c r="U957" s="5">
        <f>IFERROR(__xludf.DUMMYFUNCTION("""COMPUTED_VALUE"""),53.062563154)</f>
        <v>53.06256315</v>
      </c>
      <c r="V957" s="2"/>
      <c r="W957" s="2"/>
      <c r="X957" s="2"/>
      <c r="Y957" s="2"/>
      <c r="Z957" s="2"/>
    </row>
    <row r="958">
      <c r="A958" s="6">
        <f>IFERROR(__xludf.DUMMYFUNCTION("""COMPUTED_VALUE"""),45887.84694444444)</f>
        <v>45887.84694</v>
      </c>
      <c r="B958" s="2" t="str">
        <f>IFERROR(__xludf.DUMMYFUNCTION("""COMPUTED_VALUE"""),"August")</f>
        <v>August</v>
      </c>
      <c r="C958" s="3">
        <f>IFERROR(__xludf.DUMMYFUNCTION("""COMPUTED_VALUE"""),727960.0)</f>
        <v>727960</v>
      </c>
      <c r="D958" s="2" t="str">
        <f>IFERROR(__xludf.DUMMYFUNCTION("""COMPUTED_VALUE"""),"DG3")</f>
        <v>DG3</v>
      </c>
      <c r="E958" s="2" t="str">
        <f>IFERROR(__xludf.DUMMYFUNCTION("""COMPUTED_VALUE"""),"Imported from file Digizag.xlsx")</f>
        <v>Imported from file Digizag.xlsx</v>
      </c>
      <c r="F958" s="2" t="str">
        <f>IFERROR(__xludf.DUMMYFUNCTION("""COMPUTED_VALUE"""),"QED615556")</f>
        <v>QED615556</v>
      </c>
      <c r="G958" s="2" t="str">
        <f>IFERROR(__xludf.DUMMYFUNCTION("""COMPUTED_VALUE"""),"Kuwait")</f>
        <v>Kuwait</v>
      </c>
      <c r="H958" s="4">
        <f>IFERROR(__xludf.DUMMYFUNCTION("""COMPUTED_VALUE"""),8.85)</f>
        <v>8.85</v>
      </c>
      <c r="I958" s="3">
        <f>IFERROR(__xludf.DUMMYFUNCTION("""COMPUTED_VALUE"""),0.0)</f>
        <v>0</v>
      </c>
      <c r="J958" s="4">
        <f>IFERROR(__xludf.DUMMYFUNCTION("""COMPUTED_VALUE"""),0.885)</f>
        <v>0.885</v>
      </c>
      <c r="K958" s="2"/>
      <c r="L958" s="2" t="str">
        <f>IFERROR(__xludf.DUMMYFUNCTION("""COMPUTED_VALUE"""),"Delivered")</f>
        <v>Delivered</v>
      </c>
      <c r="M958" s="2" t="str">
        <f>IFERROR(__xludf.DUMMYFUNCTION("""COMPUTED_VALUE"""),"KD")</f>
        <v>KD</v>
      </c>
      <c r="N958" s="2" t="str">
        <f>IFERROR(__xludf.DUMMYFUNCTION("""COMPUTED_VALUE"""),"Credit, Debit, Knet")</f>
        <v>Credit, Debit, Knet</v>
      </c>
      <c r="O958" s="4">
        <f>IFERROR(__xludf.DUMMYFUNCTION("""COMPUTED_VALUE"""),0.0)</f>
        <v>0</v>
      </c>
      <c r="P958" s="2">
        <f>IFERROR(__xludf.DUMMYFUNCTION("""COMPUTED_VALUE"""),18.0)</f>
        <v>18</v>
      </c>
      <c r="Q958" s="2">
        <f>IFERROR(__xludf.DUMMYFUNCTION("""COMPUTED_VALUE"""),8.0)</f>
        <v>8</v>
      </c>
      <c r="R958" s="2">
        <f>IFERROR(__xludf.DUMMYFUNCTION("""COMPUTED_VALUE"""),2025.0)</f>
        <v>2025</v>
      </c>
      <c r="S958" s="2" t="str">
        <f>IFERROR(__xludf.DUMMYFUNCTION("""COMPUTED_VALUE"""),"Digizag")</f>
        <v>Digizag</v>
      </c>
      <c r="T958" s="2" t="str">
        <f>IFERROR(__xludf.DUMMYFUNCTION("""COMPUTED_VALUE"""),"Digizag")</f>
        <v>Digizag</v>
      </c>
      <c r="U958" s="5">
        <f>IFERROR(__xludf.DUMMYFUNCTION("""COMPUTED_VALUE"""),28.856486999999998)</f>
        <v>28.856487</v>
      </c>
      <c r="V958" s="2"/>
      <c r="W958" s="2"/>
      <c r="X958" s="2"/>
      <c r="Y958" s="2"/>
      <c r="Z958" s="2"/>
    </row>
    <row r="959">
      <c r="A959" s="6">
        <f>IFERROR(__xludf.DUMMYFUNCTION("""COMPUTED_VALUE"""),45888.319560185184)</f>
        <v>45888.31956</v>
      </c>
      <c r="B959" s="2" t="str">
        <f>IFERROR(__xludf.DUMMYFUNCTION("""COMPUTED_VALUE"""),"August")</f>
        <v>August</v>
      </c>
      <c r="C959" s="3">
        <f>IFERROR(__xludf.DUMMYFUNCTION("""COMPUTED_VALUE"""),455166.0)</f>
        <v>455166</v>
      </c>
      <c r="D959" s="2" t="str">
        <f>IFERROR(__xludf.DUMMYFUNCTION("""COMPUTED_VALUE"""),"RR22")</f>
        <v>RR22</v>
      </c>
      <c r="E959" s="2" t="str">
        <f>IFERROR(__xludf.DUMMYFUNCTION("""COMPUTED_VALUE"""),"Imported from file Digizag.xlsx")</f>
        <v>Imported from file Digizag.xlsx</v>
      </c>
      <c r="F959" s="2" t="str">
        <f>IFERROR(__xludf.DUMMYFUNCTION("""COMPUTED_VALUE"""),"ASV399391")</f>
        <v>ASV399391</v>
      </c>
      <c r="G959" s="2" t="str">
        <f>IFERROR(__xludf.DUMMYFUNCTION("""COMPUTED_VALUE"""),"UAE")</f>
        <v>UAE</v>
      </c>
      <c r="H959" s="4">
        <f>IFERROR(__xludf.DUMMYFUNCTION("""COMPUTED_VALUE"""),248.0)</f>
        <v>248</v>
      </c>
      <c r="I959" s="3">
        <f>IFERROR(__xludf.DUMMYFUNCTION("""COMPUTED_VALUE"""),0.0)</f>
        <v>0</v>
      </c>
      <c r="J959" s="4">
        <f>IFERROR(__xludf.DUMMYFUNCTION("""COMPUTED_VALUE"""),24.8)</f>
        <v>24.8</v>
      </c>
      <c r="K959" s="2"/>
      <c r="L959" s="2" t="str">
        <f>IFERROR(__xludf.DUMMYFUNCTION("""COMPUTED_VALUE"""),"Delivered")</f>
        <v>Delivered</v>
      </c>
      <c r="M959" s="2" t="str">
        <f>IFERROR(__xludf.DUMMYFUNCTION("""COMPUTED_VALUE"""),"")</f>
        <v></v>
      </c>
      <c r="N959" s="2" t="str">
        <f>IFERROR(__xludf.DUMMYFUNCTION("""COMPUTED_VALUE"""),"Credit, Debit , Apple Pay")</f>
        <v>Credit, Debit , Apple Pay</v>
      </c>
      <c r="O959" s="4">
        <f>IFERROR(__xludf.DUMMYFUNCTION("""COMPUTED_VALUE"""),0.0)</f>
        <v>0</v>
      </c>
      <c r="P959" s="2">
        <f>IFERROR(__xludf.DUMMYFUNCTION("""COMPUTED_VALUE"""),19.0)</f>
        <v>19</v>
      </c>
      <c r="Q959" s="2">
        <f>IFERROR(__xludf.DUMMYFUNCTION("""COMPUTED_VALUE"""),8.0)</f>
        <v>8</v>
      </c>
      <c r="R959" s="2">
        <f>IFERROR(__xludf.DUMMYFUNCTION("""COMPUTED_VALUE"""),2025.0)</f>
        <v>2025</v>
      </c>
      <c r="S959" s="2" t="str">
        <f>IFERROR(__xludf.DUMMYFUNCTION("""COMPUTED_VALUE"""),"Digizag")</f>
        <v>Digizag</v>
      </c>
      <c r="T959" s="2" t="str">
        <f>IFERROR(__xludf.DUMMYFUNCTION("""COMPUTED_VALUE"""),"Digizag")</f>
        <v>Digizag</v>
      </c>
      <c r="U959" s="5">
        <f>IFERROR(__xludf.DUMMYFUNCTION("""COMPUTED_VALUE"""),67.528931344)</f>
        <v>67.52893134</v>
      </c>
      <c r="V959" s="2"/>
      <c r="W959" s="2"/>
      <c r="X959" s="2"/>
      <c r="Y959" s="2"/>
      <c r="Z959" s="2"/>
    </row>
    <row r="960">
      <c r="A960" s="6">
        <f>IFERROR(__xludf.DUMMYFUNCTION("""COMPUTED_VALUE"""),45888.35530092593)</f>
        <v>45888.3553</v>
      </c>
      <c r="B960" s="2" t="str">
        <f>IFERROR(__xludf.DUMMYFUNCTION("""COMPUTED_VALUE"""),"August")</f>
        <v>August</v>
      </c>
      <c r="C960" s="3">
        <f>IFERROR(__xludf.DUMMYFUNCTION("""COMPUTED_VALUE"""),511266.0)</f>
        <v>511266</v>
      </c>
      <c r="D960" s="2" t="str">
        <f>IFERROR(__xludf.DUMMYFUNCTION("""COMPUTED_VALUE"""),"CC22")</f>
        <v>CC22</v>
      </c>
      <c r="E960" s="2" t="str">
        <f>IFERROR(__xludf.DUMMYFUNCTION("""COMPUTED_VALUE"""),"Imported from file Digizag.xlsx")</f>
        <v>Imported from file Digizag.xlsx</v>
      </c>
      <c r="F960" s="2" t="str">
        <f>IFERROR(__xludf.DUMMYFUNCTION("""COMPUTED_VALUE"""),"YQG385428")</f>
        <v>YQG385428</v>
      </c>
      <c r="G960" s="2" t="str">
        <f>IFERROR(__xludf.DUMMYFUNCTION("""COMPUTED_VALUE"""),"Kingdom of Saudi Arabia")</f>
        <v>Kingdom of Saudi Arabia</v>
      </c>
      <c r="H960" s="4">
        <f>IFERROR(__xludf.DUMMYFUNCTION("""COMPUTED_VALUE"""),77.39)</f>
        <v>77.39</v>
      </c>
      <c r="I960" s="3">
        <f>IFERROR(__xludf.DUMMYFUNCTION("""COMPUTED_VALUE"""),0.0)</f>
        <v>0</v>
      </c>
      <c r="J960" s="4">
        <f>IFERROR(__xludf.DUMMYFUNCTION("""COMPUTED_VALUE"""),19.34)</f>
        <v>19.34</v>
      </c>
      <c r="K960" s="2"/>
      <c r="L960" s="2" t="str">
        <f>IFERROR(__xludf.DUMMYFUNCTION("""COMPUTED_VALUE"""),"Delivered")</f>
        <v>Delivered</v>
      </c>
      <c r="M960" s="2" t="str">
        <f>IFERROR(__xludf.DUMMYFUNCTION("""COMPUTED_VALUE"""),"")</f>
        <v></v>
      </c>
      <c r="N960" s="2" t="str">
        <f>IFERROR(__xludf.DUMMYFUNCTION("""COMPUTED_VALUE"""),"Credit, Debit, Apple Pay")</f>
        <v>Credit, Debit, Apple Pay</v>
      </c>
      <c r="O960" s="4">
        <f>IFERROR(__xludf.DUMMYFUNCTION("""COMPUTED_VALUE"""),0.0)</f>
        <v>0</v>
      </c>
      <c r="P960" s="2">
        <f>IFERROR(__xludf.DUMMYFUNCTION("""COMPUTED_VALUE"""),19.0)</f>
        <v>19</v>
      </c>
      <c r="Q960" s="2">
        <f>IFERROR(__xludf.DUMMYFUNCTION("""COMPUTED_VALUE"""),8.0)</f>
        <v>8</v>
      </c>
      <c r="R960" s="2">
        <f>IFERROR(__xludf.DUMMYFUNCTION("""COMPUTED_VALUE"""),2025.0)</f>
        <v>2025</v>
      </c>
      <c r="S960" s="2" t="str">
        <f>IFERROR(__xludf.DUMMYFUNCTION("""COMPUTED_VALUE"""),"Digizag")</f>
        <v>Digizag</v>
      </c>
      <c r="T960" s="2" t="str">
        <f>IFERROR(__xludf.DUMMYFUNCTION("""COMPUTED_VALUE"""),"Digizag")</f>
        <v>Digizag</v>
      </c>
      <c r="U960" s="5">
        <f>IFERROR(__xludf.DUMMYFUNCTION("""COMPUTED_VALUE"""),20.635737499940003)</f>
        <v>20.6357375</v>
      </c>
      <c r="V960" s="2"/>
      <c r="W960" s="2"/>
      <c r="X960" s="2"/>
      <c r="Y960" s="2"/>
      <c r="Z960" s="2"/>
    </row>
    <row r="961">
      <c r="A961" s="6">
        <f>IFERROR(__xludf.DUMMYFUNCTION("""COMPUTED_VALUE"""),45888.4540162037)</f>
        <v>45888.45402</v>
      </c>
      <c r="B961" s="2" t="str">
        <f>IFERROR(__xludf.DUMMYFUNCTION("""COMPUTED_VALUE"""),"August")</f>
        <v>August</v>
      </c>
      <c r="C961" s="3">
        <f>IFERROR(__xludf.DUMMYFUNCTION("""COMPUTED_VALUE"""),787885.0)</f>
        <v>787885</v>
      </c>
      <c r="D961" s="2" t="str">
        <f>IFERROR(__xludf.DUMMYFUNCTION("""COMPUTED_VALUE"""),"CC22")</f>
        <v>CC22</v>
      </c>
      <c r="E961" s="2" t="str">
        <f>IFERROR(__xludf.DUMMYFUNCTION("""COMPUTED_VALUE"""),"Imported from file Digizag.xlsx")</f>
        <v>Imported from file Digizag.xlsx</v>
      </c>
      <c r="F961" s="2" t="str">
        <f>IFERROR(__xludf.DUMMYFUNCTION("""COMPUTED_VALUE"""),"YKR735157")</f>
        <v>YKR735157</v>
      </c>
      <c r="G961" s="2" t="str">
        <f>IFERROR(__xludf.DUMMYFUNCTION("""COMPUTED_VALUE"""),"Kuwait")</f>
        <v>Kuwait</v>
      </c>
      <c r="H961" s="4">
        <f>IFERROR(__xludf.DUMMYFUNCTION("""COMPUTED_VALUE"""),15.4)</f>
        <v>15.4</v>
      </c>
      <c r="I961" s="3">
        <f>IFERROR(__xludf.DUMMYFUNCTION("""COMPUTED_VALUE"""),0.0)</f>
        <v>0</v>
      </c>
      <c r="J961" s="4">
        <f>IFERROR(__xludf.DUMMYFUNCTION("""COMPUTED_VALUE"""),1.54)</f>
        <v>1.54</v>
      </c>
      <c r="K961" s="2"/>
      <c r="L961" s="2" t="str">
        <f>IFERROR(__xludf.DUMMYFUNCTION("""COMPUTED_VALUE"""),"Delivered")</f>
        <v>Delivered</v>
      </c>
      <c r="M961" s="2" t="str">
        <f>IFERROR(__xludf.DUMMYFUNCTION("""COMPUTED_VALUE"""),"KD")</f>
        <v>KD</v>
      </c>
      <c r="N961" s="2" t="str">
        <f>IFERROR(__xludf.DUMMYFUNCTION("""COMPUTED_VALUE"""),"Cash")</f>
        <v>Cash</v>
      </c>
      <c r="O961" s="4">
        <f>IFERROR(__xludf.DUMMYFUNCTION("""COMPUTED_VALUE"""),0.0)</f>
        <v>0</v>
      </c>
      <c r="P961" s="2">
        <f>IFERROR(__xludf.DUMMYFUNCTION("""COMPUTED_VALUE"""),19.0)</f>
        <v>19</v>
      </c>
      <c r="Q961" s="2">
        <f>IFERROR(__xludf.DUMMYFUNCTION("""COMPUTED_VALUE"""),8.0)</f>
        <v>8</v>
      </c>
      <c r="R961" s="2">
        <f>IFERROR(__xludf.DUMMYFUNCTION("""COMPUTED_VALUE"""),2025.0)</f>
        <v>2025</v>
      </c>
      <c r="S961" s="2" t="str">
        <f>IFERROR(__xludf.DUMMYFUNCTION("""COMPUTED_VALUE"""),"Digizag")</f>
        <v>Digizag</v>
      </c>
      <c r="T961" s="2" t="str">
        <f>IFERROR(__xludf.DUMMYFUNCTION("""COMPUTED_VALUE"""),"Digizag")</f>
        <v>Digizag</v>
      </c>
      <c r="U961" s="5">
        <f>IFERROR(__xludf.DUMMYFUNCTION("""COMPUTED_VALUE"""),50.213547999999996)</f>
        <v>50.213548</v>
      </c>
      <c r="V961" s="2"/>
      <c r="W961" s="2"/>
      <c r="X961" s="2"/>
      <c r="Y961" s="2"/>
      <c r="Z961" s="2"/>
    </row>
    <row r="962">
      <c r="A962" s="6">
        <f>IFERROR(__xludf.DUMMYFUNCTION("""COMPUTED_VALUE"""),45888.647523148145)</f>
        <v>45888.64752</v>
      </c>
      <c r="B962" s="2" t="str">
        <f>IFERROR(__xludf.DUMMYFUNCTION("""COMPUTED_VALUE"""),"August")</f>
        <v>August</v>
      </c>
      <c r="C962" s="3">
        <f>IFERROR(__xludf.DUMMYFUNCTION("""COMPUTED_VALUE"""),60853.0)</f>
        <v>60853</v>
      </c>
      <c r="D962" s="2" t="str">
        <f>IFERROR(__xludf.DUMMYFUNCTION("""COMPUTED_VALUE"""),"RR22")</f>
        <v>RR22</v>
      </c>
      <c r="E962" s="2" t="str">
        <f>IFERROR(__xludf.DUMMYFUNCTION("""COMPUTED_VALUE"""),"Imported from file Digizag.xlsx")</f>
        <v>Imported from file Digizag.xlsx</v>
      </c>
      <c r="F962" s="2" t="str">
        <f>IFERROR(__xludf.DUMMYFUNCTION("""COMPUTED_VALUE"""),"ZHH952118")</f>
        <v>ZHH952118</v>
      </c>
      <c r="G962" s="2" t="str">
        <f>IFERROR(__xludf.DUMMYFUNCTION("""COMPUTED_VALUE"""),"UAE")</f>
        <v>UAE</v>
      </c>
      <c r="H962" s="4">
        <f>IFERROR(__xludf.DUMMYFUNCTION("""COMPUTED_VALUE"""),138.0)</f>
        <v>138</v>
      </c>
      <c r="I962" s="3">
        <f>IFERROR(__xludf.DUMMYFUNCTION("""COMPUTED_VALUE"""),0.0)</f>
        <v>0</v>
      </c>
      <c r="J962" s="4">
        <f>IFERROR(__xludf.DUMMYFUNCTION("""COMPUTED_VALUE"""),13.8)</f>
        <v>13.8</v>
      </c>
      <c r="K962" s="2"/>
      <c r="L962" s="2" t="str">
        <f>IFERROR(__xludf.DUMMYFUNCTION("""COMPUTED_VALUE"""),"Delivered")</f>
        <v>Delivered</v>
      </c>
      <c r="M962" s="2" t="str">
        <f>IFERROR(__xludf.DUMMYFUNCTION("""COMPUTED_VALUE"""),"")</f>
        <v></v>
      </c>
      <c r="N962" s="2" t="str">
        <f>IFERROR(__xludf.DUMMYFUNCTION("""COMPUTED_VALUE"""),"Credit, Debit , Apple Pay")</f>
        <v>Credit, Debit , Apple Pay</v>
      </c>
      <c r="O962" s="4">
        <f>IFERROR(__xludf.DUMMYFUNCTION("""COMPUTED_VALUE"""),0.0)</f>
        <v>0</v>
      </c>
      <c r="P962" s="2">
        <f>IFERROR(__xludf.DUMMYFUNCTION("""COMPUTED_VALUE"""),19.0)</f>
        <v>19</v>
      </c>
      <c r="Q962" s="2">
        <f>IFERROR(__xludf.DUMMYFUNCTION("""COMPUTED_VALUE"""),8.0)</f>
        <v>8</v>
      </c>
      <c r="R962" s="2">
        <f>IFERROR(__xludf.DUMMYFUNCTION("""COMPUTED_VALUE"""),2025.0)</f>
        <v>2025</v>
      </c>
      <c r="S962" s="2" t="str">
        <f>IFERROR(__xludf.DUMMYFUNCTION("""COMPUTED_VALUE"""),"Digizag")</f>
        <v>Digizag</v>
      </c>
      <c r="T962" s="2" t="str">
        <f>IFERROR(__xludf.DUMMYFUNCTION("""COMPUTED_VALUE"""),"Digizag")</f>
        <v>Digizag</v>
      </c>
      <c r="U962" s="5">
        <f>IFERROR(__xludf.DUMMYFUNCTION("""COMPUTED_VALUE"""),37.576582764)</f>
        <v>37.57658276</v>
      </c>
      <c r="V962" s="2"/>
      <c r="W962" s="2"/>
      <c r="X962" s="2"/>
      <c r="Y962" s="2"/>
      <c r="Z962" s="2"/>
    </row>
    <row r="963">
      <c r="A963" s="6">
        <f>IFERROR(__xludf.DUMMYFUNCTION("""COMPUTED_VALUE"""),45888.66096064814)</f>
        <v>45888.66096</v>
      </c>
      <c r="B963" s="2" t="str">
        <f>IFERROR(__xludf.DUMMYFUNCTION("""COMPUTED_VALUE"""),"August")</f>
        <v>August</v>
      </c>
      <c r="C963" s="3">
        <f>IFERROR(__xludf.DUMMYFUNCTION("""COMPUTED_VALUE"""),146085.0)</f>
        <v>146085</v>
      </c>
      <c r="D963" s="2" t="str">
        <f>IFERROR(__xludf.DUMMYFUNCTION("""COMPUTED_VALUE"""),"RR22")</f>
        <v>RR22</v>
      </c>
      <c r="E963" s="2" t="str">
        <f>IFERROR(__xludf.DUMMYFUNCTION("""COMPUTED_VALUE"""),"Imported from file Digizag.xlsx")</f>
        <v>Imported from file Digizag.xlsx</v>
      </c>
      <c r="F963" s="2" t="str">
        <f>IFERROR(__xludf.DUMMYFUNCTION("""COMPUTED_VALUE"""),"QAR614758")</f>
        <v>QAR614758</v>
      </c>
      <c r="G963" s="2" t="str">
        <f>IFERROR(__xludf.DUMMYFUNCTION("""COMPUTED_VALUE"""),"UAE")</f>
        <v>UAE</v>
      </c>
      <c r="H963" s="4">
        <f>IFERROR(__xludf.DUMMYFUNCTION("""COMPUTED_VALUE"""),245.0)</f>
        <v>245</v>
      </c>
      <c r="I963" s="3">
        <f>IFERROR(__xludf.DUMMYFUNCTION("""COMPUTED_VALUE"""),0.0)</f>
        <v>0</v>
      </c>
      <c r="J963" s="4">
        <f>IFERROR(__xludf.DUMMYFUNCTION("""COMPUTED_VALUE"""),24.5)</f>
        <v>24.5</v>
      </c>
      <c r="K963" s="2"/>
      <c r="L963" s="2" t="str">
        <f>IFERROR(__xludf.DUMMYFUNCTION("""COMPUTED_VALUE"""),"Delivered")</f>
        <v>Delivered</v>
      </c>
      <c r="M963" s="2" t="str">
        <f>IFERROR(__xludf.DUMMYFUNCTION("""COMPUTED_VALUE"""),"")</f>
        <v></v>
      </c>
      <c r="N963" s="2" t="str">
        <f>IFERROR(__xludf.DUMMYFUNCTION("""COMPUTED_VALUE"""),"Credit, Debit , Apple Pay")</f>
        <v>Credit, Debit , Apple Pay</v>
      </c>
      <c r="O963" s="4">
        <f>IFERROR(__xludf.DUMMYFUNCTION("""COMPUTED_VALUE"""),0.0)</f>
        <v>0</v>
      </c>
      <c r="P963" s="2">
        <f>IFERROR(__xludf.DUMMYFUNCTION("""COMPUTED_VALUE"""),19.0)</f>
        <v>19</v>
      </c>
      <c r="Q963" s="2">
        <f>IFERROR(__xludf.DUMMYFUNCTION("""COMPUTED_VALUE"""),8.0)</f>
        <v>8</v>
      </c>
      <c r="R963" s="2">
        <f>IFERROR(__xludf.DUMMYFUNCTION("""COMPUTED_VALUE"""),2025.0)</f>
        <v>2025</v>
      </c>
      <c r="S963" s="2" t="str">
        <f>IFERROR(__xludf.DUMMYFUNCTION("""COMPUTED_VALUE"""),"Digizag")</f>
        <v>Digizag</v>
      </c>
      <c r="T963" s="2" t="str">
        <f>IFERROR(__xludf.DUMMYFUNCTION("""COMPUTED_VALUE"""),"Digizag")</f>
        <v>Digizag</v>
      </c>
      <c r="U963" s="5">
        <f>IFERROR(__xludf.DUMMYFUNCTION("""COMPUTED_VALUE"""),66.71204911)</f>
        <v>66.71204911</v>
      </c>
      <c r="V963" s="2"/>
      <c r="W963" s="2"/>
      <c r="X963" s="2"/>
      <c r="Y963" s="2"/>
      <c r="Z963" s="2"/>
    </row>
    <row r="964">
      <c r="A964" s="6">
        <f>IFERROR(__xludf.DUMMYFUNCTION("""COMPUTED_VALUE"""),45888.74833333333)</f>
        <v>45888.74833</v>
      </c>
      <c r="B964" s="2" t="str">
        <f>IFERROR(__xludf.DUMMYFUNCTION("""COMPUTED_VALUE"""),"August")</f>
        <v>August</v>
      </c>
      <c r="C964" s="3">
        <f>IFERROR(__xludf.DUMMYFUNCTION("""COMPUTED_VALUE"""),16533.0)</f>
        <v>16533</v>
      </c>
      <c r="D964" s="2" t="str">
        <f>IFERROR(__xludf.DUMMYFUNCTION("""COMPUTED_VALUE"""),"ZM22")</f>
        <v>ZM22</v>
      </c>
      <c r="E964" s="2" t="str">
        <f>IFERROR(__xludf.DUMMYFUNCTION("""COMPUTED_VALUE"""),"Imported from file Digizag.xlsx")</f>
        <v>Imported from file Digizag.xlsx</v>
      </c>
      <c r="F964" s="2" t="str">
        <f>IFERROR(__xludf.DUMMYFUNCTION("""COMPUTED_VALUE"""),"BYA835742")</f>
        <v>BYA835742</v>
      </c>
      <c r="G964" s="2" t="str">
        <f>IFERROR(__xludf.DUMMYFUNCTION("""COMPUTED_VALUE"""),"UAE")</f>
        <v>UAE</v>
      </c>
      <c r="H964" s="4">
        <f>IFERROR(__xludf.DUMMYFUNCTION("""COMPUTED_VALUE"""),299.0)</f>
        <v>299</v>
      </c>
      <c r="I964" s="3">
        <f>IFERROR(__xludf.DUMMYFUNCTION("""COMPUTED_VALUE"""),0.0)</f>
        <v>0</v>
      </c>
      <c r="J964" s="4">
        <f>IFERROR(__xludf.DUMMYFUNCTION("""COMPUTED_VALUE"""),29.9)</f>
        <v>29.9</v>
      </c>
      <c r="K964" s="2"/>
      <c r="L964" s="2" t="str">
        <f>IFERROR(__xludf.DUMMYFUNCTION("""COMPUTED_VALUE"""),"Delivered")</f>
        <v>Delivered</v>
      </c>
      <c r="M964" s="2" t="str">
        <f>IFERROR(__xludf.DUMMYFUNCTION("""COMPUTED_VALUE"""),"")</f>
        <v></v>
      </c>
      <c r="N964" s="2" t="str">
        <f>IFERROR(__xludf.DUMMYFUNCTION("""COMPUTED_VALUE"""),"Credit, Debit , Apple Pay")</f>
        <v>Credit, Debit , Apple Pay</v>
      </c>
      <c r="O964" s="4">
        <f>IFERROR(__xludf.DUMMYFUNCTION("""COMPUTED_VALUE"""),0.0)</f>
        <v>0</v>
      </c>
      <c r="P964" s="2">
        <f>IFERROR(__xludf.DUMMYFUNCTION("""COMPUTED_VALUE"""),19.0)</f>
        <v>19</v>
      </c>
      <c r="Q964" s="2">
        <f>IFERROR(__xludf.DUMMYFUNCTION("""COMPUTED_VALUE"""),8.0)</f>
        <v>8</v>
      </c>
      <c r="R964" s="2">
        <f>IFERROR(__xludf.DUMMYFUNCTION("""COMPUTED_VALUE"""),2025.0)</f>
        <v>2025</v>
      </c>
      <c r="S964" s="2" t="str">
        <f>IFERROR(__xludf.DUMMYFUNCTION("""COMPUTED_VALUE"""),"Digizag")</f>
        <v>Digizag</v>
      </c>
      <c r="T964" s="2" t="str">
        <f>IFERROR(__xludf.DUMMYFUNCTION("""COMPUTED_VALUE"""),"Digizag")</f>
        <v>Digizag</v>
      </c>
      <c r="U964" s="5">
        <f>IFERROR(__xludf.DUMMYFUNCTION("""COMPUTED_VALUE"""),81.415929322)</f>
        <v>81.41592932</v>
      </c>
      <c r="V964" s="2"/>
      <c r="W964" s="2"/>
      <c r="X964" s="2"/>
      <c r="Y964" s="2"/>
      <c r="Z964" s="2"/>
    </row>
    <row r="965">
      <c r="A965" s="6">
        <f>IFERROR(__xludf.DUMMYFUNCTION("""COMPUTED_VALUE"""),45888.936006944445)</f>
        <v>45888.93601</v>
      </c>
      <c r="B965" s="2" t="str">
        <f>IFERROR(__xludf.DUMMYFUNCTION("""COMPUTED_VALUE"""),"August")</f>
        <v>August</v>
      </c>
      <c r="C965" s="3">
        <f>IFERROR(__xludf.DUMMYFUNCTION("""COMPUTED_VALUE"""),384456.0)</f>
        <v>384456</v>
      </c>
      <c r="D965" s="2" t="str">
        <f>IFERROR(__xludf.DUMMYFUNCTION("""COMPUTED_VALUE"""),"JM")</f>
        <v>JM</v>
      </c>
      <c r="E965" s="2" t="str">
        <f>IFERROR(__xludf.DUMMYFUNCTION("""COMPUTED_VALUE"""),"DigiZag")</f>
        <v>DigiZag</v>
      </c>
      <c r="F965" s="2" t="str">
        <f>IFERROR(__xludf.DUMMYFUNCTION("""COMPUTED_VALUE"""),"PBS801837")</f>
        <v>PBS801837</v>
      </c>
      <c r="G965" s="2" t="str">
        <f>IFERROR(__xludf.DUMMYFUNCTION("""COMPUTED_VALUE"""),"Bahrain")</f>
        <v>Bahrain</v>
      </c>
      <c r="H965" s="4">
        <f>IFERROR(__xludf.DUMMYFUNCTION("""COMPUTED_VALUE"""),9.0)</f>
        <v>9</v>
      </c>
      <c r="I965" s="3">
        <f>IFERROR(__xludf.DUMMYFUNCTION("""COMPUTED_VALUE"""),0.0)</f>
        <v>0</v>
      </c>
      <c r="J965" s="4">
        <f>IFERROR(__xludf.DUMMYFUNCTION("""COMPUTED_VALUE"""),0.9)</f>
        <v>0.9</v>
      </c>
      <c r="K965" s="2"/>
      <c r="L965" s="2" t="str">
        <f>IFERROR(__xludf.DUMMYFUNCTION("""COMPUTED_VALUE"""),"Delivered")</f>
        <v>Delivered</v>
      </c>
      <c r="M965" s="2" t="str">
        <f>IFERROR(__xludf.DUMMYFUNCTION("""COMPUTED_VALUE"""),"BHD")</f>
        <v>BHD</v>
      </c>
      <c r="N965" s="2" t="str">
        <f>IFERROR(__xludf.DUMMYFUNCTION("""COMPUTED_VALUE"""),"Credit, Debit")</f>
        <v>Credit, Debit</v>
      </c>
      <c r="O965" s="4">
        <f>IFERROR(__xludf.DUMMYFUNCTION("""COMPUTED_VALUE"""),0.0)</f>
        <v>0</v>
      </c>
      <c r="P965" s="2">
        <f>IFERROR(__xludf.DUMMYFUNCTION("""COMPUTED_VALUE"""),19.0)</f>
        <v>19</v>
      </c>
      <c r="Q965" s="2">
        <f>IFERROR(__xludf.DUMMYFUNCTION("""COMPUTED_VALUE"""),8.0)</f>
        <v>8</v>
      </c>
      <c r="R965" s="2">
        <f>IFERROR(__xludf.DUMMYFUNCTION("""COMPUTED_VALUE"""),2025.0)</f>
        <v>2025</v>
      </c>
      <c r="S965" s="2" t="str">
        <f>IFERROR(__xludf.DUMMYFUNCTION("""COMPUTED_VALUE"""),"Digizag")</f>
        <v>Digizag</v>
      </c>
      <c r="T965" s="2" t="str">
        <f>IFERROR(__xludf.DUMMYFUNCTION("""COMPUTED_VALUE"""),"Digizag")</f>
        <v>Digizag</v>
      </c>
      <c r="U965" s="5">
        <f>IFERROR(__xludf.DUMMYFUNCTION("""COMPUTED_VALUE"""),23.876253)</f>
        <v>23.876253</v>
      </c>
      <c r="V965" s="2"/>
      <c r="W965" s="2"/>
      <c r="X965" s="2"/>
      <c r="Y965" s="2"/>
      <c r="Z965" s="2"/>
    </row>
    <row r="966">
      <c r="A966" s="6">
        <f>IFERROR(__xludf.DUMMYFUNCTION("""COMPUTED_VALUE"""),45889.363229166665)</f>
        <v>45889.36323</v>
      </c>
      <c r="B966" s="2" t="str">
        <f>IFERROR(__xludf.DUMMYFUNCTION("""COMPUTED_VALUE"""),"August")</f>
        <v>August</v>
      </c>
      <c r="C966" s="3">
        <f>IFERROR(__xludf.DUMMYFUNCTION("""COMPUTED_VALUE"""),291700.0)</f>
        <v>291700</v>
      </c>
      <c r="D966" s="2" t="str">
        <f>IFERROR(__xludf.DUMMYFUNCTION("""COMPUTED_VALUE"""),"RR22")</f>
        <v>RR22</v>
      </c>
      <c r="E966" s="2" t="str">
        <f>IFERROR(__xludf.DUMMYFUNCTION("""COMPUTED_VALUE"""),"Imported from file Digizag.xlsx")</f>
        <v>Imported from file Digizag.xlsx</v>
      </c>
      <c r="F966" s="2" t="str">
        <f>IFERROR(__xludf.DUMMYFUNCTION("""COMPUTED_VALUE"""),"TML763895")</f>
        <v>TML763895</v>
      </c>
      <c r="G966" s="2" t="str">
        <f>IFERROR(__xludf.DUMMYFUNCTION("""COMPUTED_VALUE"""),"UAE")</f>
        <v>UAE</v>
      </c>
      <c r="H966" s="4">
        <f>IFERROR(__xludf.DUMMYFUNCTION("""COMPUTED_VALUE"""),99.0)</f>
        <v>99</v>
      </c>
      <c r="I966" s="3">
        <f>IFERROR(__xludf.DUMMYFUNCTION("""COMPUTED_VALUE"""),0.0)</f>
        <v>0</v>
      </c>
      <c r="J966" s="4">
        <f>IFERROR(__xludf.DUMMYFUNCTION("""COMPUTED_VALUE"""),9.9)</f>
        <v>9.9</v>
      </c>
      <c r="K966" s="2"/>
      <c r="L966" s="2" t="str">
        <f>IFERROR(__xludf.DUMMYFUNCTION("""COMPUTED_VALUE"""),"Delivered")</f>
        <v>Delivered</v>
      </c>
      <c r="M966" s="2" t="str">
        <f>IFERROR(__xludf.DUMMYFUNCTION("""COMPUTED_VALUE"""),"")</f>
        <v></v>
      </c>
      <c r="N966" s="2" t="str">
        <f>IFERROR(__xludf.DUMMYFUNCTION("""COMPUTED_VALUE"""),"Credit, Debit , Apple Pay")</f>
        <v>Credit, Debit , Apple Pay</v>
      </c>
      <c r="O966" s="4">
        <f>IFERROR(__xludf.DUMMYFUNCTION("""COMPUTED_VALUE"""),0.0)</f>
        <v>0</v>
      </c>
      <c r="P966" s="2">
        <f>IFERROR(__xludf.DUMMYFUNCTION("""COMPUTED_VALUE"""),20.0)</f>
        <v>20</v>
      </c>
      <c r="Q966" s="2">
        <f>IFERROR(__xludf.DUMMYFUNCTION("""COMPUTED_VALUE"""),8.0)</f>
        <v>8</v>
      </c>
      <c r="R966" s="2">
        <f>IFERROR(__xludf.DUMMYFUNCTION("""COMPUTED_VALUE"""),2025.0)</f>
        <v>2025</v>
      </c>
      <c r="S966" s="2" t="str">
        <f>IFERROR(__xludf.DUMMYFUNCTION("""COMPUTED_VALUE"""),"Digizag")</f>
        <v>Digizag</v>
      </c>
      <c r="T966" s="2" t="str">
        <f>IFERROR(__xludf.DUMMYFUNCTION("""COMPUTED_VALUE"""),"Digizag")</f>
        <v>Digizag</v>
      </c>
      <c r="U966" s="5">
        <f>IFERROR(__xludf.DUMMYFUNCTION("""COMPUTED_VALUE"""),26.957113722)</f>
        <v>26.95711372</v>
      </c>
      <c r="V966" s="2"/>
      <c r="W966" s="2"/>
      <c r="X966" s="2"/>
      <c r="Y966" s="2"/>
      <c r="Z966" s="2"/>
    </row>
    <row r="967">
      <c r="A967" s="6">
        <f>IFERROR(__xludf.DUMMYFUNCTION("""COMPUTED_VALUE"""),45889.3774074074)</f>
        <v>45889.37741</v>
      </c>
      <c r="B967" s="2" t="str">
        <f>IFERROR(__xludf.DUMMYFUNCTION("""COMPUTED_VALUE"""),"August")</f>
        <v>August</v>
      </c>
      <c r="C967" s="3">
        <f>IFERROR(__xludf.DUMMYFUNCTION("""COMPUTED_VALUE"""),396859.0)</f>
        <v>396859</v>
      </c>
      <c r="D967" s="2" t="str">
        <f>IFERROR(__xludf.DUMMYFUNCTION("""COMPUTED_VALUE"""),"MNN27")</f>
        <v>MNN27</v>
      </c>
      <c r="E967" s="2" t="str">
        <f>IFERROR(__xludf.DUMMYFUNCTION("""COMPUTED_VALUE"""),"Imported from file DigiZag Bidding Codes.xlsx")</f>
        <v>Imported from file DigiZag Bidding Codes.xlsx</v>
      </c>
      <c r="F967" s="2" t="str">
        <f>IFERROR(__xludf.DUMMYFUNCTION("""COMPUTED_VALUE"""),"JHZ241278")</f>
        <v>JHZ241278</v>
      </c>
      <c r="G967" s="2" t="str">
        <f>IFERROR(__xludf.DUMMYFUNCTION("""COMPUTED_VALUE"""),"Kingdom of Saudi Arabia")</f>
        <v>Kingdom of Saudi Arabia</v>
      </c>
      <c r="H967" s="4">
        <f>IFERROR(__xludf.DUMMYFUNCTION("""COMPUTED_VALUE"""),361.64)</f>
        <v>361.64</v>
      </c>
      <c r="I967" s="3">
        <f>IFERROR(__xludf.DUMMYFUNCTION("""COMPUTED_VALUE"""),0.0)</f>
        <v>0</v>
      </c>
      <c r="J967" s="4">
        <f>IFERROR(__xludf.DUMMYFUNCTION("""COMPUTED_VALUE"""),30.0)</f>
        <v>30</v>
      </c>
      <c r="K967" s="2"/>
      <c r="L967" s="2" t="str">
        <f>IFERROR(__xludf.DUMMYFUNCTION("""COMPUTED_VALUE"""),"Delivered")</f>
        <v>Delivered</v>
      </c>
      <c r="M967" s="2" t="str">
        <f>IFERROR(__xludf.DUMMYFUNCTION("""COMPUTED_VALUE"""),"")</f>
        <v></v>
      </c>
      <c r="N967" s="2" t="str">
        <f>IFERROR(__xludf.DUMMYFUNCTION("""COMPUTED_VALUE"""),"Credit, Debit, Apple Pay")</f>
        <v>Credit, Debit, Apple Pay</v>
      </c>
      <c r="O967" s="4">
        <f>IFERROR(__xludf.DUMMYFUNCTION("""COMPUTED_VALUE"""),0.0)</f>
        <v>0</v>
      </c>
      <c r="P967" s="2">
        <f>IFERROR(__xludf.DUMMYFUNCTION("""COMPUTED_VALUE"""),20.0)</f>
        <v>20</v>
      </c>
      <c r="Q967" s="2">
        <f>IFERROR(__xludf.DUMMYFUNCTION("""COMPUTED_VALUE"""),8.0)</f>
        <v>8</v>
      </c>
      <c r="R967" s="2">
        <f>IFERROR(__xludf.DUMMYFUNCTION("""COMPUTED_VALUE"""),2025.0)</f>
        <v>2025</v>
      </c>
      <c r="S967" s="2" t="str">
        <f>IFERROR(__xludf.DUMMYFUNCTION("""COMPUTED_VALUE"""),"Digizag")</f>
        <v>Digizag</v>
      </c>
      <c r="T967" s="2" t="str">
        <f>IFERROR(__xludf.DUMMYFUNCTION("""COMPUTED_VALUE"""),"Digizag")</f>
        <v>Digizag</v>
      </c>
      <c r="U967" s="5">
        <f>IFERROR(__xludf.DUMMYFUNCTION("""COMPUTED_VALUE"""),96.42987607544)</f>
        <v>96.42987608</v>
      </c>
      <c r="V967" s="2"/>
      <c r="W967" s="2"/>
      <c r="X967" s="2"/>
      <c r="Y967" s="2"/>
      <c r="Z967" s="2"/>
    </row>
    <row r="968">
      <c r="A968" s="6">
        <f>IFERROR(__xludf.DUMMYFUNCTION("""COMPUTED_VALUE"""),45889.39166666666)</f>
        <v>45889.39167</v>
      </c>
      <c r="B968" s="2" t="str">
        <f>IFERROR(__xludf.DUMMYFUNCTION("""COMPUTED_VALUE"""),"August")</f>
        <v>August</v>
      </c>
      <c r="C968" s="3">
        <f>IFERROR(__xludf.DUMMYFUNCTION("""COMPUTED_VALUE"""),85556.0)</f>
        <v>85556</v>
      </c>
      <c r="D968" s="2" t="str">
        <f>IFERROR(__xludf.DUMMYFUNCTION("""COMPUTED_VALUE"""),"ZM22")</f>
        <v>ZM22</v>
      </c>
      <c r="E968" s="2" t="str">
        <f>IFERROR(__xludf.DUMMYFUNCTION("""COMPUTED_VALUE"""),"Imported from file Digizag.xlsx")</f>
        <v>Imported from file Digizag.xlsx</v>
      </c>
      <c r="F968" s="2" t="str">
        <f>IFERROR(__xludf.DUMMYFUNCTION("""COMPUTED_VALUE"""),"AAQ175020")</f>
        <v>AAQ175020</v>
      </c>
      <c r="G968" s="2" t="str">
        <f>IFERROR(__xludf.DUMMYFUNCTION("""COMPUTED_VALUE"""),"Kingdom of Saudi Arabia")</f>
        <v>Kingdom of Saudi Arabia</v>
      </c>
      <c r="H968" s="4">
        <f>IFERROR(__xludf.DUMMYFUNCTION("""COMPUTED_VALUE"""),188.9)</f>
        <v>188.9</v>
      </c>
      <c r="I968" s="3">
        <f>IFERROR(__xludf.DUMMYFUNCTION("""COMPUTED_VALUE"""),0.0)</f>
        <v>0</v>
      </c>
      <c r="J968" s="4">
        <f>IFERROR(__xludf.DUMMYFUNCTION("""COMPUTED_VALUE"""),30.0)</f>
        <v>30</v>
      </c>
      <c r="K968" s="2"/>
      <c r="L968" s="2" t="str">
        <f>IFERROR(__xludf.DUMMYFUNCTION("""COMPUTED_VALUE"""),"Delivered")</f>
        <v>Delivered</v>
      </c>
      <c r="M968" s="2" t="str">
        <f>IFERROR(__xludf.DUMMYFUNCTION("""COMPUTED_VALUE"""),"")</f>
        <v></v>
      </c>
      <c r="N968" s="2" t="str">
        <f>IFERROR(__xludf.DUMMYFUNCTION("""COMPUTED_VALUE"""),"Pay in 4. No interest, no fees")</f>
        <v>Pay in 4. No interest, no fees</v>
      </c>
      <c r="O968" s="4">
        <f>IFERROR(__xludf.DUMMYFUNCTION("""COMPUTED_VALUE"""),0.0)</f>
        <v>0</v>
      </c>
      <c r="P968" s="2">
        <f>IFERROR(__xludf.DUMMYFUNCTION("""COMPUTED_VALUE"""),20.0)</f>
        <v>20</v>
      </c>
      <c r="Q968" s="2">
        <f>IFERROR(__xludf.DUMMYFUNCTION("""COMPUTED_VALUE"""),8.0)</f>
        <v>8</v>
      </c>
      <c r="R968" s="2">
        <f>IFERROR(__xludf.DUMMYFUNCTION("""COMPUTED_VALUE"""),2025.0)</f>
        <v>2025</v>
      </c>
      <c r="S968" s="2" t="str">
        <f>IFERROR(__xludf.DUMMYFUNCTION("""COMPUTED_VALUE"""),"Digizag")</f>
        <v>Digizag</v>
      </c>
      <c r="T968" s="2" t="str">
        <f>IFERROR(__xludf.DUMMYFUNCTION("""COMPUTED_VALUE"""),"Digizag")</f>
        <v>Digizag</v>
      </c>
      <c r="U968" s="5">
        <f>IFERROR(__xludf.DUMMYFUNCTION("""COMPUTED_VALUE"""),50.369438089400006)</f>
        <v>50.36943809</v>
      </c>
      <c r="V968" s="2"/>
      <c r="W968" s="2"/>
      <c r="X968" s="2"/>
      <c r="Y968" s="2"/>
      <c r="Z968" s="2"/>
    </row>
    <row r="969">
      <c r="A969" s="6">
        <f>IFERROR(__xludf.DUMMYFUNCTION("""COMPUTED_VALUE"""),45889.42581018518)</f>
        <v>45889.42581</v>
      </c>
      <c r="B969" s="2" t="str">
        <f>IFERROR(__xludf.DUMMYFUNCTION("""COMPUTED_VALUE"""),"August")</f>
        <v>August</v>
      </c>
      <c r="C969" s="3">
        <f>IFERROR(__xludf.DUMMYFUNCTION("""COMPUTED_VALUE"""),158607.0)</f>
        <v>158607</v>
      </c>
      <c r="D969" s="2" t="str">
        <f>IFERROR(__xludf.DUMMYFUNCTION("""COMPUTED_VALUE"""),"ZM22")</f>
        <v>ZM22</v>
      </c>
      <c r="E969" s="2" t="str">
        <f>IFERROR(__xludf.DUMMYFUNCTION("""COMPUTED_VALUE"""),"Imported from file Digizag.xlsx")</f>
        <v>Imported from file Digizag.xlsx</v>
      </c>
      <c r="F969" s="2" t="str">
        <f>IFERROR(__xludf.DUMMYFUNCTION("""COMPUTED_VALUE"""),"DQC571763")</f>
        <v>DQC571763</v>
      </c>
      <c r="G969" s="2" t="str">
        <f>IFERROR(__xludf.DUMMYFUNCTION("""COMPUTED_VALUE"""),"Bahrain")</f>
        <v>Bahrain</v>
      </c>
      <c r="H969" s="4">
        <f>IFERROR(__xludf.DUMMYFUNCTION("""COMPUTED_VALUE"""),20.12)</f>
        <v>20.12</v>
      </c>
      <c r="I969" s="3">
        <f>IFERROR(__xludf.DUMMYFUNCTION("""COMPUTED_VALUE"""),0.0)</f>
        <v>0</v>
      </c>
      <c r="J969" s="4">
        <f>IFERROR(__xludf.DUMMYFUNCTION("""COMPUTED_VALUE"""),2.0)</f>
        <v>2</v>
      </c>
      <c r="K969" s="2"/>
      <c r="L969" s="2" t="str">
        <f>IFERROR(__xludf.DUMMYFUNCTION("""COMPUTED_VALUE"""),"Delivered")</f>
        <v>Delivered</v>
      </c>
      <c r="M969" s="2" t="str">
        <f>IFERROR(__xludf.DUMMYFUNCTION("""COMPUTED_VALUE"""),"BHD")</f>
        <v>BHD</v>
      </c>
      <c r="N969" s="2" t="str">
        <f>IFERROR(__xludf.DUMMYFUNCTION("""COMPUTED_VALUE"""),"Credit, Debit")</f>
        <v>Credit, Debit</v>
      </c>
      <c r="O969" s="4">
        <f>IFERROR(__xludf.DUMMYFUNCTION("""COMPUTED_VALUE"""),0.0)</f>
        <v>0</v>
      </c>
      <c r="P969" s="2">
        <f>IFERROR(__xludf.DUMMYFUNCTION("""COMPUTED_VALUE"""),20.0)</f>
        <v>20</v>
      </c>
      <c r="Q969" s="2">
        <f>IFERROR(__xludf.DUMMYFUNCTION("""COMPUTED_VALUE"""),8.0)</f>
        <v>8</v>
      </c>
      <c r="R969" s="2">
        <f>IFERROR(__xludf.DUMMYFUNCTION("""COMPUTED_VALUE"""),2025.0)</f>
        <v>2025</v>
      </c>
      <c r="S969" s="2" t="str">
        <f>IFERROR(__xludf.DUMMYFUNCTION("""COMPUTED_VALUE"""),"Digizag")</f>
        <v>Digizag</v>
      </c>
      <c r="T969" s="2" t="str">
        <f>IFERROR(__xludf.DUMMYFUNCTION("""COMPUTED_VALUE"""),"Digizag")</f>
        <v>Digizag</v>
      </c>
      <c r="U969" s="5">
        <f>IFERROR(__xludf.DUMMYFUNCTION("""COMPUTED_VALUE"""),53.37669004)</f>
        <v>53.37669004</v>
      </c>
      <c r="V969" s="2"/>
      <c r="W969" s="2"/>
      <c r="X969" s="2"/>
      <c r="Y969" s="2"/>
      <c r="Z969" s="2"/>
    </row>
    <row r="970">
      <c r="A970" s="6">
        <f>IFERROR(__xludf.DUMMYFUNCTION("""COMPUTED_VALUE"""),45889.461331018516)</f>
        <v>45889.46133</v>
      </c>
      <c r="B970" s="2" t="str">
        <f>IFERROR(__xludf.DUMMYFUNCTION("""COMPUTED_VALUE"""),"August")</f>
        <v>August</v>
      </c>
      <c r="C970" s="3">
        <f>IFERROR(__xludf.DUMMYFUNCTION("""COMPUTED_VALUE"""),788237.0)</f>
        <v>788237</v>
      </c>
      <c r="D970" s="2" t="str">
        <f>IFERROR(__xludf.DUMMYFUNCTION("""COMPUTED_VALUE"""),"MNN27")</f>
        <v>MNN27</v>
      </c>
      <c r="E970" s="2" t="str">
        <f>IFERROR(__xludf.DUMMYFUNCTION("""COMPUTED_VALUE"""),"Imported from file DigiZag Bidding Codes.xlsx")</f>
        <v>Imported from file DigiZag Bidding Codes.xlsx</v>
      </c>
      <c r="F970" s="2" t="str">
        <f>IFERROR(__xludf.DUMMYFUNCTION("""COMPUTED_VALUE"""),"MAJ845587")</f>
        <v>MAJ845587</v>
      </c>
      <c r="G970" s="2" t="str">
        <f>IFERROR(__xludf.DUMMYFUNCTION("""COMPUTED_VALUE"""),"Kingdom of Saudi Arabia")</f>
        <v>Kingdom of Saudi Arabia</v>
      </c>
      <c r="H970" s="4">
        <f>IFERROR(__xludf.DUMMYFUNCTION("""COMPUTED_VALUE"""),146.11)</f>
        <v>146.11</v>
      </c>
      <c r="I970" s="3">
        <f>IFERROR(__xludf.DUMMYFUNCTION("""COMPUTED_VALUE"""),1.0)</f>
        <v>1</v>
      </c>
      <c r="J970" s="4">
        <f>IFERROR(__xludf.DUMMYFUNCTION("""COMPUTED_VALUE"""),30.0)</f>
        <v>30</v>
      </c>
      <c r="K970" s="2"/>
      <c r="L970" s="2" t="str">
        <f>IFERROR(__xludf.DUMMYFUNCTION("""COMPUTED_VALUE"""),"Cancelled")</f>
        <v>Cancelled</v>
      </c>
      <c r="M970" s="2" t="str">
        <f>IFERROR(__xludf.DUMMYFUNCTION("""COMPUTED_VALUE"""),"")</f>
        <v></v>
      </c>
      <c r="N970" s="2" t="str">
        <f>IFERROR(__xludf.DUMMYFUNCTION("""COMPUTED_VALUE"""),"Credit, Debit, Apple Pay")</f>
        <v>Credit, Debit, Apple Pay</v>
      </c>
      <c r="O970" s="4">
        <f>IFERROR(__xludf.DUMMYFUNCTION("""COMPUTED_VALUE"""),116.11)</f>
        <v>116.11</v>
      </c>
      <c r="P970" s="2">
        <f>IFERROR(__xludf.DUMMYFUNCTION("""COMPUTED_VALUE"""),20.0)</f>
        <v>20</v>
      </c>
      <c r="Q970" s="2">
        <f>IFERROR(__xludf.DUMMYFUNCTION("""COMPUTED_VALUE"""),8.0)</f>
        <v>8</v>
      </c>
      <c r="R970" s="2">
        <f>IFERROR(__xludf.DUMMYFUNCTION("""COMPUTED_VALUE"""),2025.0)</f>
        <v>2025</v>
      </c>
      <c r="S970" s="2" t="str">
        <f>IFERROR(__xludf.DUMMYFUNCTION("""COMPUTED_VALUE"""),"Digizag")</f>
        <v>Digizag</v>
      </c>
      <c r="T970" s="2" t="str">
        <f>IFERROR(__xludf.DUMMYFUNCTION("""COMPUTED_VALUE"""),"Digizag")</f>
        <v>Digizag</v>
      </c>
      <c r="U970" s="5">
        <f>IFERROR(__xludf.DUMMYFUNCTION("""COMPUTED_VALUE"""),38.959653781060005)</f>
        <v>38.95965378</v>
      </c>
      <c r="V970" s="2"/>
      <c r="W970" s="2"/>
      <c r="X970" s="2"/>
      <c r="Y970" s="2"/>
      <c r="Z970" s="2"/>
    </row>
    <row r="971">
      <c r="A971" s="6">
        <f>IFERROR(__xludf.DUMMYFUNCTION("""COMPUTED_VALUE"""),45889.55866898148)</f>
        <v>45889.55867</v>
      </c>
      <c r="B971" s="2" t="str">
        <f>IFERROR(__xludf.DUMMYFUNCTION("""COMPUTED_VALUE"""),"August")</f>
        <v>August</v>
      </c>
      <c r="C971" s="3">
        <f>IFERROR(__xludf.DUMMYFUNCTION("""COMPUTED_VALUE"""),29312.0)</f>
        <v>29312</v>
      </c>
      <c r="D971" s="2" t="str">
        <f>IFERROR(__xludf.DUMMYFUNCTION("""COMPUTED_VALUE"""),"ZM22")</f>
        <v>ZM22</v>
      </c>
      <c r="E971" s="2" t="str">
        <f>IFERROR(__xludf.DUMMYFUNCTION("""COMPUTED_VALUE"""),"Imported from file Digizag.xlsx")</f>
        <v>Imported from file Digizag.xlsx</v>
      </c>
      <c r="F971" s="2" t="str">
        <f>IFERROR(__xludf.DUMMYFUNCTION("""COMPUTED_VALUE"""),"MWZ195415")</f>
        <v>MWZ195415</v>
      </c>
      <c r="G971" s="2" t="str">
        <f>IFERROR(__xludf.DUMMYFUNCTION("""COMPUTED_VALUE"""),"Kingdom of Saudi Arabia")</f>
        <v>Kingdom of Saudi Arabia</v>
      </c>
      <c r="H971" s="4">
        <f>IFERROR(__xludf.DUMMYFUNCTION("""COMPUTED_VALUE"""),86.1)</f>
        <v>86.1</v>
      </c>
      <c r="I971" s="3">
        <f>IFERROR(__xludf.DUMMYFUNCTION("""COMPUTED_VALUE"""),0.0)</f>
        <v>0</v>
      </c>
      <c r="J971" s="4">
        <f>IFERROR(__xludf.DUMMYFUNCTION("""COMPUTED_VALUE"""),21.52)</f>
        <v>21.52</v>
      </c>
      <c r="K971" s="2"/>
      <c r="L971" s="2" t="str">
        <f>IFERROR(__xludf.DUMMYFUNCTION("""COMPUTED_VALUE"""),"Delivered")</f>
        <v>Delivered</v>
      </c>
      <c r="M971" s="2" t="str">
        <f>IFERROR(__xludf.DUMMYFUNCTION("""COMPUTED_VALUE"""),"")</f>
        <v></v>
      </c>
      <c r="N971" s="2" t="str">
        <f>IFERROR(__xludf.DUMMYFUNCTION("""COMPUTED_VALUE"""),"Credit, Debit, Apple Pay")</f>
        <v>Credit, Debit, Apple Pay</v>
      </c>
      <c r="O971" s="4">
        <f>IFERROR(__xludf.DUMMYFUNCTION("""COMPUTED_VALUE"""),0.0)</f>
        <v>0</v>
      </c>
      <c r="P971" s="2">
        <f>IFERROR(__xludf.DUMMYFUNCTION("""COMPUTED_VALUE"""),20.0)</f>
        <v>20</v>
      </c>
      <c r="Q971" s="2">
        <f>IFERROR(__xludf.DUMMYFUNCTION("""COMPUTED_VALUE"""),8.0)</f>
        <v>8</v>
      </c>
      <c r="R971" s="2">
        <f>IFERROR(__xludf.DUMMYFUNCTION("""COMPUTED_VALUE"""),2025.0)</f>
        <v>2025</v>
      </c>
      <c r="S971" s="2" t="str">
        <f>IFERROR(__xludf.DUMMYFUNCTION("""COMPUTED_VALUE"""),"Digizag")</f>
        <v>Digizag</v>
      </c>
      <c r="T971" s="2" t="str">
        <f>IFERROR(__xludf.DUMMYFUNCTION("""COMPUTED_VALUE"""),"Digizag")</f>
        <v>Digizag</v>
      </c>
      <c r="U971" s="5">
        <f>IFERROR(__xludf.DUMMYFUNCTION("""COMPUTED_VALUE"""),22.9582245606)</f>
        <v>22.95822456</v>
      </c>
      <c r="V971" s="2"/>
      <c r="W971" s="2"/>
      <c r="X971" s="2"/>
      <c r="Y971" s="2"/>
      <c r="Z971" s="2"/>
    </row>
    <row r="972">
      <c r="A972" s="6">
        <f>IFERROR(__xludf.DUMMYFUNCTION("""COMPUTED_VALUE"""),45889.75096064815)</f>
        <v>45889.75096</v>
      </c>
      <c r="B972" s="2" t="str">
        <f>IFERROR(__xludf.DUMMYFUNCTION("""COMPUTED_VALUE"""),"August")</f>
        <v>August</v>
      </c>
      <c r="C972" s="3">
        <f>IFERROR(__xludf.DUMMYFUNCTION("""COMPUTED_VALUE"""),109700.0)</f>
        <v>109700</v>
      </c>
      <c r="D972" s="2" t="str">
        <f>IFERROR(__xludf.DUMMYFUNCTION("""COMPUTED_VALUE"""),"CC22")</f>
        <v>CC22</v>
      </c>
      <c r="E972" s="2" t="str">
        <f>IFERROR(__xludf.DUMMYFUNCTION("""COMPUTED_VALUE"""),"Imported from file Digizag.xlsx")</f>
        <v>Imported from file Digizag.xlsx</v>
      </c>
      <c r="F972" s="2" t="str">
        <f>IFERROR(__xludf.DUMMYFUNCTION("""COMPUTED_VALUE"""),"EXK604027")</f>
        <v>EXK604027</v>
      </c>
      <c r="G972" s="2" t="str">
        <f>IFERROR(__xludf.DUMMYFUNCTION("""COMPUTED_VALUE"""),"Kingdom of Saudi Arabia")</f>
        <v>Kingdom of Saudi Arabia</v>
      </c>
      <c r="H972" s="4">
        <f>IFERROR(__xludf.DUMMYFUNCTION("""COMPUTED_VALUE"""),86.09)</f>
        <v>86.09</v>
      </c>
      <c r="I972" s="3">
        <f>IFERROR(__xludf.DUMMYFUNCTION("""COMPUTED_VALUE"""),0.0)</f>
        <v>0</v>
      </c>
      <c r="J972" s="4">
        <f>IFERROR(__xludf.DUMMYFUNCTION("""COMPUTED_VALUE"""),21.52)</f>
        <v>21.52</v>
      </c>
      <c r="K972" s="2"/>
      <c r="L972" s="2" t="str">
        <f>IFERROR(__xludf.DUMMYFUNCTION("""COMPUTED_VALUE"""),"Delivered")</f>
        <v>Delivered</v>
      </c>
      <c r="M972" s="2" t="str">
        <f>IFERROR(__xludf.DUMMYFUNCTION("""COMPUTED_VALUE"""),"")</f>
        <v></v>
      </c>
      <c r="N972" s="2" t="str">
        <f>IFERROR(__xludf.DUMMYFUNCTION("""COMPUTED_VALUE"""),"Credit, Debit, Apple Pay")</f>
        <v>Credit, Debit, Apple Pay</v>
      </c>
      <c r="O972" s="4">
        <f>IFERROR(__xludf.DUMMYFUNCTION("""COMPUTED_VALUE"""),0.0)</f>
        <v>0</v>
      </c>
      <c r="P972" s="2">
        <f>IFERROR(__xludf.DUMMYFUNCTION("""COMPUTED_VALUE"""),20.0)</f>
        <v>20</v>
      </c>
      <c r="Q972" s="2">
        <f>IFERROR(__xludf.DUMMYFUNCTION("""COMPUTED_VALUE"""),8.0)</f>
        <v>8</v>
      </c>
      <c r="R972" s="2">
        <f>IFERROR(__xludf.DUMMYFUNCTION("""COMPUTED_VALUE"""),2025.0)</f>
        <v>2025</v>
      </c>
      <c r="S972" s="2" t="str">
        <f>IFERROR(__xludf.DUMMYFUNCTION("""COMPUTED_VALUE"""),"Digizag")</f>
        <v>Digizag</v>
      </c>
      <c r="T972" s="2" t="str">
        <f>IFERROR(__xludf.DUMMYFUNCTION("""COMPUTED_VALUE"""),"Digizag")</f>
        <v>Digizag</v>
      </c>
      <c r="U972" s="5">
        <f>IFERROR(__xludf.DUMMYFUNCTION("""COMPUTED_VALUE"""),22.955558100140003)</f>
        <v>22.9555581</v>
      </c>
      <c r="V972" s="2"/>
      <c r="W972" s="2"/>
      <c r="X972" s="2"/>
      <c r="Y972" s="2"/>
      <c r="Z972" s="2"/>
    </row>
    <row r="973">
      <c r="A973" s="6">
        <f>IFERROR(__xludf.DUMMYFUNCTION("""COMPUTED_VALUE"""),45890.00194444444)</f>
        <v>45890.00194</v>
      </c>
      <c r="B973" s="2" t="str">
        <f>IFERROR(__xludf.DUMMYFUNCTION("""COMPUTED_VALUE"""),"August")</f>
        <v>August</v>
      </c>
      <c r="C973" s="3">
        <f>IFERROR(__xludf.DUMMYFUNCTION("""COMPUTED_VALUE"""),573974.0)</f>
        <v>573974</v>
      </c>
      <c r="D973" s="2" t="str">
        <f>IFERROR(__xludf.DUMMYFUNCTION("""COMPUTED_VALUE"""),"MNN26")</f>
        <v>MNN26</v>
      </c>
      <c r="E973" s="2" t="str">
        <f>IFERROR(__xludf.DUMMYFUNCTION("""COMPUTED_VALUE"""),"Imported from file DigiZag Codes 25Feb25.xlsx")</f>
        <v>Imported from file DigiZag Codes 25Feb25.xlsx</v>
      </c>
      <c r="F973" s="2" t="str">
        <f>IFERROR(__xludf.DUMMYFUNCTION("""COMPUTED_VALUE"""),"DWH306832")</f>
        <v>DWH306832</v>
      </c>
      <c r="G973" s="2" t="str">
        <f>IFERROR(__xludf.DUMMYFUNCTION("""COMPUTED_VALUE"""),"Kuwait")</f>
        <v>Kuwait</v>
      </c>
      <c r="H973" s="4">
        <f>IFERROR(__xludf.DUMMYFUNCTION("""COMPUTED_VALUE"""),13.4)</f>
        <v>13.4</v>
      </c>
      <c r="I973" s="3">
        <f>IFERROR(__xludf.DUMMYFUNCTION("""COMPUTED_VALUE"""),0.0)</f>
        <v>0</v>
      </c>
      <c r="J973" s="4">
        <f>IFERROR(__xludf.DUMMYFUNCTION("""COMPUTED_VALUE"""),1.34)</f>
        <v>1.34</v>
      </c>
      <c r="K973" s="2"/>
      <c r="L973" s="2" t="str">
        <f>IFERROR(__xludf.DUMMYFUNCTION("""COMPUTED_VALUE"""),"Delivered")</f>
        <v>Delivered</v>
      </c>
      <c r="M973" s="2" t="str">
        <f>IFERROR(__xludf.DUMMYFUNCTION("""COMPUTED_VALUE"""),"KD")</f>
        <v>KD</v>
      </c>
      <c r="N973" s="2" t="str">
        <f>IFERROR(__xludf.DUMMYFUNCTION("""COMPUTED_VALUE"""),"Credit, Debit, Knet")</f>
        <v>Credit, Debit, Knet</v>
      </c>
      <c r="O973" s="4">
        <f>IFERROR(__xludf.DUMMYFUNCTION("""COMPUTED_VALUE"""),0.0)</f>
        <v>0</v>
      </c>
      <c r="P973" s="2">
        <f>IFERROR(__xludf.DUMMYFUNCTION("""COMPUTED_VALUE"""),21.0)</f>
        <v>21</v>
      </c>
      <c r="Q973" s="2">
        <f>IFERROR(__xludf.DUMMYFUNCTION("""COMPUTED_VALUE"""),8.0)</f>
        <v>8</v>
      </c>
      <c r="R973" s="2">
        <f>IFERROR(__xludf.DUMMYFUNCTION("""COMPUTED_VALUE"""),2025.0)</f>
        <v>2025</v>
      </c>
      <c r="S973" s="2" t="str">
        <f>IFERROR(__xludf.DUMMYFUNCTION("""COMPUTED_VALUE"""),"Digizag")</f>
        <v>Digizag</v>
      </c>
      <c r="T973" s="2" t="str">
        <f>IFERROR(__xludf.DUMMYFUNCTION("""COMPUTED_VALUE"""),"Digizag")</f>
        <v>Digizag</v>
      </c>
      <c r="U973" s="5">
        <f>IFERROR(__xludf.DUMMYFUNCTION("""COMPUTED_VALUE"""),43.692308)</f>
        <v>43.692308</v>
      </c>
      <c r="V973" s="2"/>
      <c r="W973" s="2"/>
      <c r="X973" s="2"/>
      <c r="Y973" s="2"/>
      <c r="Z973" s="2"/>
    </row>
    <row r="974">
      <c r="A974" s="6">
        <f>IFERROR(__xludf.DUMMYFUNCTION("""COMPUTED_VALUE"""),45890.44101851852)</f>
        <v>45890.44102</v>
      </c>
      <c r="B974" s="2" t="str">
        <f>IFERROR(__xludf.DUMMYFUNCTION("""COMPUTED_VALUE"""),"August")</f>
        <v>August</v>
      </c>
      <c r="C974" s="3">
        <f>IFERROR(__xludf.DUMMYFUNCTION("""COMPUTED_VALUE"""),703815.0)</f>
        <v>703815</v>
      </c>
      <c r="D974" s="2" t="str">
        <f>IFERROR(__xludf.DUMMYFUNCTION("""COMPUTED_VALUE"""),"CC22")</f>
        <v>CC22</v>
      </c>
      <c r="E974" s="2" t="str">
        <f>IFERROR(__xludf.DUMMYFUNCTION("""COMPUTED_VALUE"""),"Imported from file Digizag.xlsx")</f>
        <v>Imported from file Digizag.xlsx</v>
      </c>
      <c r="F974" s="2" t="str">
        <f>IFERROR(__xludf.DUMMYFUNCTION("""COMPUTED_VALUE"""),"BRB876399")</f>
        <v>BRB876399</v>
      </c>
      <c r="G974" s="2" t="str">
        <f>IFERROR(__xludf.DUMMYFUNCTION("""COMPUTED_VALUE"""),"Kingdom of Saudi Arabia")</f>
        <v>Kingdom of Saudi Arabia</v>
      </c>
      <c r="H974" s="4">
        <f>IFERROR(__xludf.DUMMYFUNCTION("""COMPUTED_VALUE"""),363.88)</f>
        <v>363.88</v>
      </c>
      <c r="I974" s="3">
        <f>IFERROR(__xludf.DUMMYFUNCTION("""COMPUTED_VALUE"""),0.0)</f>
        <v>0</v>
      </c>
      <c r="J974" s="4">
        <f>IFERROR(__xludf.DUMMYFUNCTION("""COMPUTED_VALUE"""),30.0)</f>
        <v>30</v>
      </c>
      <c r="K974" s="2"/>
      <c r="L974" s="2" t="str">
        <f>IFERROR(__xludf.DUMMYFUNCTION("""COMPUTED_VALUE"""),"Delivered")</f>
        <v>Delivered</v>
      </c>
      <c r="M974" s="2" t="str">
        <f>IFERROR(__xludf.DUMMYFUNCTION("""COMPUTED_VALUE"""),"")</f>
        <v></v>
      </c>
      <c r="N974" s="2" t="str">
        <f>IFERROR(__xludf.DUMMYFUNCTION("""COMPUTED_VALUE"""),"Credit, Debit, Apple Pay")</f>
        <v>Credit, Debit, Apple Pay</v>
      </c>
      <c r="O974" s="4">
        <f>IFERROR(__xludf.DUMMYFUNCTION("""COMPUTED_VALUE"""),0.0)</f>
        <v>0</v>
      </c>
      <c r="P974" s="2">
        <f>IFERROR(__xludf.DUMMYFUNCTION("""COMPUTED_VALUE"""),21.0)</f>
        <v>21</v>
      </c>
      <c r="Q974" s="2">
        <f>IFERROR(__xludf.DUMMYFUNCTION("""COMPUTED_VALUE"""),8.0)</f>
        <v>8</v>
      </c>
      <c r="R974" s="2">
        <f>IFERROR(__xludf.DUMMYFUNCTION("""COMPUTED_VALUE"""),2025.0)</f>
        <v>2025</v>
      </c>
      <c r="S974" s="2" t="str">
        <f>IFERROR(__xludf.DUMMYFUNCTION("""COMPUTED_VALUE"""),"Digizag")</f>
        <v>Digizag</v>
      </c>
      <c r="T974" s="2" t="str">
        <f>IFERROR(__xludf.DUMMYFUNCTION("""COMPUTED_VALUE"""),"Digizag")</f>
        <v>Digizag</v>
      </c>
      <c r="U974" s="5">
        <f>IFERROR(__xludf.DUMMYFUNCTION("""COMPUTED_VALUE"""),97.02716321848001)</f>
        <v>97.02716322</v>
      </c>
      <c r="V974" s="2"/>
      <c r="W974" s="2"/>
      <c r="X974" s="2"/>
      <c r="Y974" s="2"/>
      <c r="Z974" s="2"/>
    </row>
    <row r="975">
      <c r="A975" s="6">
        <f>IFERROR(__xludf.DUMMYFUNCTION("""COMPUTED_VALUE"""),45890.585127314815)</f>
        <v>45890.58513</v>
      </c>
      <c r="B975" s="2" t="str">
        <f>IFERROR(__xludf.DUMMYFUNCTION("""COMPUTED_VALUE"""),"August")</f>
        <v>August</v>
      </c>
      <c r="C975" s="3">
        <f>IFERROR(__xludf.DUMMYFUNCTION("""COMPUTED_VALUE"""),274558.0)</f>
        <v>274558</v>
      </c>
      <c r="D975" s="2" t="str">
        <f>IFERROR(__xludf.DUMMYFUNCTION("""COMPUTED_VALUE"""),"CC22")</f>
        <v>CC22</v>
      </c>
      <c r="E975" s="2" t="str">
        <f>IFERROR(__xludf.DUMMYFUNCTION("""COMPUTED_VALUE"""),"Imported from file Digizag.xlsx")</f>
        <v>Imported from file Digizag.xlsx</v>
      </c>
      <c r="F975" s="2" t="str">
        <f>IFERROR(__xludf.DUMMYFUNCTION("""COMPUTED_VALUE"""),"HTV745631")</f>
        <v>HTV745631</v>
      </c>
      <c r="G975" s="2" t="str">
        <f>IFERROR(__xludf.DUMMYFUNCTION("""COMPUTED_VALUE"""),"Kingdom of Saudi Arabia")</f>
        <v>Kingdom of Saudi Arabia</v>
      </c>
      <c r="H975" s="4">
        <f>IFERROR(__xludf.DUMMYFUNCTION("""COMPUTED_VALUE"""),86.0)</f>
        <v>86</v>
      </c>
      <c r="I975" s="3">
        <f>IFERROR(__xludf.DUMMYFUNCTION("""COMPUTED_VALUE"""),1.0)</f>
        <v>1</v>
      </c>
      <c r="J975" s="4">
        <f>IFERROR(__xludf.DUMMYFUNCTION("""COMPUTED_VALUE"""),21.5)</f>
        <v>21.5</v>
      </c>
      <c r="K975" s="2"/>
      <c r="L975" s="2" t="str">
        <f>IFERROR(__xludf.DUMMYFUNCTION("""COMPUTED_VALUE"""),"Cancelled")</f>
        <v>Cancelled</v>
      </c>
      <c r="M975" s="2" t="str">
        <f>IFERROR(__xludf.DUMMYFUNCTION("""COMPUTED_VALUE"""),"")</f>
        <v></v>
      </c>
      <c r="N975" s="2" t="str">
        <f>IFERROR(__xludf.DUMMYFUNCTION("""COMPUTED_VALUE"""),"Pay in 4. No interest, no fees")</f>
        <v>Pay in 4. No interest, no fees</v>
      </c>
      <c r="O975" s="4">
        <f>IFERROR(__xludf.DUMMYFUNCTION("""COMPUTED_VALUE"""),64.5)</f>
        <v>64.5</v>
      </c>
      <c r="P975" s="2">
        <f>IFERROR(__xludf.DUMMYFUNCTION("""COMPUTED_VALUE"""),21.0)</f>
        <v>21</v>
      </c>
      <c r="Q975" s="2">
        <f>IFERROR(__xludf.DUMMYFUNCTION("""COMPUTED_VALUE"""),8.0)</f>
        <v>8</v>
      </c>
      <c r="R975" s="2">
        <f>IFERROR(__xludf.DUMMYFUNCTION("""COMPUTED_VALUE"""),2025.0)</f>
        <v>2025</v>
      </c>
      <c r="S975" s="2" t="str">
        <f>IFERROR(__xludf.DUMMYFUNCTION("""COMPUTED_VALUE"""),"Digizag")</f>
        <v>Digizag</v>
      </c>
      <c r="T975" s="2" t="str">
        <f>IFERROR(__xludf.DUMMYFUNCTION("""COMPUTED_VALUE"""),"Digizag")</f>
        <v>Digizag</v>
      </c>
      <c r="U975" s="5">
        <f>IFERROR(__xludf.DUMMYFUNCTION("""COMPUTED_VALUE"""),22.931559956)</f>
        <v>22.93155996</v>
      </c>
      <c r="V975" s="2"/>
      <c r="W975" s="2"/>
      <c r="X975" s="2"/>
      <c r="Y975" s="2"/>
      <c r="Z975" s="2"/>
    </row>
    <row r="976">
      <c r="A976" s="6">
        <f>IFERROR(__xludf.DUMMYFUNCTION("""COMPUTED_VALUE"""),45890.66819444444)</f>
        <v>45890.66819</v>
      </c>
      <c r="B976" s="2" t="str">
        <f>IFERROR(__xludf.DUMMYFUNCTION("""COMPUTED_VALUE"""),"August")</f>
        <v>August</v>
      </c>
      <c r="C976" s="3">
        <f>IFERROR(__xludf.DUMMYFUNCTION("""COMPUTED_VALUE"""),788237.0)</f>
        <v>788237</v>
      </c>
      <c r="D976" s="2" t="str">
        <f>IFERROR(__xludf.DUMMYFUNCTION("""COMPUTED_VALUE"""),"MNN27")</f>
        <v>MNN27</v>
      </c>
      <c r="E976" s="2" t="str">
        <f>IFERROR(__xludf.DUMMYFUNCTION("""COMPUTED_VALUE"""),"Imported from file DigiZag Bidding Codes.xlsx")</f>
        <v>Imported from file DigiZag Bidding Codes.xlsx</v>
      </c>
      <c r="F976" s="2" t="str">
        <f>IFERROR(__xludf.DUMMYFUNCTION("""COMPUTED_VALUE"""),"TEZ231482")</f>
        <v>TEZ231482</v>
      </c>
      <c r="G976" s="2" t="str">
        <f>IFERROR(__xludf.DUMMYFUNCTION("""COMPUTED_VALUE"""),"Kingdom of Saudi Arabia")</f>
        <v>Kingdom of Saudi Arabia</v>
      </c>
      <c r="H976" s="4">
        <f>IFERROR(__xludf.DUMMYFUNCTION("""COMPUTED_VALUE"""),211.61)</f>
        <v>211.61</v>
      </c>
      <c r="I976" s="3">
        <f>IFERROR(__xludf.DUMMYFUNCTION("""COMPUTED_VALUE"""),0.0)</f>
        <v>0</v>
      </c>
      <c r="J976" s="4">
        <f>IFERROR(__xludf.DUMMYFUNCTION("""COMPUTED_VALUE"""),30.0)</f>
        <v>30</v>
      </c>
      <c r="K976" s="2"/>
      <c r="L976" s="2" t="str">
        <f>IFERROR(__xludf.DUMMYFUNCTION("""COMPUTED_VALUE"""),"Delivered")</f>
        <v>Delivered</v>
      </c>
      <c r="M976" s="2" t="str">
        <f>IFERROR(__xludf.DUMMYFUNCTION("""COMPUTED_VALUE"""),"")</f>
        <v></v>
      </c>
      <c r="N976" s="2"/>
      <c r="O976" s="4">
        <f>IFERROR(__xludf.DUMMYFUNCTION("""COMPUTED_VALUE"""),0.0)</f>
        <v>0</v>
      </c>
      <c r="P976" s="2">
        <f>IFERROR(__xludf.DUMMYFUNCTION("""COMPUTED_VALUE"""),21.0)</f>
        <v>21</v>
      </c>
      <c r="Q976" s="2">
        <f>IFERROR(__xludf.DUMMYFUNCTION("""COMPUTED_VALUE"""),8.0)</f>
        <v>8</v>
      </c>
      <c r="R976" s="2">
        <f>IFERROR(__xludf.DUMMYFUNCTION("""COMPUTED_VALUE"""),2025.0)</f>
        <v>2025</v>
      </c>
      <c r="S976" s="2" t="str">
        <f>IFERROR(__xludf.DUMMYFUNCTION("""COMPUTED_VALUE"""),"Digizag")</f>
        <v>Digizag</v>
      </c>
      <c r="T976" s="2" t="str">
        <f>IFERROR(__xludf.DUMMYFUNCTION("""COMPUTED_VALUE"""),"Digizag")</f>
        <v>Digizag</v>
      </c>
      <c r="U976" s="5">
        <f>IFERROR(__xludf.DUMMYFUNCTION("""COMPUTED_VALUE"""),56.42496979406001)</f>
        <v>56.42496979</v>
      </c>
      <c r="V976" s="2"/>
      <c r="W976" s="2"/>
      <c r="X976" s="2"/>
      <c r="Y976" s="2"/>
      <c r="Z976" s="2"/>
    </row>
    <row r="977">
      <c r="A977" s="6">
        <f>IFERROR(__xludf.DUMMYFUNCTION("""COMPUTED_VALUE"""),45890.84174768518)</f>
        <v>45890.84175</v>
      </c>
      <c r="B977" s="2" t="str">
        <f>IFERROR(__xludf.DUMMYFUNCTION("""COMPUTED_VALUE"""),"August")</f>
        <v>August</v>
      </c>
      <c r="C977" s="3">
        <f>IFERROR(__xludf.DUMMYFUNCTION("""COMPUTED_VALUE"""),789070.0)</f>
        <v>789070</v>
      </c>
      <c r="D977" s="2" t="str">
        <f>IFERROR(__xludf.DUMMYFUNCTION("""COMPUTED_VALUE"""),"ZM22")</f>
        <v>ZM22</v>
      </c>
      <c r="E977" s="2" t="str">
        <f>IFERROR(__xludf.DUMMYFUNCTION("""COMPUTED_VALUE"""),"Imported from file Digizag.xlsx")</f>
        <v>Imported from file Digizag.xlsx</v>
      </c>
      <c r="F977" s="2" t="str">
        <f>IFERROR(__xludf.DUMMYFUNCTION("""COMPUTED_VALUE"""),"XLB541576")</f>
        <v>XLB541576</v>
      </c>
      <c r="G977" s="2" t="str">
        <f>IFERROR(__xludf.DUMMYFUNCTION("""COMPUTED_VALUE"""),"Kingdom of Saudi Arabia")</f>
        <v>Kingdom of Saudi Arabia</v>
      </c>
      <c r="H977" s="4">
        <f>IFERROR(__xludf.DUMMYFUNCTION("""COMPUTED_VALUE"""),129.0)</f>
        <v>129</v>
      </c>
      <c r="I977" s="3">
        <f>IFERROR(__xludf.DUMMYFUNCTION("""COMPUTED_VALUE"""),0.0)</f>
        <v>0</v>
      </c>
      <c r="J977" s="4">
        <f>IFERROR(__xludf.DUMMYFUNCTION("""COMPUTED_VALUE"""),30.0)</f>
        <v>30</v>
      </c>
      <c r="K977" s="2"/>
      <c r="L977" s="2" t="str">
        <f>IFERROR(__xludf.DUMMYFUNCTION("""COMPUTED_VALUE"""),"Delivered")</f>
        <v>Delivered</v>
      </c>
      <c r="M977" s="2" t="str">
        <f>IFERROR(__xludf.DUMMYFUNCTION("""COMPUTED_VALUE"""),"")</f>
        <v></v>
      </c>
      <c r="N977" s="2" t="str">
        <f>IFERROR(__xludf.DUMMYFUNCTION("""COMPUTED_VALUE"""),"Credit, Debit, Apple Pay")</f>
        <v>Credit, Debit, Apple Pay</v>
      </c>
      <c r="O977" s="4">
        <f>IFERROR(__xludf.DUMMYFUNCTION("""COMPUTED_VALUE"""),0.0)</f>
        <v>0</v>
      </c>
      <c r="P977" s="2">
        <f>IFERROR(__xludf.DUMMYFUNCTION("""COMPUTED_VALUE"""),21.0)</f>
        <v>21</v>
      </c>
      <c r="Q977" s="2">
        <f>IFERROR(__xludf.DUMMYFUNCTION("""COMPUTED_VALUE"""),8.0)</f>
        <v>8</v>
      </c>
      <c r="R977" s="2">
        <f>IFERROR(__xludf.DUMMYFUNCTION("""COMPUTED_VALUE"""),2025.0)</f>
        <v>2025</v>
      </c>
      <c r="S977" s="2" t="str">
        <f>IFERROR(__xludf.DUMMYFUNCTION("""COMPUTED_VALUE"""),"Digizag")</f>
        <v>Digizag</v>
      </c>
      <c r="T977" s="2" t="str">
        <f>IFERROR(__xludf.DUMMYFUNCTION("""COMPUTED_VALUE"""),"Digizag")</f>
        <v>Digizag</v>
      </c>
      <c r="U977" s="5">
        <f>IFERROR(__xludf.DUMMYFUNCTION("""COMPUTED_VALUE"""),34.397339934)</f>
        <v>34.39733993</v>
      </c>
      <c r="V977" s="2"/>
      <c r="W977" s="2"/>
      <c r="X977" s="2"/>
      <c r="Y977" s="2"/>
      <c r="Z977" s="2"/>
    </row>
    <row r="978">
      <c r="A978" s="6">
        <f>IFERROR(__xludf.DUMMYFUNCTION("""COMPUTED_VALUE"""),45891.63287037037)</f>
        <v>45891.63287</v>
      </c>
      <c r="B978" s="2" t="str">
        <f>IFERROR(__xludf.DUMMYFUNCTION("""COMPUTED_VALUE"""),"August")</f>
        <v>August</v>
      </c>
      <c r="C978" s="3">
        <f>IFERROR(__xludf.DUMMYFUNCTION("""COMPUTED_VALUE"""),34761.0)</f>
        <v>34761</v>
      </c>
      <c r="D978" s="2" t="str">
        <f>IFERROR(__xludf.DUMMYFUNCTION("""COMPUTED_VALUE"""),"JM")</f>
        <v>JM</v>
      </c>
      <c r="E978" s="2" t="str">
        <f>IFERROR(__xludf.DUMMYFUNCTION("""COMPUTED_VALUE"""),"Digizag")</f>
        <v>Digizag</v>
      </c>
      <c r="F978" s="2" t="str">
        <f>IFERROR(__xludf.DUMMYFUNCTION("""COMPUTED_VALUE"""),"VVZ803793")</f>
        <v>VVZ803793</v>
      </c>
      <c r="G978" s="2" t="str">
        <f>IFERROR(__xludf.DUMMYFUNCTION("""COMPUTED_VALUE"""),"Kuwait")</f>
        <v>Kuwait</v>
      </c>
      <c r="H978" s="4">
        <f>IFERROR(__xludf.DUMMYFUNCTION("""COMPUTED_VALUE"""),14.95)</f>
        <v>14.95</v>
      </c>
      <c r="I978" s="3">
        <f>IFERROR(__xludf.DUMMYFUNCTION("""COMPUTED_VALUE"""),0.0)</f>
        <v>0</v>
      </c>
      <c r="J978" s="4">
        <f>IFERROR(__xludf.DUMMYFUNCTION("""COMPUTED_VALUE"""),1.495)</f>
        <v>1.495</v>
      </c>
      <c r="K978" s="2"/>
      <c r="L978" s="2" t="str">
        <f>IFERROR(__xludf.DUMMYFUNCTION("""COMPUTED_VALUE"""),"Delivered")</f>
        <v>Delivered</v>
      </c>
      <c r="M978" s="2" t="str">
        <f>IFERROR(__xludf.DUMMYFUNCTION("""COMPUTED_VALUE"""),"KD")</f>
        <v>KD</v>
      </c>
      <c r="N978" s="2" t="str">
        <f>IFERROR(__xludf.DUMMYFUNCTION("""COMPUTED_VALUE"""),"Credit, Debit, Knet")</f>
        <v>Credit, Debit, Knet</v>
      </c>
      <c r="O978" s="4">
        <f>IFERROR(__xludf.DUMMYFUNCTION("""COMPUTED_VALUE"""),0.0)</f>
        <v>0</v>
      </c>
      <c r="P978" s="2">
        <f>IFERROR(__xludf.DUMMYFUNCTION("""COMPUTED_VALUE"""),22.0)</f>
        <v>22</v>
      </c>
      <c r="Q978" s="2">
        <f>IFERROR(__xludf.DUMMYFUNCTION("""COMPUTED_VALUE"""),8.0)</f>
        <v>8</v>
      </c>
      <c r="R978" s="2">
        <f>IFERROR(__xludf.DUMMYFUNCTION("""COMPUTED_VALUE"""),2025.0)</f>
        <v>2025</v>
      </c>
      <c r="S978" s="2" t="str">
        <f>IFERROR(__xludf.DUMMYFUNCTION("""COMPUTED_VALUE"""),"Digizag")</f>
        <v>Digizag</v>
      </c>
      <c r="T978" s="2" t="str">
        <f>IFERROR(__xludf.DUMMYFUNCTION("""COMPUTED_VALUE"""),"Digizag")</f>
        <v>Digizag</v>
      </c>
      <c r="U978" s="5">
        <f>IFERROR(__xludf.DUMMYFUNCTION("""COMPUTED_VALUE"""),48.746269)</f>
        <v>48.746269</v>
      </c>
      <c r="V978" s="2"/>
      <c r="W978" s="2"/>
      <c r="X978" s="2"/>
      <c r="Y978" s="2"/>
      <c r="Z978" s="2"/>
    </row>
    <row r="979">
      <c r="A979" s="6">
        <f>IFERROR(__xludf.DUMMYFUNCTION("""COMPUTED_VALUE"""),45891.991631944446)</f>
        <v>45891.99163</v>
      </c>
      <c r="B979" s="2" t="str">
        <f>IFERROR(__xludf.DUMMYFUNCTION("""COMPUTED_VALUE"""),"August")</f>
        <v>August</v>
      </c>
      <c r="C979" s="3">
        <f>IFERROR(__xludf.DUMMYFUNCTION("""COMPUTED_VALUE"""),295756.0)</f>
        <v>295756</v>
      </c>
      <c r="D979" s="2" t="str">
        <f>IFERROR(__xludf.DUMMYFUNCTION("""COMPUTED_VALUE"""),"ZM22")</f>
        <v>ZM22</v>
      </c>
      <c r="E979" s="2" t="str">
        <f>IFERROR(__xludf.DUMMYFUNCTION("""COMPUTED_VALUE"""),"Imported from file Digizag.xlsx")</f>
        <v>Imported from file Digizag.xlsx</v>
      </c>
      <c r="F979" s="2" t="str">
        <f>IFERROR(__xludf.DUMMYFUNCTION("""COMPUTED_VALUE"""),"ESH637829")</f>
        <v>ESH637829</v>
      </c>
      <c r="G979" s="2" t="str">
        <f>IFERROR(__xludf.DUMMYFUNCTION("""COMPUTED_VALUE"""),"UAE")</f>
        <v>UAE</v>
      </c>
      <c r="H979" s="4">
        <f>IFERROR(__xludf.DUMMYFUNCTION("""COMPUTED_VALUE"""),228.0)</f>
        <v>228</v>
      </c>
      <c r="I979" s="3">
        <f>IFERROR(__xludf.DUMMYFUNCTION("""COMPUTED_VALUE"""),0.0)</f>
        <v>0</v>
      </c>
      <c r="J979" s="4">
        <f>IFERROR(__xludf.DUMMYFUNCTION("""COMPUTED_VALUE"""),22.8)</f>
        <v>22.8</v>
      </c>
      <c r="K979" s="2"/>
      <c r="L979" s="2" t="str">
        <f>IFERROR(__xludf.DUMMYFUNCTION("""COMPUTED_VALUE"""),"Delivered")</f>
        <v>Delivered</v>
      </c>
      <c r="M979" s="2" t="str">
        <f>IFERROR(__xludf.DUMMYFUNCTION("""COMPUTED_VALUE"""),"")</f>
        <v></v>
      </c>
      <c r="N979" s="2" t="str">
        <f>IFERROR(__xludf.DUMMYFUNCTION("""COMPUTED_VALUE"""),"Credit, Debit , Apple Pay")</f>
        <v>Credit, Debit , Apple Pay</v>
      </c>
      <c r="O979" s="4">
        <f>IFERROR(__xludf.DUMMYFUNCTION("""COMPUTED_VALUE"""),0.0)</f>
        <v>0</v>
      </c>
      <c r="P979" s="2">
        <f>IFERROR(__xludf.DUMMYFUNCTION("""COMPUTED_VALUE"""),22.0)</f>
        <v>22</v>
      </c>
      <c r="Q979" s="2">
        <f>IFERROR(__xludf.DUMMYFUNCTION("""COMPUTED_VALUE"""),8.0)</f>
        <v>8</v>
      </c>
      <c r="R979" s="2">
        <f>IFERROR(__xludf.DUMMYFUNCTION("""COMPUTED_VALUE"""),2025.0)</f>
        <v>2025</v>
      </c>
      <c r="S979" s="2" t="str">
        <f>IFERROR(__xludf.DUMMYFUNCTION("""COMPUTED_VALUE"""),"Digizag")</f>
        <v>Digizag</v>
      </c>
      <c r="T979" s="2" t="str">
        <f>IFERROR(__xludf.DUMMYFUNCTION("""COMPUTED_VALUE"""),"Digizag")</f>
        <v>Digizag</v>
      </c>
      <c r="U979" s="5">
        <f>IFERROR(__xludf.DUMMYFUNCTION("""COMPUTED_VALUE"""),62.083049783999996)</f>
        <v>62.08304978</v>
      </c>
      <c r="V979" s="2"/>
      <c r="W979" s="2"/>
      <c r="X979" s="2"/>
      <c r="Y979" s="2"/>
      <c r="Z979" s="2"/>
    </row>
    <row r="980">
      <c r="A980" s="6">
        <f>IFERROR(__xludf.DUMMYFUNCTION("""COMPUTED_VALUE"""),45892.69722222222)</f>
        <v>45892.69722</v>
      </c>
      <c r="B980" s="2" t="str">
        <f>IFERROR(__xludf.DUMMYFUNCTION("""COMPUTED_VALUE"""),"August")</f>
        <v>August</v>
      </c>
      <c r="C980" s="3">
        <f>IFERROR(__xludf.DUMMYFUNCTION("""COMPUTED_VALUE"""),762341.0)</f>
        <v>762341</v>
      </c>
      <c r="D980" s="2" t="str">
        <f>IFERROR(__xludf.DUMMYFUNCTION("""COMPUTED_VALUE"""),"MNN27")</f>
        <v>MNN27</v>
      </c>
      <c r="E980" s="2" t="str">
        <f>IFERROR(__xludf.DUMMYFUNCTION("""COMPUTED_VALUE"""),"Imported from file DigiZag Bidding Codes.xlsx")</f>
        <v>Imported from file DigiZag Bidding Codes.xlsx</v>
      </c>
      <c r="F980" s="2" t="str">
        <f>IFERROR(__xludf.DUMMYFUNCTION("""COMPUTED_VALUE"""),"GRL382947")</f>
        <v>GRL382947</v>
      </c>
      <c r="G980" s="2" t="str">
        <f>IFERROR(__xludf.DUMMYFUNCTION("""COMPUTED_VALUE"""),"Kingdom of Saudi Arabia")</f>
        <v>Kingdom of Saudi Arabia</v>
      </c>
      <c r="H980" s="4">
        <f>IFERROR(__xludf.DUMMYFUNCTION("""COMPUTED_VALUE"""),150.68)</f>
        <v>150.68</v>
      </c>
      <c r="I980" s="3">
        <f>IFERROR(__xludf.DUMMYFUNCTION("""COMPUTED_VALUE"""),0.0)</f>
        <v>0</v>
      </c>
      <c r="J980" s="4">
        <f>IFERROR(__xludf.DUMMYFUNCTION("""COMPUTED_VALUE"""),30.0)</f>
        <v>30</v>
      </c>
      <c r="K980" s="2"/>
      <c r="L980" s="2" t="str">
        <f>IFERROR(__xludf.DUMMYFUNCTION("""COMPUTED_VALUE"""),"Delivered")</f>
        <v>Delivered</v>
      </c>
      <c r="M980" s="2" t="str">
        <f>IFERROR(__xludf.DUMMYFUNCTION("""COMPUTED_VALUE"""),"")</f>
        <v></v>
      </c>
      <c r="N980" s="2" t="str">
        <f>IFERROR(__xludf.DUMMYFUNCTION("""COMPUTED_VALUE"""),"Credit, Debit, Apple Pay")</f>
        <v>Credit, Debit, Apple Pay</v>
      </c>
      <c r="O980" s="4">
        <f>IFERROR(__xludf.DUMMYFUNCTION("""COMPUTED_VALUE"""),0.0)</f>
        <v>0</v>
      </c>
      <c r="P980" s="2">
        <f>IFERROR(__xludf.DUMMYFUNCTION("""COMPUTED_VALUE"""),23.0)</f>
        <v>23</v>
      </c>
      <c r="Q980" s="2">
        <f>IFERROR(__xludf.DUMMYFUNCTION("""COMPUTED_VALUE"""),8.0)</f>
        <v>8</v>
      </c>
      <c r="R980" s="2">
        <f>IFERROR(__xludf.DUMMYFUNCTION("""COMPUTED_VALUE"""),2025.0)</f>
        <v>2025</v>
      </c>
      <c r="S980" s="2" t="str">
        <f>IFERROR(__xludf.DUMMYFUNCTION("""COMPUTED_VALUE"""),"Digizag")</f>
        <v>Digizag</v>
      </c>
      <c r="T980" s="2" t="str">
        <f>IFERROR(__xludf.DUMMYFUNCTION("""COMPUTED_VALUE"""),"Digizag")</f>
        <v>Digizag</v>
      </c>
      <c r="U980" s="5">
        <f>IFERROR(__xludf.DUMMYFUNCTION("""COMPUTED_VALUE"""),40.178226211280005)</f>
        <v>40.17822621</v>
      </c>
      <c r="V980" s="2"/>
      <c r="W980" s="2"/>
      <c r="X980" s="2"/>
      <c r="Y980" s="2"/>
      <c r="Z980" s="2"/>
    </row>
    <row r="981">
      <c r="A981" s="6">
        <f>IFERROR(__xludf.DUMMYFUNCTION("""COMPUTED_VALUE"""),45893.05998842592)</f>
        <v>45893.05999</v>
      </c>
      <c r="B981" s="2" t="str">
        <f>IFERROR(__xludf.DUMMYFUNCTION("""COMPUTED_VALUE"""),"August")</f>
        <v>August</v>
      </c>
      <c r="C981" s="3">
        <f>IFERROR(__xludf.DUMMYFUNCTION("""COMPUTED_VALUE"""),101688.0)</f>
        <v>101688</v>
      </c>
      <c r="D981" s="2" t="str">
        <f>IFERROR(__xludf.DUMMYFUNCTION("""COMPUTED_VALUE"""),"RR22")</f>
        <v>RR22</v>
      </c>
      <c r="E981" s="2" t="str">
        <f>IFERROR(__xludf.DUMMYFUNCTION("""COMPUTED_VALUE"""),"Imported from file Digizag.xlsx")</f>
        <v>Imported from file Digizag.xlsx</v>
      </c>
      <c r="F981" s="2" t="str">
        <f>IFERROR(__xludf.DUMMYFUNCTION("""COMPUTED_VALUE"""),"AXZ407934")</f>
        <v>AXZ407934</v>
      </c>
      <c r="G981" s="2" t="str">
        <f>IFERROR(__xludf.DUMMYFUNCTION("""COMPUTED_VALUE"""),"UAE")</f>
        <v>UAE</v>
      </c>
      <c r="H981" s="4">
        <f>IFERROR(__xludf.DUMMYFUNCTION("""COMPUTED_VALUE"""),530.43)</f>
        <v>530.43</v>
      </c>
      <c r="I981" s="3">
        <f>IFERROR(__xludf.DUMMYFUNCTION("""COMPUTED_VALUE"""),0.0)</f>
        <v>0</v>
      </c>
      <c r="J981" s="4">
        <f>IFERROR(__xludf.DUMMYFUNCTION("""COMPUTED_VALUE"""),53.04)</f>
        <v>53.04</v>
      </c>
      <c r="K981" s="2"/>
      <c r="L981" s="2" t="str">
        <f>IFERROR(__xludf.DUMMYFUNCTION("""COMPUTED_VALUE"""),"Delivered")</f>
        <v>Delivered</v>
      </c>
      <c r="M981" s="2" t="str">
        <f>IFERROR(__xludf.DUMMYFUNCTION("""COMPUTED_VALUE"""),"")</f>
        <v></v>
      </c>
      <c r="N981" s="2" t="str">
        <f>IFERROR(__xludf.DUMMYFUNCTION("""COMPUTED_VALUE"""),"Credit, Debit , Apple Pay")</f>
        <v>Credit, Debit , Apple Pay</v>
      </c>
      <c r="O981" s="4">
        <f>IFERROR(__xludf.DUMMYFUNCTION("""COMPUTED_VALUE"""),0.0)</f>
        <v>0</v>
      </c>
      <c r="P981" s="2">
        <f>IFERROR(__xludf.DUMMYFUNCTION("""COMPUTED_VALUE"""),24.0)</f>
        <v>24</v>
      </c>
      <c r="Q981" s="2">
        <f>IFERROR(__xludf.DUMMYFUNCTION("""COMPUTED_VALUE"""),8.0)</f>
        <v>8</v>
      </c>
      <c r="R981" s="2">
        <f>IFERROR(__xludf.DUMMYFUNCTION("""COMPUTED_VALUE"""),2025.0)</f>
        <v>2025</v>
      </c>
      <c r="S981" s="2" t="str">
        <f>IFERROR(__xludf.DUMMYFUNCTION("""COMPUTED_VALUE"""),"Digizag")</f>
        <v>Digizag</v>
      </c>
      <c r="T981" s="2" t="str">
        <f>IFERROR(__xludf.DUMMYFUNCTION("""COMPUTED_VALUE"""),"Digizag")</f>
        <v>Digizag</v>
      </c>
      <c r="U981" s="5">
        <f>IFERROR(__xludf.DUMMYFUNCTION("""COMPUTED_VALUE"""),144.43294779354)</f>
        <v>144.4329478</v>
      </c>
      <c r="V981" s="2"/>
      <c r="W981" s="2"/>
      <c r="X981" s="2"/>
      <c r="Y981" s="2"/>
      <c r="Z981" s="2"/>
    </row>
    <row r="982">
      <c r="A982" s="6">
        <f>IFERROR(__xludf.DUMMYFUNCTION("""COMPUTED_VALUE"""),45893.51142361111)</f>
        <v>45893.51142</v>
      </c>
      <c r="B982" s="2" t="str">
        <f>IFERROR(__xludf.DUMMYFUNCTION("""COMPUTED_VALUE"""),"August")</f>
        <v>August</v>
      </c>
      <c r="C982" s="3">
        <f>IFERROR(__xludf.DUMMYFUNCTION("""COMPUTED_VALUE"""),790195.0)</f>
        <v>790195</v>
      </c>
      <c r="D982" s="2" t="str">
        <f>IFERROR(__xludf.DUMMYFUNCTION("""COMPUTED_VALUE"""),"ZM22")</f>
        <v>ZM22</v>
      </c>
      <c r="E982" s="2" t="str">
        <f>IFERROR(__xludf.DUMMYFUNCTION("""COMPUTED_VALUE"""),"Imported from file Digizag.xlsx")</f>
        <v>Imported from file Digizag.xlsx</v>
      </c>
      <c r="F982" s="2" t="str">
        <f>IFERROR(__xludf.DUMMYFUNCTION("""COMPUTED_VALUE"""),"QPJ403209")</f>
        <v>QPJ403209</v>
      </c>
      <c r="G982" s="2" t="str">
        <f>IFERROR(__xludf.DUMMYFUNCTION("""COMPUTED_VALUE"""),"Kingdom of Saudi Arabia")</f>
        <v>Kingdom of Saudi Arabia</v>
      </c>
      <c r="H982" s="4">
        <f>IFERROR(__xludf.DUMMYFUNCTION("""COMPUTED_VALUE"""),65.22)</f>
        <v>65.22</v>
      </c>
      <c r="I982" s="3">
        <f>IFERROR(__xludf.DUMMYFUNCTION("""COMPUTED_VALUE"""),0.0)</f>
        <v>0</v>
      </c>
      <c r="J982" s="4">
        <f>IFERROR(__xludf.DUMMYFUNCTION("""COMPUTED_VALUE"""),16.3)</f>
        <v>16.3</v>
      </c>
      <c r="K982" s="2"/>
      <c r="L982" s="2" t="str">
        <f>IFERROR(__xludf.DUMMYFUNCTION("""COMPUTED_VALUE"""),"Delivered")</f>
        <v>Delivered</v>
      </c>
      <c r="M982" s="2" t="str">
        <f>IFERROR(__xludf.DUMMYFUNCTION("""COMPUTED_VALUE"""),"")</f>
        <v></v>
      </c>
      <c r="N982" s="2" t="str">
        <f>IFERROR(__xludf.DUMMYFUNCTION("""COMPUTED_VALUE"""),"Credit, Debit, Apple Pay")</f>
        <v>Credit, Debit, Apple Pay</v>
      </c>
      <c r="O982" s="4">
        <f>IFERROR(__xludf.DUMMYFUNCTION("""COMPUTED_VALUE"""),0.0)</f>
        <v>0</v>
      </c>
      <c r="P982" s="2">
        <f>IFERROR(__xludf.DUMMYFUNCTION("""COMPUTED_VALUE"""),24.0)</f>
        <v>24</v>
      </c>
      <c r="Q982" s="2">
        <f>IFERROR(__xludf.DUMMYFUNCTION("""COMPUTED_VALUE"""),8.0)</f>
        <v>8</v>
      </c>
      <c r="R982" s="2">
        <f>IFERROR(__xludf.DUMMYFUNCTION("""COMPUTED_VALUE"""),2025.0)</f>
        <v>2025</v>
      </c>
      <c r="S982" s="2" t="str">
        <f>IFERROR(__xludf.DUMMYFUNCTION("""COMPUTED_VALUE"""),"Digizag")</f>
        <v>Digizag</v>
      </c>
      <c r="T982" s="2" t="str">
        <f>IFERROR(__xludf.DUMMYFUNCTION("""COMPUTED_VALUE"""),"Digizag")</f>
        <v>Digizag</v>
      </c>
      <c r="U982" s="5">
        <f>IFERROR(__xludf.DUMMYFUNCTION("""COMPUTED_VALUE"""),17.39065512012)</f>
        <v>17.39065512</v>
      </c>
      <c r="V982" s="2"/>
      <c r="W982" s="2"/>
      <c r="X982" s="2"/>
      <c r="Y982" s="2"/>
      <c r="Z982" s="2"/>
    </row>
    <row r="983">
      <c r="A983" s="6">
        <f>IFERROR(__xludf.DUMMYFUNCTION("""COMPUTED_VALUE"""),45893.55547453703)</f>
        <v>45893.55547</v>
      </c>
      <c r="B983" s="2" t="str">
        <f>IFERROR(__xludf.DUMMYFUNCTION("""COMPUTED_VALUE"""),"August")</f>
        <v>August</v>
      </c>
      <c r="C983" s="3">
        <f>IFERROR(__xludf.DUMMYFUNCTION("""COMPUTED_VALUE"""),699892.0)</f>
        <v>699892</v>
      </c>
      <c r="D983" s="2" t="str">
        <f>IFERROR(__xludf.DUMMYFUNCTION("""COMPUTED_VALUE"""),"CC22")</f>
        <v>CC22</v>
      </c>
      <c r="E983" s="2" t="str">
        <f>IFERROR(__xludf.DUMMYFUNCTION("""COMPUTED_VALUE"""),"Imported from file Digizag.xlsx")</f>
        <v>Imported from file Digizag.xlsx</v>
      </c>
      <c r="F983" s="2" t="str">
        <f>IFERROR(__xludf.DUMMYFUNCTION("""COMPUTED_VALUE"""),"QZT754601")</f>
        <v>QZT754601</v>
      </c>
      <c r="G983" s="2" t="str">
        <f>IFERROR(__xludf.DUMMYFUNCTION("""COMPUTED_VALUE"""),"UAE")</f>
        <v>UAE</v>
      </c>
      <c r="H983" s="4">
        <f>IFERROR(__xludf.DUMMYFUNCTION("""COMPUTED_VALUE"""),118.8)</f>
        <v>118.8</v>
      </c>
      <c r="I983" s="3">
        <f>IFERROR(__xludf.DUMMYFUNCTION("""COMPUTED_VALUE"""),0.0)</f>
        <v>0</v>
      </c>
      <c r="J983" s="4">
        <f>IFERROR(__xludf.DUMMYFUNCTION("""COMPUTED_VALUE"""),11.88)</f>
        <v>11.88</v>
      </c>
      <c r="K983" s="2"/>
      <c r="L983" s="2" t="str">
        <f>IFERROR(__xludf.DUMMYFUNCTION("""COMPUTED_VALUE"""),"Delivered")</f>
        <v>Delivered</v>
      </c>
      <c r="M983" s="2" t="str">
        <f>IFERROR(__xludf.DUMMYFUNCTION("""COMPUTED_VALUE"""),"")</f>
        <v></v>
      </c>
      <c r="N983" s="2" t="str">
        <f>IFERROR(__xludf.DUMMYFUNCTION("""COMPUTED_VALUE"""),"Credit, Debit , Apple Pay")</f>
        <v>Credit, Debit , Apple Pay</v>
      </c>
      <c r="O983" s="4">
        <f>IFERROR(__xludf.DUMMYFUNCTION("""COMPUTED_VALUE"""),0.0)</f>
        <v>0</v>
      </c>
      <c r="P983" s="2">
        <f>IFERROR(__xludf.DUMMYFUNCTION("""COMPUTED_VALUE"""),24.0)</f>
        <v>24</v>
      </c>
      <c r="Q983" s="2">
        <f>IFERROR(__xludf.DUMMYFUNCTION("""COMPUTED_VALUE"""),8.0)</f>
        <v>8</v>
      </c>
      <c r="R983" s="2">
        <f>IFERROR(__xludf.DUMMYFUNCTION("""COMPUTED_VALUE"""),2025.0)</f>
        <v>2025</v>
      </c>
      <c r="S983" s="2" t="str">
        <f>IFERROR(__xludf.DUMMYFUNCTION("""COMPUTED_VALUE"""),"Digizag")</f>
        <v>Digizag</v>
      </c>
      <c r="T983" s="2" t="str">
        <f>IFERROR(__xludf.DUMMYFUNCTION("""COMPUTED_VALUE"""),"Digizag")</f>
        <v>Digizag</v>
      </c>
      <c r="U983" s="5">
        <f>IFERROR(__xludf.DUMMYFUNCTION("""COMPUTED_VALUE"""),32.3485364664)</f>
        <v>32.34853647</v>
      </c>
      <c r="V983" s="2"/>
      <c r="W983" s="2"/>
      <c r="X983" s="2"/>
      <c r="Y983" s="2"/>
      <c r="Z983" s="2"/>
    </row>
    <row r="984">
      <c r="A984" s="6">
        <f>IFERROR(__xludf.DUMMYFUNCTION("""COMPUTED_VALUE"""),45893.65666666666)</f>
        <v>45893.65667</v>
      </c>
      <c r="B984" s="2" t="str">
        <f>IFERROR(__xludf.DUMMYFUNCTION("""COMPUTED_VALUE"""),"August")</f>
        <v>August</v>
      </c>
      <c r="C984" s="3">
        <f>IFERROR(__xludf.DUMMYFUNCTION("""COMPUTED_VALUE"""),660783.0)</f>
        <v>660783</v>
      </c>
      <c r="D984" s="2" t="str">
        <f>IFERROR(__xludf.DUMMYFUNCTION("""COMPUTED_VALUE"""),"ZM22")</f>
        <v>ZM22</v>
      </c>
      <c r="E984" s="2" t="str">
        <f>IFERROR(__xludf.DUMMYFUNCTION("""COMPUTED_VALUE"""),"Imported from file Digizag.xlsx")</f>
        <v>Imported from file Digizag.xlsx</v>
      </c>
      <c r="F984" s="2" t="str">
        <f>IFERROR(__xludf.DUMMYFUNCTION("""COMPUTED_VALUE"""),"QQB796576")</f>
        <v>QQB796576</v>
      </c>
      <c r="G984" s="2" t="str">
        <f>IFERROR(__xludf.DUMMYFUNCTION("""COMPUTED_VALUE"""),"UAE")</f>
        <v>UAE</v>
      </c>
      <c r="H984" s="4">
        <f>IFERROR(__xludf.DUMMYFUNCTION("""COMPUTED_VALUE"""),602.0)</f>
        <v>602</v>
      </c>
      <c r="I984" s="3">
        <f>IFERROR(__xludf.DUMMYFUNCTION("""COMPUTED_VALUE"""),0.0)</f>
        <v>0</v>
      </c>
      <c r="J984" s="4">
        <f>IFERROR(__xludf.DUMMYFUNCTION("""COMPUTED_VALUE"""),60.2)</f>
        <v>60.2</v>
      </c>
      <c r="K984" s="2"/>
      <c r="L984" s="2" t="str">
        <f>IFERROR(__xludf.DUMMYFUNCTION("""COMPUTED_VALUE"""),"Delivered")</f>
        <v>Delivered</v>
      </c>
      <c r="M984" s="2" t="str">
        <f>IFERROR(__xludf.DUMMYFUNCTION("""COMPUTED_VALUE"""),"")</f>
        <v></v>
      </c>
      <c r="N984" s="2" t="str">
        <f>IFERROR(__xludf.DUMMYFUNCTION("""COMPUTED_VALUE"""),"Credit, Debit , Apple Pay")</f>
        <v>Credit, Debit , Apple Pay</v>
      </c>
      <c r="O984" s="4">
        <f>IFERROR(__xludf.DUMMYFUNCTION("""COMPUTED_VALUE"""),0.0)</f>
        <v>0</v>
      </c>
      <c r="P984" s="2">
        <f>IFERROR(__xludf.DUMMYFUNCTION("""COMPUTED_VALUE"""),24.0)</f>
        <v>24</v>
      </c>
      <c r="Q984" s="2">
        <f>IFERROR(__xludf.DUMMYFUNCTION("""COMPUTED_VALUE"""),8.0)</f>
        <v>8</v>
      </c>
      <c r="R984" s="2">
        <f>IFERROR(__xludf.DUMMYFUNCTION("""COMPUTED_VALUE"""),2025.0)</f>
        <v>2025</v>
      </c>
      <c r="S984" s="2" t="str">
        <f>IFERROR(__xludf.DUMMYFUNCTION("""COMPUTED_VALUE"""),"Digizag")</f>
        <v>Digizag</v>
      </c>
      <c r="T984" s="2" t="str">
        <f>IFERROR(__xludf.DUMMYFUNCTION("""COMPUTED_VALUE"""),"Digizag")</f>
        <v>Digizag</v>
      </c>
      <c r="U984" s="5">
        <f>IFERROR(__xludf.DUMMYFUNCTION("""COMPUTED_VALUE"""),163.921034956)</f>
        <v>163.921035</v>
      </c>
      <c r="V984" s="2"/>
      <c r="W984" s="2"/>
      <c r="X984" s="2"/>
      <c r="Y984" s="2"/>
      <c r="Z984" s="2"/>
    </row>
    <row r="985">
      <c r="A985" s="6">
        <f>IFERROR(__xludf.DUMMYFUNCTION("""COMPUTED_VALUE"""),45893.85787037037)</f>
        <v>45893.85787</v>
      </c>
      <c r="B985" s="2" t="str">
        <f>IFERROR(__xludf.DUMMYFUNCTION("""COMPUTED_VALUE"""),"August")</f>
        <v>August</v>
      </c>
      <c r="C985" s="3">
        <f>IFERROR(__xludf.DUMMYFUNCTION("""COMPUTED_VALUE"""),246410.0)</f>
        <v>246410</v>
      </c>
      <c r="D985" s="2" t="str">
        <f>IFERROR(__xludf.DUMMYFUNCTION("""COMPUTED_VALUE"""),"ZM22")</f>
        <v>ZM22</v>
      </c>
      <c r="E985" s="2" t="str">
        <f>IFERROR(__xludf.DUMMYFUNCTION("""COMPUTED_VALUE"""),"Imported from file Digizag.xlsx")</f>
        <v>Imported from file Digizag.xlsx</v>
      </c>
      <c r="F985" s="2" t="str">
        <f>IFERROR(__xludf.DUMMYFUNCTION("""COMPUTED_VALUE"""),"XMS865608")</f>
        <v>XMS865608</v>
      </c>
      <c r="G985" s="2" t="str">
        <f>IFERROR(__xludf.DUMMYFUNCTION("""COMPUTED_VALUE"""),"UAE")</f>
        <v>UAE</v>
      </c>
      <c r="H985" s="4">
        <f>IFERROR(__xludf.DUMMYFUNCTION("""COMPUTED_VALUE"""),515.0)</f>
        <v>515</v>
      </c>
      <c r="I985" s="3">
        <f>IFERROR(__xludf.DUMMYFUNCTION("""COMPUTED_VALUE"""),0.0)</f>
        <v>0</v>
      </c>
      <c r="J985" s="4">
        <f>IFERROR(__xludf.DUMMYFUNCTION("""COMPUTED_VALUE"""),51.5)</f>
        <v>51.5</v>
      </c>
      <c r="K985" s="2"/>
      <c r="L985" s="2" t="str">
        <f>IFERROR(__xludf.DUMMYFUNCTION("""COMPUTED_VALUE"""),"Delivered")</f>
        <v>Delivered</v>
      </c>
      <c r="M985" s="2" t="str">
        <f>IFERROR(__xludf.DUMMYFUNCTION("""COMPUTED_VALUE"""),"")</f>
        <v></v>
      </c>
      <c r="N985" s="2" t="str">
        <f>IFERROR(__xludf.DUMMYFUNCTION("""COMPUTED_VALUE"""),"Credit, Debit , Apple Pay")</f>
        <v>Credit, Debit , Apple Pay</v>
      </c>
      <c r="O985" s="4">
        <f>IFERROR(__xludf.DUMMYFUNCTION("""COMPUTED_VALUE"""),0.0)</f>
        <v>0</v>
      </c>
      <c r="P985" s="2">
        <f>IFERROR(__xludf.DUMMYFUNCTION("""COMPUTED_VALUE"""),24.0)</f>
        <v>24</v>
      </c>
      <c r="Q985" s="2">
        <f>IFERROR(__xludf.DUMMYFUNCTION("""COMPUTED_VALUE"""),8.0)</f>
        <v>8</v>
      </c>
      <c r="R985" s="2">
        <f>IFERROR(__xludf.DUMMYFUNCTION("""COMPUTED_VALUE"""),2025.0)</f>
        <v>2025</v>
      </c>
      <c r="S985" s="2" t="str">
        <f>IFERROR(__xludf.DUMMYFUNCTION("""COMPUTED_VALUE"""),"Digizag")</f>
        <v>Digizag</v>
      </c>
      <c r="T985" s="2" t="str">
        <f>IFERROR(__xludf.DUMMYFUNCTION("""COMPUTED_VALUE"""),"Digizag")</f>
        <v>Digizag</v>
      </c>
      <c r="U985" s="5">
        <f>IFERROR(__xludf.DUMMYFUNCTION("""COMPUTED_VALUE"""),140.23145017)</f>
        <v>140.2314502</v>
      </c>
      <c r="V985" s="2"/>
      <c r="W985" s="2"/>
      <c r="X985" s="2"/>
      <c r="Y985" s="2"/>
      <c r="Z985" s="2"/>
    </row>
    <row r="986">
      <c r="A986" s="6">
        <f>IFERROR(__xludf.DUMMYFUNCTION("""COMPUTED_VALUE"""),45894.78450231481)</f>
        <v>45894.7845</v>
      </c>
      <c r="B986" s="2" t="str">
        <f>IFERROR(__xludf.DUMMYFUNCTION("""COMPUTED_VALUE"""),"August")</f>
        <v>August</v>
      </c>
      <c r="C986" s="3">
        <f>IFERROR(__xludf.DUMMYFUNCTION("""COMPUTED_VALUE"""),768361.0)</f>
        <v>768361</v>
      </c>
      <c r="D986" s="2" t="str">
        <f>IFERROR(__xludf.DUMMYFUNCTION("""COMPUTED_VALUE"""),"ZM22")</f>
        <v>ZM22</v>
      </c>
      <c r="E986" s="2" t="str">
        <f>IFERROR(__xludf.DUMMYFUNCTION("""COMPUTED_VALUE"""),"Imported from file Digizag.xlsx")</f>
        <v>Imported from file Digizag.xlsx</v>
      </c>
      <c r="F986" s="2" t="str">
        <f>IFERROR(__xludf.DUMMYFUNCTION("""COMPUTED_VALUE"""),"GMU936005")</f>
        <v>GMU936005</v>
      </c>
      <c r="G986" s="2" t="str">
        <f>IFERROR(__xludf.DUMMYFUNCTION("""COMPUTED_VALUE"""),"UAE")</f>
        <v>UAE</v>
      </c>
      <c r="H986" s="4">
        <f>IFERROR(__xludf.DUMMYFUNCTION("""COMPUTED_VALUE"""),299.0)</f>
        <v>299</v>
      </c>
      <c r="I986" s="3">
        <f>IFERROR(__xludf.DUMMYFUNCTION("""COMPUTED_VALUE"""),0.0)</f>
        <v>0</v>
      </c>
      <c r="J986" s="4">
        <f>IFERROR(__xludf.DUMMYFUNCTION("""COMPUTED_VALUE"""),29.9)</f>
        <v>29.9</v>
      </c>
      <c r="K986" s="2"/>
      <c r="L986" s="2" t="str">
        <f>IFERROR(__xludf.DUMMYFUNCTION("""COMPUTED_VALUE"""),"Delivered")</f>
        <v>Delivered</v>
      </c>
      <c r="M986" s="2" t="str">
        <f>IFERROR(__xludf.DUMMYFUNCTION("""COMPUTED_VALUE"""),"")</f>
        <v></v>
      </c>
      <c r="N986" s="2" t="str">
        <f>IFERROR(__xludf.DUMMYFUNCTION("""COMPUTED_VALUE"""),"Credit, Debit , Apple Pay")</f>
        <v>Credit, Debit , Apple Pay</v>
      </c>
      <c r="O986" s="4">
        <f>IFERROR(__xludf.DUMMYFUNCTION("""COMPUTED_VALUE"""),0.0)</f>
        <v>0</v>
      </c>
      <c r="P986" s="2">
        <f>IFERROR(__xludf.DUMMYFUNCTION("""COMPUTED_VALUE"""),25.0)</f>
        <v>25</v>
      </c>
      <c r="Q986" s="2">
        <f>IFERROR(__xludf.DUMMYFUNCTION("""COMPUTED_VALUE"""),8.0)</f>
        <v>8</v>
      </c>
      <c r="R986" s="2">
        <f>IFERROR(__xludf.DUMMYFUNCTION("""COMPUTED_VALUE"""),2025.0)</f>
        <v>2025</v>
      </c>
      <c r="S986" s="2" t="str">
        <f>IFERROR(__xludf.DUMMYFUNCTION("""COMPUTED_VALUE"""),"Digizag")</f>
        <v>Digizag</v>
      </c>
      <c r="T986" s="2" t="str">
        <f>IFERROR(__xludf.DUMMYFUNCTION("""COMPUTED_VALUE"""),"Digizag")</f>
        <v>Digizag</v>
      </c>
      <c r="U986" s="5">
        <f>IFERROR(__xludf.DUMMYFUNCTION("""COMPUTED_VALUE"""),81.415929322)</f>
        <v>81.41592932</v>
      </c>
      <c r="V986" s="2"/>
      <c r="W986" s="2"/>
      <c r="X986" s="2"/>
      <c r="Y986" s="2"/>
      <c r="Z986" s="2"/>
    </row>
    <row r="987">
      <c r="A987" s="6">
        <f>IFERROR(__xludf.DUMMYFUNCTION("""COMPUTED_VALUE"""),45895.0903587963)</f>
        <v>45895.09036</v>
      </c>
      <c r="B987" s="2" t="str">
        <f>IFERROR(__xludf.DUMMYFUNCTION("""COMPUTED_VALUE"""),"August")</f>
        <v>August</v>
      </c>
      <c r="C987" s="3">
        <f>IFERROR(__xludf.DUMMYFUNCTION("""COMPUTED_VALUE"""),142913.0)</f>
        <v>142913</v>
      </c>
      <c r="D987" s="2" t="str">
        <f>IFERROR(__xludf.DUMMYFUNCTION("""COMPUTED_VALUE"""),"ZM22")</f>
        <v>ZM22</v>
      </c>
      <c r="E987" s="2" t="str">
        <f>IFERROR(__xludf.DUMMYFUNCTION("""COMPUTED_VALUE"""),"Imported from file Digizag.xlsx")</f>
        <v>Imported from file Digizag.xlsx</v>
      </c>
      <c r="F987" s="2" t="str">
        <f>IFERROR(__xludf.DUMMYFUNCTION("""COMPUTED_VALUE"""),"NZT728684")</f>
        <v>NZT728684</v>
      </c>
      <c r="G987" s="2" t="str">
        <f>IFERROR(__xludf.DUMMYFUNCTION("""COMPUTED_VALUE"""),"UAE")</f>
        <v>UAE</v>
      </c>
      <c r="H987" s="4">
        <f>IFERROR(__xludf.DUMMYFUNCTION("""COMPUTED_VALUE"""),79.0)</f>
        <v>79</v>
      </c>
      <c r="I987" s="3">
        <f>IFERROR(__xludf.DUMMYFUNCTION("""COMPUTED_VALUE"""),0.0)</f>
        <v>0</v>
      </c>
      <c r="J987" s="4">
        <f>IFERROR(__xludf.DUMMYFUNCTION("""COMPUTED_VALUE"""),7.9)</f>
        <v>7.9</v>
      </c>
      <c r="K987" s="2"/>
      <c r="L987" s="2" t="str">
        <f>IFERROR(__xludf.DUMMYFUNCTION("""COMPUTED_VALUE"""),"Delivered")</f>
        <v>Delivered</v>
      </c>
      <c r="M987" s="2" t="str">
        <f>IFERROR(__xludf.DUMMYFUNCTION("""COMPUTED_VALUE"""),"")</f>
        <v></v>
      </c>
      <c r="N987" s="2" t="str">
        <f>IFERROR(__xludf.DUMMYFUNCTION("""COMPUTED_VALUE"""),"Credit, Debit , Apple Pay")</f>
        <v>Credit, Debit , Apple Pay</v>
      </c>
      <c r="O987" s="4">
        <f>IFERROR(__xludf.DUMMYFUNCTION("""COMPUTED_VALUE"""),0.0)</f>
        <v>0</v>
      </c>
      <c r="P987" s="2">
        <f>IFERROR(__xludf.DUMMYFUNCTION("""COMPUTED_VALUE"""),26.0)</f>
        <v>26</v>
      </c>
      <c r="Q987" s="2">
        <f>IFERROR(__xludf.DUMMYFUNCTION("""COMPUTED_VALUE"""),8.0)</f>
        <v>8</v>
      </c>
      <c r="R987" s="2">
        <f>IFERROR(__xludf.DUMMYFUNCTION("""COMPUTED_VALUE"""),2025.0)</f>
        <v>2025</v>
      </c>
      <c r="S987" s="2" t="str">
        <f>IFERROR(__xludf.DUMMYFUNCTION("""COMPUTED_VALUE"""),"Digizag")</f>
        <v>Digizag</v>
      </c>
      <c r="T987" s="2" t="str">
        <f>IFERROR(__xludf.DUMMYFUNCTION("""COMPUTED_VALUE"""),"Digizag")</f>
        <v>Digizag</v>
      </c>
      <c r="U987" s="5">
        <f>IFERROR(__xludf.DUMMYFUNCTION("""COMPUTED_VALUE"""),21.511232162)</f>
        <v>21.51123216</v>
      </c>
      <c r="V987" s="2"/>
      <c r="W987" s="2"/>
      <c r="X987" s="2"/>
      <c r="Y987" s="2"/>
      <c r="Z987" s="2"/>
    </row>
    <row r="988">
      <c r="A988" s="6">
        <f>IFERROR(__xludf.DUMMYFUNCTION("""COMPUTED_VALUE"""),45895.5753125)</f>
        <v>45895.57531</v>
      </c>
      <c r="B988" s="2" t="str">
        <f>IFERROR(__xludf.DUMMYFUNCTION("""COMPUTED_VALUE"""),"August")</f>
        <v>August</v>
      </c>
      <c r="C988" s="3">
        <f>IFERROR(__xludf.DUMMYFUNCTION("""COMPUTED_VALUE"""),14293.0)</f>
        <v>14293</v>
      </c>
      <c r="D988" s="2" t="str">
        <f>IFERROR(__xludf.DUMMYFUNCTION("""COMPUTED_VALUE"""),"ZM22")</f>
        <v>ZM22</v>
      </c>
      <c r="E988" s="2" t="str">
        <f>IFERROR(__xludf.DUMMYFUNCTION("""COMPUTED_VALUE"""),"Imported from file Digizag.xlsx")</f>
        <v>Imported from file Digizag.xlsx</v>
      </c>
      <c r="F988" s="2" t="str">
        <f>IFERROR(__xludf.DUMMYFUNCTION("""COMPUTED_VALUE"""),"ZVY785805")</f>
        <v>ZVY785805</v>
      </c>
      <c r="G988" s="2" t="str">
        <f>IFERROR(__xludf.DUMMYFUNCTION("""COMPUTED_VALUE"""),"UAE")</f>
        <v>UAE</v>
      </c>
      <c r="H988" s="4">
        <f>IFERROR(__xludf.DUMMYFUNCTION("""COMPUTED_VALUE"""),120.0)</f>
        <v>120</v>
      </c>
      <c r="I988" s="3">
        <f>IFERROR(__xludf.DUMMYFUNCTION("""COMPUTED_VALUE"""),0.0)</f>
        <v>0</v>
      </c>
      <c r="J988" s="4">
        <f>IFERROR(__xludf.DUMMYFUNCTION("""COMPUTED_VALUE"""),12.0)</f>
        <v>12</v>
      </c>
      <c r="K988" s="2"/>
      <c r="L988" s="2" t="str">
        <f>IFERROR(__xludf.DUMMYFUNCTION("""COMPUTED_VALUE"""),"Delivered")</f>
        <v>Delivered</v>
      </c>
      <c r="M988" s="2" t="str">
        <f>IFERROR(__xludf.DUMMYFUNCTION("""COMPUTED_VALUE"""),"")</f>
        <v></v>
      </c>
      <c r="N988" s="2" t="str">
        <f>IFERROR(__xludf.DUMMYFUNCTION("""COMPUTED_VALUE"""),"Credit, Debit , Apple Pay")</f>
        <v>Credit, Debit , Apple Pay</v>
      </c>
      <c r="O988" s="4">
        <f>IFERROR(__xludf.DUMMYFUNCTION("""COMPUTED_VALUE"""),0.0)</f>
        <v>0</v>
      </c>
      <c r="P988" s="2">
        <f>IFERROR(__xludf.DUMMYFUNCTION("""COMPUTED_VALUE"""),26.0)</f>
        <v>26</v>
      </c>
      <c r="Q988" s="2">
        <f>IFERROR(__xludf.DUMMYFUNCTION("""COMPUTED_VALUE"""),8.0)</f>
        <v>8</v>
      </c>
      <c r="R988" s="2">
        <f>IFERROR(__xludf.DUMMYFUNCTION("""COMPUTED_VALUE"""),2025.0)</f>
        <v>2025</v>
      </c>
      <c r="S988" s="2" t="str">
        <f>IFERROR(__xludf.DUMMYFUNCTION("""COMPUTED_VALUE"""),"Digizag")</f>
        <v>Digizag</v>
      </c>
      <c r="T988" s="2" t="str">
        <f>IFERROR(__xludf.DUMMYFUNCTION("""COMPUTED_VALUE"""),"Digizag")</f>
        <v>Digizag</v>
      </c>
      <c r="U988" s="5">
        <f>IFERROR(__xludf.DUMMYFUNCTION("""COMPUTED_VALUE"""),32.67528936)</f>
        <v>32.67528936</v>
      </c>
      <c r="V988" s="2"/>
      <c r="W988" s="2"/>
      <c r="X988" s="2"/>
      <c r="Y988" s="2"/>
      <c r="Z988" s="2"/>
    </row>
    <row r="989">
      <c r="A989" s="6">
        <f>IFERROR(__xludf.DUMMYFUNCTION("""COMPUTED_VALUE"""),45896.142175925925)</f>
        <v>45896.14218</v>
      </c>
      <c r="B989" s="2" t="str">
        <f>IFERROR(__xludf.DUMMYFUNCTION("""COMPUTED_VALUE"""),"August")</f>
        <v>August</v>
      </c>
      <c r="C989" s="3">
        <f>IFERROR(__xludf.DUMMYFUNCTION("""COMPUTED_VALUE"""),700121.0)</f>
        <v>700121</v>
      </c>
      <c r="D989" s="2" t="str">
        <f>IFERROR(__xludf.DUMMYFUNCTION("""COMPUTED_VALUE"""),"CC22")</f>
        <v>CC22</v>
      </c>
      <c r="E989" s="2" t="str">
        <f>IFERROR(__xludf.DUMMYFUNCTION("""COMPUTED_VALUE"""),"Imported from file Digizag.xlsx")</f>
        <v>Imported from file Digizag.xlsx</v>
      </c>
      <c r="F989" s="2" t="str">
        <f>IFERROR(__xludf.DUMMYFUNCTION("""COMPUTED_VALUE"""),"UYB604732")</f>
        <v>UYB604732</v>
      </c>
      <c r="G989" s="2" t="str">
        <f>IFERROR(__xludf.DUMMYFUNCTION("""COMPUTED_VALUE"""),"Kingdom of Saudi Arabia")</f>
        <v>Kingdom of Saudi Arabia</v>
      </c>
      <c r="H989" s="4">
        <f>IFERROR(__xludf.DUMMYFUNCTION("""COMPUTED_VALUE"""),82.77)</f>
        <v>82.77</v>
      </c>
      <c r="I989" s="3">
        <f>IFERROR(__xludf.DUMMYFUNCTION("""COMPUTED_VALUE"""),0.0)</f>
        <v>0</v>
      </c>
      <c r="J989" s="4">
        <f>IFERROR(__xludf.DUMMYFUNCTION("""COMPUTED_VALUE"""),20.69)</f>
        <v>20.69</v>
      </c>
      <c r="K989" s="2"/>
      <c r="L989" s="2" t="str">
        <f>IFERROR(__xludf.DUMMYFUNCTION("""COMPUTED_VALUE"""),"Delivered")</f>
        <v>Delivered</v>
      </c>
      <c r="M989" s="2" t="str">
        <f>IFERROR(__xludf.DUMMYFUNCTION("""COMPUTED_VALUE"""),"")</f>
        <v></v>
      </c>
      <c r="N989" s="2" t="str">
        <f>IFERROR(__xludf.DUMMYFUNCTION("""COMPUTED_VALUE"""),"Credit, Debit, Apple Pay")</f>
        <v>Credit, Debit, Apple Pay</v>
      </c>
      <c r="O989" s="4">
        <f>IFERROR(__xludf.DUMMYFUNCTION("""COMPUTED_VALUE"""),0.0)</f>
        <v>0</v>
      </c>
      <c r="P989" s="2">
        <f>IFERROR(__xludf.DUMMYFUNCTION("""COMPUTED_VALUE"""),27.0)</f>
        <v>27</v>
      </c>
      <c r="Q989" s="2">
        <f>IFERROR(__xludf.DUMMYFUNCTION("""COMPUTED_VALUE"""),8.0)</f>
        <v>8</v>
      </c>
      <c r="R989" s="2">
        <f>IFERROR(__xludf.DUMMYFUNCTION("""COMPUTED_VALUE"""),2025.0)</f>
        <v>2025</v>
      </c>
      <c r="S989" s="2" t="str">
        <f>IFERROR(__xludf.DUMMYFUNCTION("""COMPUTED_VALUE"""),"Digizag")</f>
        <v>Digizag</v>
      </c>
      <c r="T989" s="2" t="str">
        <f>IFERROR(__xludf.DUMMYFUNCTION("""COMPUTED_VALUE"""),"Digizag")</f>
        <v>Digizag</v>
      </c>
      <c r="U989" s="5">
        <f>IFERROR(__xludf.DUMMYFUNCTION("""COMPUTED_VALUE"""),22.070293227420002)</f>
        <v>22.07029323</v>
      </c>
      <c r="V989" s="2"/>
      <c r="W989" s="2"/>
      <c r="X989" s="2"/>
      <c r="Y989" s="2"/>
      <c r="Z989" s="2"/>
    </row>
    <row r="990">
      <c r="A990" s="6">
        <f>IFERROR(__xludf.DUMMYFUNCTION("""COMPUTED_VALUE"""),45896.39989583333)</f>
        <v>45896.3999</v>
      </c>
      <c r="B990" s="2" t="str">
        <f>IFERROR(__xludf.DUMMYFUNCTION("""COMPUTED_VALUE"""),"August")</f>
        <v>August</v>
      </c>
      <c r="C990" s="3">
        <f>IFERROR(__xludf.DUMMYFUNCTION("""COMPUTED_VALUE"""),517810.0)</f>
        <v>517810</v>
      </c>
      <c r="D990" s="2" t="str">
        <f>IFERROR(__xludf.DUMMYFUNCTION("""COMPUTED_VALUE"""),"MNN27")</f>
        <v>MNN27</v>
      </c>
      <c r="E990" s="2" t="str">
        <f>IFERROR(__xludf.DUMMYFUNCTION("""COMPUTED_VALUE"""),"Imported from file DigiZag Codes 25Feb25.xlsx")</f>
        <v>Imported from file DigiZag Codes 25Feb25.xlsx</v>
      </c>
      <c r="F990" s="2" t="str">
        <f>IFERROR(__xludf.DUMMYFUNCTION("""COMPUTED_VALUE"""),"XZZ730829")</f>
        <v>XZZ730829</v>
      </c>
      <c r="G990" s="2" t="str">
        <f>IFERROR(__xludf.DUMMYFUNCTION("""COMPUTED_VALUE"""),"Kuwait")</f>
        <v>Kuwait</v>
      </c>
      <c r="H990" s="4">
        <f>IFERROR(__xludf.DUMMYFUNCTION("""COMPUTED_VALUE"""),9.5)</f>
        <v>9.5</v>
      </c>
      <c r="I990" s="3">
        <f>IFERROR(__xludf.DUMMYFUNCTION("""COMPUTED_VALUE"""),0.0)</f>
        <v>0</v>
      </c>
      <c r="J990" s="4">
        <f>IFERROR(__xludf.DUMMYFUNCTION("""COMPUTED_VALUE"""),0.95)</f>
        <v>0.95</v>
      </c>
      <c r="K990" s="2"/>
      <c r="L990" s="2" t="str">
        <f>IFERROR(__xludf.DUMMYFUNCTION("""COMPUTED_VALUE"""),"Delivered")</f>
        <v>Delivered</v>
      </c>
      <c r="M990" s="2" t="str">
        <f>IFERROR(__xludf.DUMMYFUNCTION("""COMPUTED_VALUE"""),"KD")</f>
        <v>KD</v>
      </c>
      <c r="N990" s="2" t="str">
        <f>IFERROR(__xludf.DUMMYFUNCTION("""COMPUTED_VALUE"""),"Credit, Debit, Knet")</f>
        <v>Credit, Debit, Knet</v>
      </c>
      <c r="O990" s="4">
        <f>IFERROR(__xludf.DUMMYFUNCTION("""COMPUTED_VALUE"""),0.0)</f>
        <v>0</v>
      </c>
      <c r="P990" s="2">
        <f>IFERROR(__xludf.DUMMYFUNCTION("""COMPUTED_VALUE"""),27.0)</f>
        <v>27</v>
      </c>
      <c r="Q990" s="2">
        <f>IFERROR(__xludf.DUMMYFUNCTION("""COMPUTED_VALUE"""),8.0)</f>
        <v>8</v>
      </c>
      <c r="R990" s="2">
        <f>IFERROR(__xludf.DUMMYFUNCTION("""COMPUTED_VALUE"""),2025.0)</f>
        <v>2025</v>
      </c>
      <c r="S990" s="2" t="str">
        <f>IFERROR(__xludf.DUMMYFUNCTION("""COMPUTED_VALUE"""),"Digizag")</f>
        <v>Digizag</v>
      </c>
      <c r="T990" s="2" t="str">
        <f>IFERROR(__xludf.DUMMYFUNCTION("""COMPUTED_VALUE"""),"Digizag")</f>
        <v>Digizag</v>
      </c>
      <c r="U990" s="5">
        <f>IFERROR(__xludf.DUMMYFUNCTION("""COMPUTED_VALUE"""),30.97589)</f>
        <v>30.97589</v>
      </c>
      <c r="V990" s="2"/>
      <c r="W990" s="2"/>
      <c r="X990" s="2"/>
      <c r="Y990" s="2"/>
      <c r="Z990" s="2"/>
    </row>
    <row r="991">
      <c r="A991" s="6">
        <f>IFERROR(__xludf.DUMMYFUNCTION("""COMPUTED_VALUE"""),45896.47226851852)</f>
        <v>45896.47227</v>
      </c>
      <c r="B991" s="2" t="str">
        <f>IFERROR(__xludf.DUMMYFUNCTION("""COMPUTED_VALUE"""),"August")</f>
        <v>August</v>
      </c>
      <c r="C991" s="3">
        <f>IFERROR(__xludf.DUMMYFUNCTION("""COMPUTED_VALUE"""),431759.0)</f>
        <v>431759</v>
      </c>
      <c r="D991" s="2" t="str">
        <f>IFERROR(__xludf.DUMMYFUNCTION("""COMPUTED_VALUE"""),"DB7")</f>
        <v>DB7</v>
      </c>
      <c r="E991" s="2" t="str">
        <f>IFERROR(__xludf.DUMMYFUNCTION("""COMPUTED_VALUE"""),"Digizag")</f>
        <v>Digizag</v>
      </c>
      <c r="F991" s="2" t="str">
        <f>IFERROR(__xludf.DUMMYFUNCTION("""COMPUTED_VALUE"""),"EPD828599")</f>
        <v>EPD828599</v>
      </c>
      <c r="G991" s="2" t="str">
        <f>IFERROR(__xludf.DUMMYFUNCTION("""COMPUTED_VALUE"""),"Kingdom of Saudi Arabia")</f>
        <v>Kingdom of Saudi Arabia</v>
      </c>
      <c r="H991" s="4">
        <f>IFERROR(__xludf.DUMMYFUNCTION("""COMPUTED_VALUE"""),216.0)</f>
        <v>216</v>
      </c>
      <c r="I991" s="3">
        <f>IFERROR(__xludf.DUMMYFUNCTION("""COMPUTED_VALUE"""),0.0)</f>
        <v>0</v>
      </c>
      <c r="J991" s="4">
        <f>IFERROR(__xludf.DUMMYFUNCTION("""COMPUTED_VALUE"""),30.0)</f>
        <v>30</v>
      </c>
      <c r="K991" s="2"/>
      <c r="L991" s="2" t="str">
        <f>IFERROR(__xludf.DUMMYFUNCTION("""COMPUTED_VALUE"""),"Delivered")</f>
        <v>Delivered</v>
      </c>
      <c r="M991" s="2" t="str">
        <f>IFERROR(__xludf.DUMMYFUNCTION("""COMPUTED_VALUE"""),"")</f>
        <v></v>
      </c>
      <c r="N991" s="2" t="str">
        <f>IFERROR(__xludf.DUMMYFUNCTION("""COMPUTED_VALUE"""),"Credit, Debit, Apple Pay")</f>
        <v>Credit, Debit, Apple Pay</v>
      </c>
      <c r="O991" s="4">
        <f>IFERROR(__xludf.DUMMYFUNCTION("""COMPUTED_VALUE"""),0.0)</f>
        <v>0</v>
      </c>
      <c r="P991" s="2">
        <f>IFERROR(__xludf.DUMMYFUNCTION("""COMPUTED_VALUE"""),27.0)</f>
        <v>27</v>
      </c>
      <c r="Q991" s="2">
        <f>IFERROR(__xludf.DUMMYFUNCTION("""COMPUTED_VALUE"""),8.0)</f>
        <v>8</v>
      </c>
      <c r="R991" s="2">
        <f>IFERROR(__xludf.DUMMYFUNCTION("""COMPUTED_VALUE"""),2025.0)</f>
        <v>2025</v>
      </c>
      <c r="S991" s="2" t="str">
        <f>IFERROR(__xludf.DUMMYFUNCTION("""COMPUTED_VALUE"""),"Digizag")</f>
        <v>Digizag</v>
      </c>
      <c r="T991" s="2" t="str">
        <f>IFERROR(__xludf.DUMMYFUNCTION("""COMPUTED_VALUE"""),"Digizag")</f>
        <v>Digizag</v>
      </c>
      <c r="U991" s="5">
        <f>IFERROR(__xludf.DUMMYFUNCTION("""COMPUTED_VALUE"""),57.59554593600001)</f>
        <v>57.59554594</v>
      </c>
      <c r="V991" s="2"/>
      <c r="W991" s="2"/>
      <c r="X991" s="2"/>
      <c r="Y991" s="2"/>
      <c r="Z991" s="2"/>
    </row>
    <row r="992">
      <c r="A992" s="6">
        <f>IFERROR(__xludf.DUMMYFUNCTION("""COMPUTED_VALUE"""),45896.5921875)</f>
        <v>45896.59219</v>
      </c>
      <c r="B992" s="2" t="str">
        <f>IFERROR(__xludf.DUMMYFUNCTION("""COMPUTED_VALUE"""),"August")</f>
        <v>August</v>
      </c>
      <c r="C992" s="3">
        <f>IFERROR(__xludf.DUMMYFUNCTION("""COMPUTED_VALUE"""),109176.0)</f>
        <v>109176</v>
      </c>
      <c r="D992" s="2" t="str">
        <f>IFERROR(__xludf.DUMMYFUNCTION("""COMPUTED_VALUE"""),"ZM22")</f>
        <v>ZM22</v>
      </c>
      <c r="E992" s="2" t="str">
        <f>IFERROR(__xludf.DUMMYFUNCTION("""COMPUTED_VALUE"""),"Imported from file Digizag.xlsx")</f>
        <v>Imported from file Digizag.xlsx</v>
      </c>
      <c r="F992" s="2" t="str">
        <f>IFERROR(__xludf.DUMMYFUNCTION("""COMPUTED_VALUE"""),"PTE713010")</f>
        <v>PTE713010</v>
      </c>
      <c r="G992" s="2" t="str">
        <f>IFERROR(__xludf.DUMMYFUNCTION("""COMPUTED_VALUE"""),"Kingdom of Saudi Arabia")</f>
        <v>Kingdom of Saudi Arabia</v>
      </c>
      <c r="H992" s="4">
        <f>IFERROR(__xludf.DUMMYFUNCTION("""COMPUTED_VALUE"""),136.8)</f>
        <v>136.8</v>
      </c>
      <c r="I992" s="3">
        <f>IFERROR(__xludf.DUMMYFUNCTION("""COMPUTED_VALUE"""),0.0)</f>
        <v>0</v>
      </c>
      <c r="J992" s="4">
        <f>IFERROR(__xludf.DUMMYFUNCTION("""COMPUTED_VALUE"""),30.0)</f>
        <v>30</v>
      </c>
      <c r="K992" s="2"/>
      <c r="L992" s="2" t="str">
        <f>IFERROR(__xludf.DUMMYFUNCTION("""COMPUTED_VALUE"""),"Delivered")</f>
        <v>Delivered</v>
      </c>
      <c r="M992" s="2" t="str">
        <f>IFERROR(__xludf.DUMMYFUNCTION("""COMPUTED_VALUE"""),"")</f>
        <v></v>
      </c>
      <c r="N992" s="2" t="str">
        <f>IFERROR(__xludf.DUMMYFUNCTION("""COMPUTED_VALUE"""),"Credit, Debit, Apple Pay")</f>
        <v>Credit, Debit, Apple Pay</v>
      </c>
      <c r="O992" s="4">
        <f>IFERROR(__xludf.DUMMYFUNCTION("""COMPUTED_VALUE"""),0.0)</f>
        <v>0</v>
      </c>
      <c r="P992" s="2">
        <f>IFERROR(__xludf.DUMMYFUNCTION("""COMPUTED_VALUE"""),27.0)</f>
        <v>27</v>
      </c>
      <c r="Q992" s="2">
        <f>IFERROR(__xludf.DUMMYFUNCTION("""COMPUTED_VALUE"""),8.0)</f>
        <v>8</v>
      </c>
      <c r="R992" s="2">
        <f>IFERROR(__xludf.DUMMYFUNCTION("""COMPUTED_VALUE"""),2025.0)</f>
        <v>2025</v>
      </c>
      <c r="S992" s="2" t="str">
        <f>IFERROR(__xludf.DUMMYFUNCTION("""COMPUTED_VALUE"""),"Digizag")</f>
        <v>Digizag</v>
      </c>
      <c r="T992" s="2" t="str">
        <f>IFERROR(__xludf.DUMMYFUNCTION("""COMPUTED_VALUE"""),"Digizag")</f>
        <v>Digizag</v>
      </c>
      <c r="U992" s="5">
        <f>IFERROR(__xludf.DUMMYFUNCTION("""COMPUTED_VALUE"""),36.47717909280001)</f>
        <v>36.47717909</v>
      </c>
      <c r="V992" s="2"/>
      <c r="W992" s="2"/>
      <c r="X992" s="2"/>
      <c r="Y992" s="2"/>
      <c r="Z992" s="2"/>
    </row>
    <row r="993">
      <c r="A993" s="6">
        <f>IFERROR(__xludf.DUMMYFUNCTION("""COMPUTED_VALUE"""),45896.59690972222)</f>
        <v>45896.59691</v>
      </c>
      <c r="B993" s="2" t="str">
        <f>IFERROR(__xludf.DUMMYFUNCTION("""COMPUTED_VALUE"""),"August")</f>
        <v>August</v>
      </c>
      <c r="C993" s="3">
        <f>IFERROR(__xludf.DUMMYFUNCTION("""COMPUTED_VALUE"""),248397.0)</f>
        <v>248397</v>
      </c>
      <c r="D993" s="2" t="str">
        <f>IFERROR(__xludf.DUMMYFUNCTION("""COMPUTED_VALUE"""),"DB6")</f>
        <v>DB6</v>
      </c>
      <c r="E993" s="2" t="str">
        <f>IFERROR(__xludf.DUMMYFUNCTION("""COMPUTED_VALUE"""),"Digizag")</f>
        <v>Digizag</v>
      </c>
      <c r="F993" s="2" t="str">
        <f>IFERROR(__xludf.DUMMYFUNCTION("""COMPUTED_VALUE"""),"XTA993032")</f>
        <v>XTA993032</v>
      </c>
      <c r="G993" s="2" t="str">
        <f>IFERROR(__xludf.DUMMYFUNCTION("""COMPUTED_VALUE"""),"Kingdom of Saudi Arabia")</f>
        <v>Kingdom of Saudi Arabia</v>
      </c>
      <c r="H993" s="4">
        <f>IFERROR(__xludf.DUMMYFUNCTION("""COMPUTED_VALUE"""),185.52)</f>
        <v>185.52</v>
      </c>
      <c r="I993" s="3">
        <f>IFERROR(__xludf.DUMMYFUNCTION("""COMPUTED_VALUE"""),0.0)</f>
        <v>0</v>
      </c>
      <c r="J993" s="4">
        <f>IFERROR(__xludf.DUMMYFUNCTION("""COMPUTED_VALUE"""),30.0)</f>
        <v>30</v>
      </c>
      <c r="K993" s="2"/>
      <c r="L993" s="2" t="str">
        <f>IFERROR(__xludf.DUMMYFUNCTION("""COMPUTED_VALUE"""),"Delivered")</f>
        <v>Delivered</v>
      </c>
      <c r="M993" s="2" t="str">
        <f>IFERROR(__xludf.DUMMYFUNCTION("""COMPUTED_VALUE"""),"")</f>
        <v></v>
      </c>
      <c r="N993" s="2" t="str">
        <f>IFERROR(__xludf.DUMMYFUNCTION("""COMPUTED_VALUE"""),"Credit, Debit, Apple Pay")</f>
        <v>Credit, Debit, Apple Pay</v>
      </c>
      <c r="O993" s="4">
        <f>IFERROR(__xludf.DUMMYFUNCTION("""COMPUTED_VALUE"""),0.0)</f>
        <v>0</v>
      </c>
      <c r="P993" s="2">
        <f>IFERROR(__xludf.DUMMYFUNCTION("""COMPUTED_VALUE"""),27.0)</f>
        <v>27</v>
      </c>
      <c r="Q993" s="2">
        <f>IFERROR(__xludf.DUMMYFUNCTION("""COMPUTED_VALUE"""),8.0)</f>
        <v>8</v>
      </c>
      <c r="R993" s="2">
        <f>IFERROR(__xludf.DUMMYFUNCTION("""COMPUTED_VALUE"""),2025.0)</f>
        <v>2025</v>
      </c>
      <c r="S993" s="2" t="str">
        <f>IFERROR(__xludf.DUMMYFUNCTION("""COMPUTED_VALUE"""),"Digizag")</f>
        <v>Digizag</v>
      </c>
      <c r="T993" s="2" t="str">
        <f>IFERROR(__xludf.DUMMYFUNCTION("""COMPUTED_VALUE"""),"Digizag")</f>
        <v>Digizag</v>
      </c>
      <c r="U993" s="5">
        <f>IFERROR(__xludf.DUMMYFUNCTION("""COMPUTED_VALUE"""),49.46817445392001)</f>
        <v>49.46817445</v>
      </c>
      <c r="V993" s="2"/>
      <c r="W993" s="2"/>
      <c r="X993" s="2"/>
      <c r="Y993" s="2"/>
      <c r="Z993" s="2"/>
    </row>
    <row r="994">
      <c r="A994" s="6">
        <f>IFERROR(__xludf.DUMMYFUNCTION("""COMPUTED_VALUE"""),45896.64980324074)</f>
        <v>45896.6498</v>
      </c>
      <c r="B994" s="2" t="str">
        <f>IFERROR(__xludf.DUMMYFUNCTION("""COMPUTED_VALUE"""),"August")</f>
        <v>August</v>
      </c>
      <c r="C994" s="3">
        <f>IFERROR(__xludf.DUMMYFUNCTION("""COMPUTED_VALUE"""),791722.0)</f>
        <v>791722</v>
      </c>
      <c r="D994" s="2" t="str">
        <f>IFERROR(__xludf.DUMMYFUNCTION("""COMPUTED_VALUE"""),"CC22")</f>
        <v>CC22</v>
      </c>
      <c r="E994" s="2" t="str">
        <f>IFERROR(__xludf.DUMMYFUNCTION("""COMPUTED_VALUE"""),"Imported from file Digizag.xlsx")</f>
        <v>Imported from file Digizag.xlsx</v>
      </c>
      <c r="F994" s="2" t="str">
        <f>IFERROR(__xludf.DUMMYFUNCTION("""COMPUTED_VALUE"""),"YAA576617")</f>
        <v>YAA576617</v>
      </c>
      <c r="G994" s="2" t="str">
        <f>IFERROR(__xludf.DUMMYFUNCTION("""COMPUTED_VALUE"""),"UAE")</f>
        <v>UAE</v>
      </c>
      <c r="H994" s="4">
        <f>IFERROR(__xludf.DUMMYFUNCTION("""COMPUTED_VALUE"""),199.0)</f>
        <v>199</v>
      </c>
      <c r="I994" s="3">
        <f>IFERROR(__xludf.DUMMYFUNCTION("""COMPUTED_VALUE"""),0.0)</f>
        <v>0</v>
      </c>
      <c r="J994" s="4">
        <f>IFERROR(__xludf.DUMMYFUNCTION("""COMPUTED_VALUE"""),19.9)</f>
        <v>19.9</v>
      </c>
      <c r="K994" s="2"/>
      <c r="L994" s="2" t="str">
        <f>IFERROR(__xludf.DUMMYFUNCTION("""COMPUTED_VALUE"""),"Delivered")</f>
        <v>Delivered</v>
      </c>
      <c r="M994" s="2" t="str">
        <f>IFERROR(__xludf.DUMMYFUNCTION("""COMPUTED_VALUE"""),"")</f>
        <v></v>
      </c>
      <c r="N994" s="2" t="str">
        <f>IFERROR(__xludf.DUMMYFUNCTION("""COMPUTED_VALUE"""),"Credit, Debit , Apple Pay")</f>
        <v>Credit, Debit , Apple Pay</v>
      </c>
      <c r="O994" s="4">
        <f>IFERROR(__xludf.DUMMYFUNCTION("""COMPUTED_VALUE"""),0.0)</f>
        <v>0</v>
      </c>
      <c r="P994" s="2">
        <f>IFERROR(__xludf.DUMMYFUNCTION("""COMPUTED_VALUE"""),27.0)</f>
        <v>27</v>
      </c>
      <c r="Q994" s="2">
        <f>IFERROR(__xludf.DUMMYFUNCTION("""COMPUTED_VALUE"""),8.0)</f>
        <v>8</v>
      </c>
      <c r="R994" s="2">
        <f>IFERROR(__xludf.DUMMYFUNCTION("""COMPUTED_VALUE"""),2025.0)</f>
        <v>2025</v>
      </c>
      <c r="S994" s="2" t="str">
        <f>IFERROR(__xludf.DUMMYFUNCTION("""COMPUTED_VALUE"""),"Digizag")</f>
        <v>Digizag</v>
      </c>
      <c r="T994" s="2" t="str">
        <f>IFERROR(__xludf.DUMMYFUNCTION("""COMPUTED_VALUE"""),"Digizag")</f>
        <v>Digizag</v>
      </c>
      <c r="U994" s="5">
        <f>IFERROR(__xludf.DUMMYFUNCTION("""COMPUTED_VALUE"""),54.186521522)</f>
        <v>54.18652152</v>
      </c>
      <c r="V994" s="2"/>
      <c r="W994" s="2"/>
      <c r="X994" s="2"/>
      <c r="Y994" s="2"/>
      <c r="Z994" s="2"/>
    </row>
    <row r="995">
      <c r="A995" s="6">
        <f>IFERROR(__xludf.DUMMYFUNCTION("""COMPUTED_VALUE"""),45897.129479166666)</f>
        <v>45897.12948</v>
      </c>
      <c r="B995" s="2" t="str">
        <f>IFERROR(__xludf.DUMMYFUNCTION("""COMPUTED_VALUE"""),"August")</f>
        <v>August</v>
      </c>
      <c r="C995" s="3">
        <f>IFERROR(__xludf.DUMMYFUNCTION("""COMPUTED_VALUE"""),700121.0)</f>
        <v>700121</v>
      </c>
      <c r="D995" s="2" t="str">
        <f>IFERROR(__xludf.DUMMYFUNCTION("""COMPUTED_VALUE"""),"JM")</f>
        <v>JM</v>
      </c>
      <c r="E995" s="2" t="str">
        <f>IFERROR(__xludf.DUMMYFUNCTION("""COMPUTED_VALUE"""),"DigiZag")</f>
        <v>DigiZag</v>
      </c>
      <c r="F995" s="2" t="str">
        <f>IFERROR(__xludf.DUMMYFUNCTION("""COMPUTED_VALUE"""),"QKX257171")</f>
        <v>QKX257171</v>
      </c>
      <c r="G995" s="2" t="str">
        <f>IFERROR(__xludf.DUMMYFUNCTION("""COMPUTED_VALUE"""),"Kingdom of Saudi Arabia")</f>
        <v>Kingdom of Saudi Arabia</v>
      </c>
      <c r="H995" s="4">
        <f>IFERROR(__xludf.DUMMYFUNCTION("""COMPUTED_VALUE"""),131.03)</f>
        <v>131.03</v>
      </c>
      <c r="I995" s="3">
        <f>IFERROR(__xludf.DUMMYFUNCTION("""COMPUTED_VALUE"""),0.0)</f>
        <v>0</v>
      </c>
      <c r="J995" s="4">
        <f>IFERROR(__xludf.DUMMYFUNCTION("""COMPUTED_VALUE"""),30.0)</f>
        <v>30</v>
      </c>
      <c r="K995" s="2"/>
      <c r="L995" s="2" t="str">
        <f>IFERROR(__xludf.DUMMYFUNCTION("""COMPUTED_VALUE"""),"Delivered")</f>
        <v>Delivered</v>
      </c>
      <c r="M995" s="2" t="str">
        <f>IFERROR(__xludf.DUMMYFUNCTION("""COMPUTED_VALUE"""),"")</f>
        <v></v>
      </c>
      <c r="N995" s="2" t="str">
        <f>IFERROR(__xludf.DUMMYFUNCTION("""COMPUTED_VALUE"""),"Credit, Debit, Apple Pay")</f>
        <v>Credit, Debit, Apple Pay</v>
      </c>
      <c r="O995" s="4">
        <f>IFERROR(__xludf.DUMMYFUNCTION("""COMPUTED_VALUE"""),0.0)</f>
        <v>0</v>
      </c>
      <c r="P995" s="2">
        <f>IFERROR(__xludf.DUMMYFUNCTION("""COMPUTED_VALUE"""),28.0)</f>
        <v>28</v>
      </c>
      <c r="Q995" s="2">
        <f>IFERROR(__xludf.DUMMYFUNCTION("""COMPUTED_VALUE"""),8.0)</f>
        <v>8</v>
      </c>
      <c r="R995" s="2">
        <f>IFERROR(__xludf.DUMMYFUNCTION("""COMPUTED_VALUE"""),2025.0)</f>
        <v>2025</v>
      </c>
      <c r="S995" s="2" t="str">
        <f>IFERROR(__xludf.DUMMYFUNCTION("""COMPUTED_VALUE"""),"Digizag")</f>
        <v>Digizag</v>
      </c>
      <c r="T995" s="2" t="str">
        <f>IFERROR(__xludf.DUMMYFUNCTION("""COMPUTED_VALUE"""),"Digizag")</f>
        <v>Digizag</v>
      </c>
      <c r="U995" s="5">
        <f>IFERROR(__xludf.DUMMYFUNCTION("""COMPUTED_VALUE"""),34.93863140738)</f>
        <v>34.93863141</v>
      </c>
      <c r="V995" s="2"/>
      <c r="W995" s="2"/>
      <c r="X995" s="2"/>
      <c r="Y995" s="2"/>
      <c r="Z995" s="2"/>
    </row>
    <row r="996">
      <c r="A996" s="6">
        <f>IFERROR(__xludf.DUMMYFUNCTION("""COMPUTED_VALUE"""),45897.29567129629)</f>
        <v>45897.29567</v>
      </c>
      <c r="B996" s="2" t="str">
        <f>IFERROR(__xludf.DUMMYFUNCTION("""COMPUTED_VALUE"""),"August")</f>
        <v>August</v>
      </c>
      <c r="C996" s="3">
        <f>IFERROR(__xludf.DUMMYFUNCTION("""COMPUTED_VALUE"""),161481.0)</f>
        <v>161481</v>
      </c>
      <c r="D996" s="2" t="str">
        <f>IFERROR(__xludf.DUMMYFUNCTION("""COMPUTED_VALUE"""),"MNN16")</f>
        <v>MNN16</v>
      </c>
      <c r="E996" s="2" t="str">
        <f>IFERROR(__xludf.DUMMYFUNCTION("""COMPUTED_VALUE"""),"Imported from file DigiZag Bidding Codes.xlsx")</f>
        <v>Imported from file DigiZag Bidding Codes.xlsx</v>
      </c>
      <c r="F996" s="2" t="str">
        <f>IFERROR(__xludf.DUMMYFUNCTION("""COMPUTED_VALUE"""),"XDM506282")</f>
        <v>XDM506282</v>
      </c>
      <c r="G996" s="2" t="str">
        <f>IFERROR(__xludf.DUMMYFUNCTION("""COMPUTED_VALUE"""),"Kingdom of Saudi Arabia")</f>
        <v>Kingdom of Saudi Arabia</v>
      </c>
      <c r="H996" s="4">
        <f>IFERROR(__xludf.DUMMYFUNCTION("""COMPUTED_VALUE"""),81.3)</f>
        <v>81.3</v>
      </c>
      <c r="I996" s="3">
        <f>IFERROR(__xludf.DUMMYFUNCTION("""COMPUTED_VALUE"""),0.0)</f>
        <v>0</v>
      </c>
      <c r="J996" s="4">
        <f>IFERROR(__xludf.DUMMYFUNCTION("""COMPUTED_VALUE"""),20.32)</f>
        <v>20.32</v>
      </c>
      <c r="K996" s="2"/>
      <c r="L996" s="2" t="str">
        <f>IFERROR(__xludf.DUMMYFUNCTION("""COMPUTED_VALUE"""),"Delivered")</f>
        <v>Delivered</v>
      </c>
      <c r="M996" s="2" t="str">
        <f>IFERROR(__xludf.DUMMYFUNCTION("""COMPUTED_VALUE"""),"")</f>
        <v></v>
      </c>
      <c r="N996" s="2" t="str">
        <f>IFERROR(__xludf.DUMMYFUNCTION("""COMPUTED_VALUE"""),"Credit, Debit, Apple Pay")</f>
        <v>Credit, Debit, Apple Pay</v>
      </c>
      <c r="O996" s="4">
        <f>IFERROR(__xludf.DUMMYFUNCTION("""COMPUTED_VALUE"""),0.0)</f>
        <v>0</v>
      </c>
      <c r="P996" s="2">
        <f>IFERROR(__xludf.DUMMYFUNCTION("""COMPUTED_VALUE"""),28.0)</f>
        <v>28</v>
      </c>
      <c r="Q996" s="2">
        <f>IFERROR(__xludf.DUMMYFUNCTION("""COMPUTED_VALUE"""),8.0)</f>
        <v>8</v>
      </c>
      <c r="R996" s="2">
        <f>IFERROR(__xludf.DUMMYFUNCTION("""COMPUTED_VALUE"""),2025.0)</f>
        <v>2025</v>
      </c>
      <c r="S996" s="2" t="str">
        <f>IFERROR(__xludf.DUMMYFUNCTION("""COMPUTED_VALUE"""),"Digizag")</f>
        <v>Digizag</v>
      </c>
      <c r="T996" s="2" t="str">
        <f>IFERROR(__xludf.DUMMYFUNCTION("""COMPUTED_VALUE"""),"Digizag")</f>
        <v>Digizag</v>
      </c>
      <c r="U996" s="5">
        <f>IFERROR(__xludf.DUMMYFUNCTION("""COMPUTED_VALUE"""),21.6783235398)</f>
        <v>21.67832354</v>
      </c>
      <c r="V996" s="2"/>
      <c r="W996" s="2"/>
      <c r="X996" s="2"/>
      <c r="Y996" s="2"/>
      <c r="Z996" s="2"/>
    </row>
    <row r="997">
      <c r="A997" s="6">
        <f>IFERROR(__xludf.DUMMYFUNCTION("""COMPUTED_VALUE"""),45897.59993055555)</f>
        <v>45897.59993</v>
      </c>
      <c r="B997" s="2" t="str">
        <f>IFERROR(__xludf.DUMMYFUNCTION("""COMPUTED_VALUE"""),"August")</f>
        <v>August</v>
      </c>
      <c r="C997" s="3">
        <f>IFERROR(__xludf.DUMMYFUNCTION("""COMPUTED_VALUE"""),90500.0)</f>
        <v>90500</v>
      </c>
      <c r="D997" s="2" t="str">
        <f>IFERROR(__xludf.DUMMYFUNCTION("""COMPUTED_VALUE"""),"DB7")</f>
        <v>DB7</v>
      </c>
      <c r="E997" s="2" t="str">
        <f>IFERROR(__xludf.DUMMYFUNCTION("""COMPUTED_VALUE"""),"Digizag")</f>
        <v>Digizag</v>
      </c>
      <c r="F997" s="2" t="str">
        <f>IFERROR(__xludf.DUMMYFUNCTION("""COMPUTED_VALUE"""),"VNH708930")</f>
        <v>VNH708930</v>
      </c>
      <c r="G997" s="2" t="str">
        <f>IFERROR(__xludf.DUMMYFUNCTION("""COMPUTED_VALUE"""),"UAE")</f>
        <v>UAE</v>
      </c>
      <c r="H997" s="4">
        <f>IFERROR(__xludf.DUMMYFUNCTION("""COMPUTED_VALUE"""),719.0)</f>
        <v>719</v>
      </c>
      <c r="I997" s="3">
        <f>IFERROR(__xludf.DUMMYFUNCTION("""COMPUTED_VALUE"""),0.0)</f>
        <v>0</v>
      </c>
      <c r="J997" s="4">
        <f>IFERROR(__xludf.DUMMYFUNCTION("""COMPUTED_VALUE"""),71.9)</f>
        <v>71.9</v>
      </c>
      <c r="K997" s="2"/>
      <c r="L997" s="2" t="str">
        <f>IFERROR(__xludf.DUMMYFUNCTION("""COMPUTED_VALUE"""),"Delivered")</f>
        <v>Delivered</v>
      </c>
      <c r="M997" s="2" t="str">
        <f>IFERROR(__xludf.DUMMYFUNCTION("""COMPUTED_VALUE"""),"")</f>
        <v></v>
      </c>
      <c r="N997" s="2" t="str">
        <f>IFERROR(__xludf.DUMMYFUNCTION("""COMPUTED_VALUE"""),"Credit, Debit , Apple Pay")</f>
        <v>Credit, Debit , Apple Pay</v>
      </c>
      <c r="O997" s="4">
        <f>IFERROR(__xludf.DUMMYFUNCTION("""COMPUTED_VALUE"""),0.0)</f>
        <v>0</v>
      </c>
      <c r="P997" s="2">
        <f>IFERROR(__xludf.DUMMYFUNCTION("""COMPUTED_VALUE"""),28.0)</f>
        <v>28</v>
      </c>
      <c r="Q997" s="2">
        <f>IFERROR(__xludf.DUMMYFUNCTION("""COMPUTED_VALUE"""),8.0)</f>
        <v>8</v>
      </c>
      <c r="R997" s="2">
        <f>IFERROR(__xludf.DUMMYFUNCTION("""COMPUTED_VALUE"""),2025.0)</f>
        <v>2025</v>
      </c>
      <c r="S997" s="2" t="str">
        <f>IFERROR(__xludf.DUMMYFUNCTION("""COMPUTED_VALUE"""),"Digizag")</f>
        <v>Digizag</v>
      </c>
      <c r="T997" s="2" t="str">
        <f>IFERROR(__xludf.DUMMYFUNCTION("""COMPUTED_VALUE"""),"Digizag")</f>
        <v>Digizag</v>
      </c>
      <c r="U997" s="5">
        <f>IFERROR(__xludf.DUMMYFUNCTION("""COMPUTED_VALUE"""),195.779442082)</f>
        <v>195.7794421</v>
      </c>
      <c r="V997" s="2"/>
      <c r="W997" s="2"/>
      <c r="X997" s="2"/>
      <c r="Y997" s="2"/>
      <c r="Z997" s="2"/>
    </row>
    <row r="998">
      <c r="A998" s="6">
        <f>IFERROR(__xludf.DUMMYFUNCTION("""COMPUTED_VALUE"""),45897.63450231481)</f>
        <v>45897.6345</v>
      </c>
      <c r="B998" s="2" t="str">
        <f>IFERROR(__xludf.DUMMYFUNCTION("""COMPUTED_VALUE"""),"August")</f>
        <v>August</v>
      </c>
      <c r="C998" s="3">
        <f>IFERROR(__xludf.DUMMYFUNCTION("""COMPUTED_VALUE"""),410394.0)</f>
        <v>410394</v>
      </c>
      <c r="D998" s="2" t="str">
        <f>IFERROR(__xludf.DUMMYFUNCTION("""COMPUTED_VALUE"""),"MNN27")</f>
        <v>MNN27</v>
      </c>
      <c r="E998" s="2" t="str">
        <f>IFERROR(__xludf.DUMMYFUNCTION("""COMPUTED_VALUE"""),"Imported from file DigiZag Bidding Codes.xlsx")</f>
        <v>Imported from file DigiZag Bidding Codes.xlsx</v>
      </c>
      <c r="F998" s="2" t="str">
        <f>IFERROR(__xludf.DUMMYFUNCTION("""COMPUTED_VALUE"""),"BLP776634")</f>
        <v>BLP776634</v>
      </c>
      <c r="G998" s="2" t="str">
        <f>IFERROR(__xludf.DUMMYFUNCTION("""COMPUTED_VALUE"""),"Kingdom of Saudi Arabia")</f>
        <v>Kingdom of Saudi Arabia</v>
      </c>
      <c r="H998" s="4">
        <f>IFERROR(__xludf.DUMMYFUNCTION("""COMPUTED_VALUE"""),42.0)</f>
        <v>42</v>
      </c>
      <c r="I998" s="3">
        <f>IFERROR(__xludf.DUMMYFUNCTION("""COMPUTED_VALUE"""),0.0)</f>
        <v>0</v>
      </c>
      <c r="J998" s="4">
        <f>IFERROR(__xludf.DUMMYFUNCTION("""COMPUTED_VALUE"""),10.5)</f>
        <v>10.5</v>
      </c>
      <c r="K998" s="2"/>
      <c r="L998" s="2" t="str">
        <f>IFERROR(__xludf.DUMMYFUNCTION("""COMPUTED_VALUE"""),"Delivered")</f>
        <v>Delivered</v>
      </c>
      <c r="M998" s="2" t="str">
        <f>IFERROR(__xludf.DUMMYFUNCTION("""COMPUTED_VALUE"""),"")</f>
        <v></v>
      </c>
      <c r="N998" s="2" t="str">
        <f>IFERROR(__xludf.DUMMYFUNCTION("""COMPUTED_VALUE"""),"Pay in 4. No interest, no fees")</f>
        <v>Pay in 4. No interest, no fees</v>
      </c>
      <c r="O998" s="4">
        <f>IFERROR(__xludf.DUMMYFUNCTION("""COMPUTED_VALUE"""),0.0)</f>
        <v>0</v>
      </c>
      <c r="P998" s="2">
        <f>IFERROR(__xludf.DUMMYFUNCTION("""COMPUTED_VALUE"""),28.0)</f>
        <v>28</v>
      </c>
      <c r="Q998" s="2">
        <f>IFERROR(__xludf.DUMMYFUNCTION("""COMPUTED_VALUE"""),8.0)</f>
        <v>8</v>
      </c>
      <c r="R998" s="2">
        <f>IFERROR(__xludf.DUMMYFUNCTION("""COMPUTED_VALUE"""),2025.0)</f>
        <v>2025</v>
      </c>
      <c r="S998" s="2" t="str">
        <f>IFERROR(__xludf.DUMMYFUNCTION("""COMPUTED_VALUE"""),"Digizag")</f>
        <v>Digizag</v>
      </c>
      <c r="T998" s="2" t="str">
        <f>IFERROR(__xludf.DUMMYFUNCTION("""COMPUTED_VALUE"""),"Digizag")</f>
        <v>Digizag</v>
      </c>
      <c r="U998" s="5">
        <f>IFERROR(__xludf.DUMMYFUNCTION("""COMPUTED_VALUE"""),11.199133932)</f>
        <v>11.19913393</v>
      </c>
      <c r="V998" s="2"/>
      <c r="W998" s="2"/>
      <c r="X998" s="2"/>
      <c r="Y998" s="2"/>
      <c r="Z998" s="2"/>
    </row>
    <row r="999">
      <c r="A999" s="6">
        <f>IFERROR(__xludf.DUMMYFUNCTION("""COMPUTED_VALUE"""),45897.696493055555)</f>
        <v>45897.69649</v>
      </c>
      <c r="B999" s="2" t="str">
        <f>IFERROR(__xludf.DUMMYFUNCTION("""COMPUTED_VALUE"""),"August")</f>
        <v>August</v>
      </c>
      <c r="C999" s="3">
        <f>IFERROR(__xludf.DUMMYFUNCTION("""COMPUTED_VALUE"""),138484.0)</f>
        <v>138484</v>
      </c>
      <c r="D999" s="2" t="str">
        <f>IFERROR(__xludf.DUMMYFUNCTION("""COMPUTED_VALUE"""),"ZM22")</f>
        <v>ZM22</v>
      </c>
      <c r="E999" s="2" t="str">
        <f>IFERROR(__xludf.DUMMYFUNCTION("""COMPUTED_VALUE"""),"Imported from file Digizag.xlsx")</f>
        <v>Imported from file Digizag.xlsx</v>
      </c>
      <c r="F999" s="2" t="str">
        <f>IFERROR(__xludf.DUMMYFUNCTION("""COMPUTED_VALUE"""),"SKW325879")</f>
        <v>SKW325879</v>
      </c>
      <c r="G999" s="2" t="str">
        <f>IFERROR(__xludf.DUMMYFUNCTION("""COMPUTED_VALUE"""),"UAE")</f>
        <v>UAE</v>
      </c>
      <c r="H999" s="4">
        <f>IFERROR(__xludf.DUMMYFUNCTION("""COMPUTED_VALUE"""),156.6)</f>
        <v>156.6</v>
      </c>
      <c r="I999" s="3">
        <f>IFERROR(__xludf.DUMMYFUNCTION("""COMPUTED_VALUE"""),0.0)</f>
        <v>0</v>
      </c>
      <c r="J999" s="4">
        <f>IFERROR(__xludf.DUMMYFUNCTION("""COMPUTED_VALUE"""),15.66)</f>
        <v>15.66</v>
      </c>
      <c r="K999" s="2"/>
      <c r="L999" s="2" t="str">
        <f>IFERROR(__xludf.DUMMYFUNCTION("""COMPUTED_VALUE"""),"Delivered")</f>
        <v>Delivered</v>
      </c>
      <c r="M999" s="2" t="str">
        <f>IFERROR(__xludf.DUMMYFUNCTION("""COMPUTED_VALUE"""),"")</f>
        <v></v>
      </c>
      <c r="N999" s="2" t="str">
        <f>IFERROR(__xludf.DUMMYFUNCTION("""COMPUTED_VALUE"""),"Credit, Debit , Apple Pay")</f>
        <v>Credit, Debit , Apple Pay</v>
      </c>
      <c r="O999" s="4">
        <f>IFERROR(__xludf.DUMMYFUNCTION("""COMPUTED_VALUE"""),0.0)</f>
        <v>0</v>
      </c>
      <c r="P999" s="2">
        <f>IFERROR(__xludf.DUMMYFUNCTION("""COMPUTED_VALUE"""),28.0)</f>
        <v>28</v>
      </c>
      <c r="Q999" s="2">
        <f>IFERROR(__xludf.DUMMYFUNCTION("""COMPUTED_VALUE"""),8.0)</f>
        <v>8</v>
      </c>
      <c r="R999" s="2">
        <f>IFERROR(__xludf.DUMMYFUNCTION("""COMPUTED_VALUE"""),2025.0)</f>
        <v>2025</v>
      </c>
      <c r="S999" s="2" t="str">
        <f>IFERROR(__xludf.DUMMYFUNCTION("""COMPUTED_VALUE"""),"Digizag")</f>
        <v>Digizag</v>
      </c>
      <c r="T999" s="2" t="str">
        <f>IFERROR(__xludf.DUMMYFUNCTION("""COMPUTED_VALUE"""),"Digizag")</f>
        <v>Digizag</v>
      </c>
      <c r="U999" s="5">
        <f>IFERROR(__xludf.DUMMYFUNCTION("""COMPUTED_VALUE"""),42.641252614799996)</f>
        <v>42.64125261</v>
      </c>
      <c r="V999" s="2"/>
      <c r="W999" s="2"/>
      <c r="X999" s="2"/>
      <c r="Y999" s="2"/>
      <c r="Z999" s="2"/>
    </row>
    <row r="1000">
      <c r="A1000" s="6">
        <f>IFERROR(__xludf.DUMMYFUNCTION("""COMPUTED_VALUE"""),45897.72027777778)</f>
        <v>45897.72028</v>
      </c>
      <c r="B1000" s="2" t="str">
        <f>IFERROR(__xludf.DUMMYFUNCTION("""COMPUTED_VALUE"""),"August")</f>
        <v>August</v>
      </c>
      <c r="C1000" s="3">
        <f>IFERROR(__xludf.DUMMYFUNCTION("""COMPUTED_VALUE"""),430923.0)</f>
        <v>430923</v>
      </c>
      <c r="D1000" s="2" t="str">
        <f>IFERROR(__xludf.DUMMYFUNCTION("""COMPUTED_VALUE"""),"ZM22")</f>
        <v>ZM22</v>
      </c>
      <c r="E1000" s="2" t="str">
        <f>IFERROR(__xludf.DUMMYFUNCTION("""COMPUTED_VALUE"""),"Imported from file Digizag.xlsx")</f>
        <v>Imported from file Digizag.xlsx</v>
      </c>
      <c r="F1000" s="2" t="str">
        <f>IFERROR(__xludf.DUMMYFUNCTION("""COMPUTED_VALUE"""),"KWP296659")</f>
        <v>KWP296659</v>
      </c>
      <c r="G1000" s="2" t="str">
        <f>IFERROR(__xludf.DUMMYFUNCTION("""COMPUTED_VALUE"""),"Kingdom of Saudi Arabia")</f>
        <v>Kingdom of Saudi Arabia</v>
      </c>
      <c r="H1000" s="4">
        <f>IFERROR(__xludf.DUMMYFUNCTION("""COMPUTED_VALUE"""),151.58)</f>
        <v>151.58</v>
      </c>
      <c r="I1000" s="3">
        <f>IFERROR(__xludf.DUMMYFUNCTION("""COMPUTED_VALUE"""),0.0)</f>
        <v>0</v>
      </c>
      <c r="J1000" s="4">
        <f>IFERROR(__xludf.DUMMYFUNCTION("""COMPUTED_VALUE"""),30.0)</f>
        <v>30</v>
      </c>
      <c r="K1000" s="2"/>
      <c r="L1000" s="2" t="str">
        <f>IFERROR(__xludf.DUMMYFUNCTION("""COMPUTED_VALUE"""),"Delivered")</f>
        <v>Delivered</v>
      </c>
      <c r="M1000" s="2" t="str">
        <f>IFERROR(__xludf.DUMMYFUNCTION("""COMPUTED_VALUE"""),"")</f>
        <v></v>
      </c>
      <c r="N1000" s="2" t="str">
        <f>IFERROR(__xludf.DUMMYFUNCTION("""COMPUTED_VALUE"""),"Credit, Debit, Apple Pay")</f>
        <v>Credit, Debit, Apple Pay</v>
      </c>
      <c r="O1000" s="4">
        <f>IFERROR(__xludf.DUMMYFUNCTION("""COMPUTED_VALUE"""),0.0)</f>
        <v>0</v>
      </c>
      <c r="P1000" s="2">
        <f>IFERROR(__xludf.DUMMYFUNCTION("""COMPUTED_VALUE"""),28.0)</f>
        <v>28</v>
      </c>
      <c r="Q1000" s="2">
        <f>IFERROR(__xludf.DUMMYFUNCTION("""COMPUTED_VALUE"""),8.0)</f>
        <v>8</v>
      </c>
      <c r="R1000" s="2">
        <f>IFERROR(__xludf.DUMMYFUNCTION("""COMPUTED_VALUE"""),2025.0)</f>
        <v>2025</v>
      </c>
      <c r="S1000" s="2" t="str">
        <f>IFERROR(__xludf.DUMMYFUNCTION("""COMPUTED_VALUE"""),"Digizag")</f>
        <v>Digizag</v>
      </c>
      <c r="T1000" s="2" t="str">
        <f>IFERROR(__xludf.DUMMYFUNCTION("""COMPUTED_VALUE"""),"Digizag")</f>
        <v>Digizag</v>
      </c>
      <c r="U1000" s="5">
        <f>IFERROR(__xludf.DUMMYFUNCTION("""COMPUTED_VALUE"""),40.41820765268001)</f>
        <v>40.41820765</v>
      </c>
      <c r="V1000" s="2"/>
      <c r="W1000" s="2"/>
      <c r="X1000" s="2"/>
      <c r="Y1000" s="2"/>
      <c r="Z1000" s="2"/>
    </row>
    <row r="1001">
      <c r="A1001" s="6">
        <f>IFERROR(__xludf.DUMMYFUNCTION("""COMPUTED_VALUE"""),45897.82953703703)</f>
        <v>45897.82954</v>
      </c>
      <c r="B1001" s="2" t="str">
        <f>IFERROR(__xludf.DUMMYFUNCTION("""COMPUTED_VALUE"""),"August")</f>
        <v>August</v>
      </c>
      <c r="C1001" s="3">
        <f>IFERROR(__xludf.DUMMYFUNCTION("""COMPUTED_VALUE"""),792529.0)</f>
        <v>792529</v>
      </c>
      <c r="D1001" s="2" t="str">
        <f>IFERROR(__xludf.DUMMYFUNCTION("""COMPUTED_VALUE"""),"DB7")</f>
        <v>DB7</v>
      </c>
      <c r="E1001" s="2" t="str">
        <f>IFERROR(__xludf.DUMMYFUNCTION("""COMPUTED_VALUE"""),"Digizag")</f>
        <v>Digizag</v>
      </c>
      <c r="F1001" s="2" t="str">
        <f>IFERROR(__xludf.DUMMYFUNCTION("""COMPUTED_VALUE"""),"VGU584881")</f>
        <v>VGU584881</v>
      </c>
      <c r="G1001" s="2" t="str">
        <f>IFERROR(__xludf.DUMMYFUNCTION("""COMPUTED_VALUE"""),"Kuwait")</f>
        <v>Kuwait</v>
      </c>
      <c r="H1001" s="4">
        <f>IFERROR(__xludf.DUMMYFUNCTION("""COMPUTED_VALUE"""),9.15)</f>
        <v>9.15</v>
      </c>
      <c r="I1001" s="3">
        <f>IFERROR(__xludf.DUMMYFUNCTION("""COMPUTED_VALUE"""),0.0)</f>
        <v>0</v>
      </c>
      <c r="J1001" s="4">
        <f>IFERROR(__xludf.DUMMYFUNCTION("""COMPUTED_VALUE"""),0.915)</f>
        <v>0.915</v>
      </c>
      <c r="K1001" s="2"/>
      <c r="L1001" s="2" t="str">
        <f>IFERROR(__xludf.DUMMYFUNCTION("""COMPUTED_VALUE"""),"Delivered")</f>
        <v>Delivered</v>
      </c>
      <c r="M1001" s="2" t="str">
        <f>IFERROR(__xludf.DUMMYFUNCTION("""COMPUTED_VALUE"""),"KD")</f>
        <v>KD</v>
      </c>
      <c r="N1001" s="2" t="str">
        <f>IFERROR(__xludf.DUMMYFUNCTION("""COMPUTED_VALUE"""),"Credit, Debit, Knet")</f>
        <v>Credit, Debit, Knet</v>
      </c>
      <c r="O1001" s="4">
        <f>IFERROR(__xludf.DUMMYFUNCTION("""COMPUTED_VALUE"""),0.0)</f>
        <v>0</v>
      </c>
      <c r="P1001" s="2">
        <f>IFERROR(__xludf.DUMMYFUNCTION("""COMPUTED_VALUE"""),28.0)</f>
        <v>28</v>
      </c>
      <c r="Q1001" s="2">
        <f>IFERROR(__xludf.DUMMYFUNCTION("""COMPUTED_VALUE"""),8.0)</f>
        <v>8</v>
      </c>
      <c r="R1001" s="2">
        <f>IFERROR(__xludf.DUMMYFUNCTION("""COMPUTED_VALUE"""),2025.0)</f>
        <v>2025</v>
      </c>
      <c r="S1001" s="2" t="str">
        <f>IFERROR(__xludf.DUMMYFUNCTION("""COMPUTED_VALUE"""),"Digizag")</f>
        <v>Digizag</v>
      </c>
      <c r="T1001" s="2" t="str">
        <f>IFERROR(__xludf.DUMMYFUNCTION("""COMPUTED_VALUE"""),"Digizag")</f>
        <v>Digizag</v>
      </c>
      <c r="U1001" s="5">
        <f>IFERROR(__xludf.DUMMYFUNCTION("""COMPUTED_VALUE"""),29.834673)</f>
        <v>29.834673</v>
      </c>
      <c r="V1001" s="2"/>
      <c r="W1001" s="2"/>
      <c r="X1001" s="2"/>
      <c r="Y1001" s="2"/>
      <c r="Z1001" s="2"/>
    </row>
    <row r="1002">
      <c r="A1002" s="6">
        <f>IFERROR(__xludf.DUMMYFUNCTION("""COMPUTED_VALUE"""),45898.323495370365)</f>
        <v>45898.3235</v>
      </c>
      <c r="B1002" s="2" t="str">
        <f>IFERROR(__xludf.DUMMYFUNCTION("""COMPUTED_VALUE"""),"August")</f>
        <v>August</v>
      </c>
      <c r="C1002" s="3">
        <f>IFERROR(__xludf.DUMMYFUNCTION("""COMPUTED_VALUE"""),134943.0)</f>
        <v>134943</v>
      </c>
      <c r="D1002" s="2" t="str">
        <f>IFERROR(__xludf.DUMMYFUNCTION("""COMPUTED_VALUE"""),"DG11")</f>
        <v>DG11</v>
      </c>
      <c r="E1002" s="2" t="str">
        <f>IFERROR(__xludf.DUMMYFUNCTION("""COMPUTED_VALUE"""),"Imported from file Digizag.xlsx")</f>
        <v>Imported from file Digizag.xlsx</v>
      </c>
      <c r="F1002" s="2" t="str">
        <f>IFERROR(__xludf.DUMMYFUNCTION("""COMPUTED_VALUE"""),"VZW362599")</f>
        <v>VZW362599</v>
      </c>
      <c r="G1002" s="2" t="str">
        <f>IFERROR(__xludf.DUMMYFUNCTION("""COMPUTED_VALUE"""),"UAE")</f>
        <v>UAE</v>
      </c>
      <c r="H1002" s="4">
        <f>IFERROR(__xludf.DUMMYFUNCTION("""COMPUTED_VALUE"""),79.0)</f>
        <v>79</v>
      </c>
      <c r="I1002" s="3">
        <f>IFERROR(__xludf.DUMMYFUNCTION("""COMPUTED_VALUE"""),0.0)</f>
        <v>0</v>
      </c>
      <c r="J1002" s="4">
        <f>IFERROR(__xludf.DUMMYFUNCTION("""COMPUTED_VALUE"""),7.9)</f>
        <v>7.9</v>
      </c>
      <c r="K1002" s="2"/>
      <c r="L1002" s="2" t="str">
        <f>IFERROR(__xludf.DUMMYFUNCTION("""COMPUTED_VALUE"""),"Delivered")</f>
        <v>Delivered</v>
      </c>
      <c r="M1002" s="2" t="str">
        <f>IFERROR(__xludf.DUMMYFUNCTION("""COMPUTED_VALUE"""),"")</f>
        <v></v>
      </c>
      <c r="N1002" s="2" t="str">
        <f>IFERROR(__xludf.DUMMYFUNCTION("""COMPUTED_VALUE"""),"Credit, Debit , Apple Pay")</f>
        <v>Credit, Debit , Apple Pay</v>
      </c>
      <c r="O1002" s="4">
        <f>IFERROR(__xludf.DUMMYFUNCTION("""COMPUTED_VALUE"""),0.0)</f>
        <v>0</v>
      </c>
      <c r="P1002" s="2">
        <f>IFERROR(__xludf.DUMMYFUNCTION("""COMPUTED_VALUE"""),29.0)</f>
        <v>29</v>
      </c>
      <c r="Q1002" s="2">
        <f>IFERROR(__xludf.DUMMYFUNCTION("""COMPUTED_VALUE"""),8.0)</f>
        <v>8</v>
      </c>
      <c r="R1002" s="2">
        <f>IFERROR(__xludf.DUMMYFUNCTION("""COMPUTED_VALUE"""),2025.0)</f>
        <v>2025</v>
      </c>
      <c r="S1002" s="2" t="str">
        <f>IFERROR(__xludf.DUMMYFUNCTION("""COMPUTED_VALUE"""),"Digizag")</f>
        <v>Digizag</v>
      </c>
      <c r="T1002" s="2" t="str">
        <f>IFERROR(__xludf.DUMMYFUNCTION("""COMPUTED_VALUE"""),"Digizag")</f>
        <v>Digizag</v>
      </c>
      <c r="U1002" s="5">
        <f>IFERROR(__xludf.DUMMYFUNCTION("""COMPUTED_VALUE"""),21.511232162)</f>
        <v>21.51123216</v>
      </c>
      <c r="V1002" s="2"/>
      <c r="W1002" s="2"/>
      <c r="X1002" s="2"/>
      <c r="Y1002" s="2"/>
      <c r="Z1002" s="2"/>
    </row>
    <row r="1003">
      <c r="A1003" s="6">
        <f>IFERROR(__xludf.DUMMYFUNCTION("""COMPUTED_VALUE"""),45898.34305555555)</f>
        <v>45898.34306</v>
      </c>
      <c r="B1003" s="2" t="str">
        <f>IFERROR(__xludf.DUMMYFUNCTION("""COMPUTED_VALUE"""),"August")</f>
        <v>August</v>
      </c>
      <c r="C1003" s="3">
        <f>IFERROR(__xludf.DUMMYFUNCTION("""COMPUTED_VALUE"""),286275.0)</f>
        <v>286275</v>
      </c>
      <c r="D1003" s="2" t="str">
        <f>IFERROR(__xludf.DUMMYFUNCTION("""COMPUTED_VALUE"""),"CC22")</f>
        <v>CC22</v>
      </c>
      <c r="E1003" s="2" t="str">
        <f>IFERROR(__xludf.DUMMYFUNCTION("""COMPUTED_VALUE"""),"Imported from file Digizag.xlsx")</f>
        <v>Imported from file Digizag.xlsx</v>
      </c>
      <c r="F1003" s="2" t="str">
        <f>IFERROR(__xludf.DUMMYFUNCTION("""COMPUTED_VALUE"""),"LYX597821")</f>
        <v>LYX597821</v>
      </c>
      <c r="G1003" s="2" t="str">
        <f>IFERROR(__xludf.DUMMYFUNCTION("""COMPUTED_VALUE"""),"UAE")</f>
        <v>UAE</v>
      </c>
      <c r="H1003" s="4">
        <f>IFERROR(__xludf.DUMMYFUNCTION("""COMPUTED_VALUE"""),150.0)</f>
        <v>150</v>
      </c>
      <c r="I1003" s="3">
        <f>IFERROR(__xludf.DUMMYFUNCTION("""COMPUTED_VALUE"""),0.0)</f>
        <v>0</v>
      </c>
      <c r="J1003" s="4">
        <f>IFERROR(__xludf.DUMMYFUNCTION("""COMPUTED_VALUE"""),15.0)</f>
        <v>15</v>
      </c>
      <c r="K1003" s="2"/>
      <c r="L1003" s="2" t="str">
        <f>IFERROR(__xludf.DUMMYFUNCTION("""COMPUTED_VALUE"""),"Delivered")</f>
        <v>Delivered</v>
      </c>
      <c r="M1003" s="2" t="str">
        <f>IFERROR(__xludf.DUMMYFUNCTION("""COMPUTED_VALUE"""),"")</f>
        <v></v>
      </c>
      <c r="N1003" s="2" t="str">
        <f>IFERROR(__xludf.DUMMYFUNCTION("""COMPUTED_VALUE"""),"Credit, Debit , Apple Pay")</f>
        <v>Credit, Debit , Apple Pay</v>
      </c>
      <c r="O1003" s="4">
        <f>IFERROR(__xludf.DUMMYFUNCTION("""COMPUTED_VALUE"""),0.0)</f>
        <v>0</v>
      </c>
      <c r="P1003" s="2">
        <f>IFERROR(__xludf.DUMMYFUNCTION("""COMPUTED_VALUE"""),29.0)</f>
        <v>29</v>
      </c>
      <c r="Q1003" s="2">
        <f>IFERROR(__xludf.DUMMYFUNCTION("""COMPUTED_VALUE"""),8.0)</f>
        <v>8</v>
      </c>
      <c r="R1003" s="2">
        <f>IFERROR(__xludf.DUMMYFUNCTION("""COMPUTED_VALUE"""),2025.0)</f>
        <v>2025</v>
      </c>
      <c r="S1003" s="2" t="str">
        <f>IFERROR(__xludf.DUMMYFUNCTION("""COMPUTED_VALUE"""),"Digizag")</f>
        <v>Digizag</v>
      </c>
      <c r="T1003" s="2" t="str">
        <f>IFERROR(__xludf.DUMMYFUNCTION("""COMPUTED_VALUE"""),"Digizag")</f>
        <v>Digizag</v>
      </c>
      <c r="U1003" s="5">
        <f>IFERROR(__xludf.DUMMYFUNCTION("""COMPUTED_VALUE"""),40.8441117)</f>
        <v>40.8441117</v>
      </c>
      <c r="V1003" s="2"/>
      <c r="W1003" s="2"/>
      <c r="X1003" s="2"/>
      <c r="Y1003" s="2"/>
      <c r="Z1003" s="2"/>
    </row>
    <row r="1004">
      <c r="A1004" s="6">
        <f>IFERROR(__xludf.DUMMYFUNCTION("""COMPUTED_VALUE"""),45898.381215277775)</f>
        <v>45898.38122</v>
      </c>
      <c r="B1004" s="2" t="str">
        <f>IFERROR(__xludf.DUMMYFUNCTION("""COMPUTED_VALUE"""),"August")</f>
        <v>August</v>
      </c>
      <c r="C1004" s="3">
        <f>IFERROR(__xludf.DUMMYFUNCTION("""COMPUTED_VALUE"""),94314.0)</f>
        <v>94314</v>
      </c>
      <c r="D1004" s="2" t="str">
        <f>IFERROR(__xludf.DUMMYFUNCTION("""COMPUTED_VALUE"""),"DG11")</f>
        <v>DG11</v>
      </c>
      <c r="E1004" s="2" t="str">
        <f>IFERROR(__xludf.DUMMYFUNCTION("""COMPUTED_VALUE"""),"Imported from file Digizag.xlsx")</f>
        <v>Imported from file Digizag.xlsx</v>
      </c>
      <c r="F1004" s="2" t="str">
        <f>IFERROR(__xludf.DUMMYFUNCTION("""COMPUTED_VALUE"""),"ZDL864839")</f>
        <v>ZDL864839</v>
      </c>
      <c r="G1004" s="2" t="str">
        <f>IFERROR(__xludf.DUMMYFUNCTION("""COMPUTED_VALUE"""),"UAE")</f>
        <v>UAE</v>
      </c>
      <c r="H1004" s="4">
        <f>IFERROR(__xludf.DUMMYFUNCTION("""COMPUTED_VALUE"""),324.0)</f>
        <v>324</v>
      </c>
      <c r="I1004" s="3">
        <f>IFERROR(__xludf.DUMMYFUNCTION("""COMPUTED_VALUE"""),0.0)</f>
        <v>0</v>
      </c>
      <c r="J1004" s="4">
        <f>IFERROR(__xludf.DUMMYFUNCTION("""COMPUTED_VALUE"""),32.4)</f>
        <v>32.4</v>
      </c>
      <c r="K1004" s="2"/>
      <c r="L1004" s="2" t="str">
        <f>IFERROR(__xludf.DUMMYFUNCTION("""COMPUTED_VALUE"""),"Delivered")</f>
        <v>Delivered</v>
      </c>
      <c r="M1004" s="2" t="str">
        <f>IFERROR(__xludf.DUMMYFUNCTION("""COMPUTED_VALUE"""),"")</f>
        <v></v>
      </c>
      <c r="N1004" s="2" t="str">
        <f>IFERROR(__xludf.DUMMYFUNCTION("""COMPUTED_VALUE"""),"Credit, Debit , Apple Pay")</f>
        <v>Credit, Debit , Apple Pay</v>
      </c>
      <c r="O1004" s="4">
        <f>IFERROR(__xludf.DUMMYFUNCTION("""COMPUTED_VALUE"""),0.0)</f>
        <v>0</v>
      </c>
      <c r="P1004" s="2">
        <f>IFERROR(__xludf.DUMMYFUNCTION("""COMPUTED_VALUE"""),29.0)</f>
        <v>29</v>
      </c>
      <c r="Q1004" s="2">
        <f>IFERROR(__xludf.DUMMYFUNCTION("""COMPUTED_VALUE"""),8.0)</f>
        <v>8</v>
      </c>
      <c r="R1004" s="2">
        <f>IFERROR(__xludf.DUMMYFUNCTION("""COMPUTED_VALUE"""),2025.0)</f>
        <v>2025</v>
      </c>
      <c r="S1004" s="2" t="str">
        <f>IFERROR(__xludf.DUMMYFUNCTION("""COMPUTED_VALUE"""),"Digizag")</f>
        <v>Digizag</v>
      </c>
      <c r="T1004" s="2" t="str">
        <f>IFERROR(__xludf.DUMMYFUNCTION("""COMPUTED_VALUE"""),"Digizag")</f>
        <v>Digizag</v>
      </c>
      <c r="U1004" s="5">
        <f>IFERROR(__xludf.DUMMYFUNCTION("""COMPUTED_VALUE"""),88.223281272)</f>
        <v>88.22328127</v>
      </c>
      <c r="V1004" s="2"/>
      <c r="W1004" s="2"/>
      <c r="X1004" s="2"/>
      <c r="Y1004" s="2"/>
      <c r="Z1004" s="2"/>
    </row>
    <row r="1005">
      <c r="A1005" s="6">
        <f>IFERROR(__xludf.DUMMYFUNCTION("""COMPUTED_VALUE"""),45898.44171296296)</f>
        <v>45898.44171</v>
      </c>
      <c r="B1005" s="2" t="str">
        <f>IFERROR(__xludf.DUMMYFUNCTION("""COMPUTED_VALUE"""),"August")</f>
        <v>August</v>
      </c>
      <c r="C1005" s="3">
        <f>IFERROR(__xludf.DUMMYFUNCTION("""COMPUTED_VALUE"""),203221.0)</f>
        <v>203221</v>
      </c>
      <c r="D1005" s="2" t="str">
        <f>IFERROR(__xludf.DUMMYFUNCTION("""COMPUTED_VALUE"""),"DB7")</f>
        <v>DB7</v>
      </c>
      <c r="E1005" s="2" t="str">
        <f>IFERROR(__xludf.DUMMYFUNCTION("""COMPUTED_VALUE"""),"Digizag")</f>
        <v>Digizag</v>
      </c>
      <c r="F1005" s="2" t="str">
        <f>IFERROR(__xludf.DUMMYFUNCTION("""COMPUTED_VALUE"""),"JLT985096")</f>
        <v>JLT985096</v>
      </c>
      <c r="G1005" s="2" t="str">
        <f>IFERROR(__xludf.DUMMYFUNCTION("""COMPUTED_VALUE"""),"Kingdom of Saudi Arabia")</f>
        <v>Kingdom of Saudi Arabia</v>
      </c>
      <c r="H1005" s="4">
        <f>IFERROR(__xludf.DUMMYFUNCTION("""COMPUTED_VALUE"""),444.96)</f>
        <v>444.96</v>
      </c>
      <c r="I1005" s="3">
        <f>IFERROR(__xludf.DUMMYFUNCTION("""COMPUTED_VALUE"""),0.0)</f>
        <v>0</v>
      </c>
      <c r="J1005" s="4">
        <f>IFERROR(__xludf.DUMMYFUNCTION("""COMPUTED_VALUE"""),30.0)</f>
        <v>30</v>
      </c>
      <c r="K1005" s="2"/>
      <c r="L1005" s="2" t="str">
        <f>IFERROR(__xludf.DUMMYFUNCTION("""COMPUTED_VALUE"""),"Delivered")</f>
        <v>Delivered</v>
      </c>
      <c r="M1005" s="2" t="str">
        <f>IFERROR(__xludf.DUMMYFUNCTION("""COMPUTED_VALUE"""),"")</f>
        <v></v>
      </c>
      <c r="N1005" s="2" t="str">
        <f>IFERROR(__xludf.DUMMYFUNCTION("""COMPUTED_VALUE"""),"Credit, Debit, Apple Pay")</f>
        <v>Credit, Debit, Apple Pay</v>
      </c>
      <c r="O1005" s="4">
        <f>IFERROR(__xludf.DUMMYFUNCTION("""COMPUTED_VALUE"""),0.0)</f>
        <v>0</v>
      </c>
      <c r="P1005" s="2">
        <f>IFERROR(__xludf.DUMMYFUNCTION("""COMPUTED_VALUE"""),29.0)</f>
        <v>29</v>
      </c>
      <c r="Q1005" s="2">
        <f>IFERROR(__xludf.DUMMYFUNCTION("""COMPUTED_VALUE"""),8.0)</f>
        <v>8</v>
      </c>
      <c r="R1005" s="2">
        <f>IFERROR(__xludf.DUMMYFUNCTION("""COMPUTED_VALUE"""),2025.0)</f>
        <v>2025</v>
      </c>
      <c r="S1005" s="2" t="str">
        <f>IFERROR(__xludf.DUMMYFUNCTION("""COMPUTED_VALUE"""),"Digizag")</f>
        <v>Digizag</v>
      </c>
      <c r="T1005" s="2" t="str">
        <f>IFERROR(__xludf.DUMMYFUNCTION("""COMPUTED_VALUE"""),"Digizag")</f>
        <v>Digizag</v>
      </c>
      <c r="U1005" s="5">
        <f>IFERROR(__xludf.DUMMYFUNCTION("""COMPUTED_VALUE"""),118.64682462816)</f>
        <v>118.6468246</v>
      </c>
      <c r="V1005" s="2"/>
      <c r="W1005" s="2"/>
      <c r="X1005" s="2"/>
      <c r="Y1005" s="2"/>
      <c r="Z1005" s="2"/>
    </row>
    <row r="1006">
      <c r="A1006" s="6">
        <f>IFERROR(__xludf.DUMMYFUNCTION("""COMPUTED_VALUE"""),45898.45696759259)</f>
        <v>45898.45697</v>
      </c>
      <c r="B1006" s="2" t="str">
        <f>IFERROR(__xludf.DUMMYFUNCTION("""COMPUTED_VALUE"""),"August")</f>
        <v>August</v>
      </c>
      <c r="C1006" s="3">
        <f>IFERROR(__xludf.DUMMYFUNCTION("""COMPUTED_VALUE"""),243597.0)</f>
        <v>243597</v>
      </c>
      <c r="D1006" s="2" t="str">
        <f>IFERROR(__xludf.DUMMYFUNCTION("""COMPUTED_VALUE"""),"ZM22")</f>
        <v>ZM22</v>
      </c>
      <c r="E1006" s="2" t="str">
        <f>IFERROR(__xludf.DUMMYFUNCTION("""COMPUTED_VALUE"""),"Imported from file Digizag.xlsx")</f>
        <v>Imported from file Digizag.xlsx</v>
      </c>
      <c r="F1006" s="2" t="str">
        <f>IFERROR(__xludf.DUMMYFUNCTION("""COMPUTED_VALUE"""),"NHL631621")</f>
        <v>NHL631621</v>
      </c>
      <c r="G1006" s="2" t="str">
        <f>IFERROR(__xludf.DUMMYFUNCTION("""COMPUTED_VALUE"""),"Kingdom of Saudi Arabia")</f>
        <v>Kingdom of Saudi Arabia</v>
      </c>
      <c r="H1006" s="4">
        <f>IFERROR(__xludf.DUMMYFUNCTION("""COMPUTED_VALUE"""),275.0)</f>
        <v>275</v>
      </c>
      <c r="I1006" s="3">
        <f>IFERROR(__xludf.DUMMYFUNCTION("""COMPUTED_VALUE"""),0.0)</f>
        <v>0</v>
      </c>
      <c r="J1006" s="4">
        <f>IFERROR(__xludf.DUMMYFUNCTION("""COMPUTED_VALUE"""),30.0)</f>
        <v>30</v>
      </c>
      <c r="K1006" s="2"/>
      <c r="L1006" s="2" t="str">
        <f>IFERROR(__xludf.DUMMYFUNCTION("""COMPUTED_VALUE"""),"Delivered")</f>
        <v>Delivered</v>
      </c>
      <c r="M1006" s="2" t="str">
        <f>IFERROR(__xludf.DUMMYFUNCTION("""COMPUTED_VALUE"""),"")</f>
        <v></v>
      </c>
      <c r="N1006" s="2" t="str">
        <f>IFERROR(__xludf.DUMMYFUNCTION("""COMPUTED_VALUE"""),"Credit, Debit, Apple Pay")</f>
        <v>Credit, Debit, Apple Pay</v>
      </c>
      <c r="O1006" s="4">
        <f>IFERROR(__xludf.DUMMYFUNCTION("""COMPUTED_VALUE"""),0.0)</f>
        <v>0</v>
      </c>
      <c r="P1006" s="2">
        <f>IFERROR(__xludf.DUMMYFUNCTION("""COMPUTED_VALUE"""),29.0)</f>
        <v>29</v>
      </c>
      <c r="Q1006" s="2">
        <f>IFERROR(__xludf.DUMMYFUNCTION("""COMPUTED_VALUE"""),8.0)</f>
        <v>8</v>
      </c>
      <c r="R1006" s="2">
        <f>IFERROR(__xludf.DUMMYFUNCTION("""COMPUTED_VALUE"""),2025.0)</f>
        <v>2025</v>
      </c>
      <c r="S1006" s="2" t="str">
        <f>IFERROR(__xludf.DUMMYFUNCTION("""COMPUTED_VALUE"""),"Digizag")</f>
        <v>Digizag</v>
      </c>
      <c r="T1006" s="2" t="str">
        <f>IFERROR(__xludf.DUMMYFUNCTION("""COMPUTED_VALUE"""),"Digizag")</f>
        <v>Digizag</v>
      </c>
      <c r="U1006" s="5">
        <f>IFERROR(__xludf.DUMMYFUNCTION("""COMPUTED_VALUE"""),73.32766265000001)</f>
        <v>73.32766265</v>
      </c>
      <c r="V1006" s="2"/>
      <c r="W1006" s="2"/>
      <c r="X1006" s="2"/>
      <c r="Y1006" s="2"/>
      <c r="Z1006" s="2"/>
    </row>
    <row r="1007">
      <c r="A1007" s="6">
        <f>IFERROR(__xludf.DUMMYFUNCTION("""COMPUTED_VALUE"""),45898.468993055554)</f>
        <v>45898.46899</v>
      </c>
      <c r="B1007" s="2" t="str">
        <f>IFERROR(__xludf.DUMMYFUNCTION("""COMPUTED_VALUE"""),"August")</f>
        <v>August</v>
      </c>
      <c r="C1007" s="3">
        <f>IFERROR(__xludf.DUMMYFUNCTION("""COMPUTED_VALUE"""),217366.0)</f>
        <v>217366</v>
      </c>
      <c r="D1007" s="2" t="str">
        <f>IFERROR(__xludf.DUMMYFUNCTION("""COMPUTED_VALUE"""),"CC22")</f>
        <v>CC22</v>
      </c>
      <c r="E1007" s="2" t="str">
        <f>IFERROR(__xludf.DUMMYFUNCTION("""COMPUTED_VALUE"""),"Imported from file Digizag.xlsx")</f>
        <v>Imported from file Digizag.xlsx</v>
      </c>
      <c r="F1007" s="2" t="str">
        <f>IFERROR(__xludf.DUMMYFUNCTION("""COMPUTED_VALUE"""),"EVP485532")</f>
        <v>EVP485532</v>
      </c>
      <c r="G1007" s="2" t="str">
        <f>IFERROR(__xludf.DUMMYFUNCTION("""COMPUTED_VALUE"""),"Kuwait")</f>
        <v>Kuwait</v>
      </c>
      <c r="H1007" s="4">
        <f>IFERROR(__xludf.DUMMYFUNCTION("""COMPUTED_VALUE"""),14.95)</f>
        <v>14.95</v>
      </c>
      <c r="I1007" s="3">
        <f>IFERROR(__xludf.DUMMYFUNCTION("""COMPUTED_VALUE"""),0.0)</f>
        <v>0</v>
      </c>
      <c r="J1007" s="4">
        <f>IFERROR(__xludf.DUMMYFUNCTION("""COMPUTED_VALUE"""),1.495)</f>
        <v>1.495</v>
      </c>
      <c r="K1007" s="2"/>
      <c r="L1007" s="2" t="str">
        <f>IFERROR(__xludf.DUMMYFUNCTION("""COMPUTED_VALUE"""),"Delivered")</f>
        <v>Delivered</v>
      </c>
      <c r="M1007" s="2" t="str">
        <f>IFERROR(__xludf.DUMMYFUNCTION("""COMPUTED_VALUE"""),"KD")</f>
        <v>KD</v>
      </c>
      <c r="N1007" s="2" t="str">
        <f>IFERROR(__xludf.DUMMYFUNCTION("""COMPUTED_VALUE"""),"Credit, Debit, Knet")</f>
        <v>Credit, Debit, Knet</v>
      </c>
      <c r="O1007" s="4">
        <f>IFERROR(__xludf.DUMMYFUNCTION("""COMPUTED_VALUE"""),0.0)</f>
        <v>0</v>
      </c>
      <c r="P1007" s="2">
        <f>IFERROR(__xludf.DUMMYFUNCTION("""COMPUTED_VALUE"""),29.0)</f>
        <v>29</v>
      </c>
      <c r="Q1007" s="2">
        <f>IFERROR(__xludf.DUMMYFUNCTION("""COMPUTED_VALUE"""),8.0)</f>
        <v>8</v>
      </c>
      <c r="R1007" s="2">
        <f>IFERROR(__xludf.DUMMYFUNCTION("""COMPUTED_VALUE"""),2025.0)</f>
        <v>2025</v>
      </c>
      <c r="S1007" s="2" t="str">
        <f>IFERROR(__xludf.DUMMYFUNCTION("""COMPUTED_VALUE"""),"Digizag")</f>
        <v>Digizag</v>
      </c>
      <c r="T1007" s="2" t="str">
        <f>IFERROR(__xludf.DUMMYFUNCTION("""COMPUTED_VALUE"""),"Digizag")</f>
        <v>Digizag</v>
      </c>
      <c r="U1007" s="5">
        <f>IFERROR(__xludf.DUMMYFUNCTION("""COMPUTED_VALUE"""),48.746269)</f>
        <v>48.746269</v>
      </c>
      <c r="V1007" s="2"/>
      <c r="W1007" s="2"/>
      <c r="X1007" s="2"/>
      <c r="Y1007" s="2"/>
      <c r="Z1007" s="2"/>
    </row>
    <row r="1008">
      <c r="A1008" s="6">
        <f>IFERROR(__xludf.DUMMYFUNCTION("""COMPUTED_VALUE"""),45898.52371527778)</f>
        <v>45898.52372</v>
      </c>
      <c r="B1008" s="2" t="str">
        <f>IFERROR(__xludf.DUMMYFUNCTION("""COMPUTED_VALUE"""),"August")</f>
        <v>August</v>
      </c>
      <c r="C1008" s="3">
        <f>IFERROR(__xludf.DUMMYFUNCTION("""COMPUTED_VALUE"""),124509.0)</f>
        <v>124509</v>
      </c>
      <c r="D1008" s="2" t="str">
        <f>IFERROR(__xludf.DUMMYFUNCTION("""COMPUTED_VALUE"""),"ZM22")</f>
        <v>ZM22</v>
      </c>
      <c r="E1008" s="2" t="str">
        <f>IFERROR(__xludf.DUMMYFUNCTION("""COMPUTED_VALUE"""),"Imported from file Digizag.xlsx")</f>
        <v>Imported from file Digizag.xlsx</v>
      </c>
      <c r="F1008" s="2" t="str">
        <f>IFERROR(__xludf.DUMMYFUNCTION("""COMPUTED_VALUE"""),"KDH605158")</f>
        <v>KDH605158</v>
      </c>
      <c r="G1008" s="2" t="str">
        <f>IFERROR(__xludf.DUMMYFUNCTION("""COMPUTED_VALUE"""),"UAE")</f>
        <v>UAE</v>
      </c>
      <c r="H1008" s="4">
        <f>IFERROR(__xludf.DUMMYFUNCTION("""COMPUTED_VALUE"""),373.76)</f>
        <v>373.76</v>
      </c>
      <c r="I1008" s="3">
        <f>IFERROR(__xludf.DUMMYFUNCTION("""COMPUTED_VALUE"""),0.0)</f>
        <v>0</v>
      </c>
      <c r="J1008" s="4">
        <f>IFERROR(__xludf.DUMMYFUNCTION("""COMPUTED_VALUE"""),37.37)</f>
        <v>37.37</v>
      </c>
      <c r="K1008" s="2"/>
      <c r="L1008" s="2" t="str">
        <f>IFERROR(__xludf.DUMMYFUNCTION("""COMPUTED_VALUE"""),"Delivered")</f>
        <v>Delivered</v>
      </c>
      <c r="M1008" s="2" t="str">
        <f>IFERROR(__xludf.DUMMYFUNCTION("""COMPUTED_VALUE"""),"")</f>
        <v></v>
      </c>
      <c r="N1008" s="2" t="str">
        <f>IFERROR(__xludf.DUMMYFUNCTION("""COMPUTED_VALUE"""),"Credit, Debit , Apple Pay")</f>
        <v>Credit, Debit , Apple Pay</v>
      </c>
      <c r="O1008" s="4">
        <f>IFERROR(__xludf.DUMMYFUNCTION("""COMPUTED_VALUE"""),0.0)</f>
        <v>0</v>
      </c>
      <c r="P1008" s="2">
        <f>IFERROR(__xludf.DUMMYFUNCTION("""COMPUTED_VALUE"""),29.0)</f>
        <v>29</v>
      </c>
      <c r="Q1008" s="2">
        <f>IFERROR(__xludf.DUMMYFUNCTION("""COMPUTED_VALUE"""),8.0)</f>
        <v>8</v>
      </c>
      <c r="R1008" s="2">
        <f>IFERROR(__xludf.DUMMYFUNCTION("""COMPUTED_VALUE"""),2025.0)</f>
        <v>2025</v>
      </c>
      <c r="S1008" s="2" t="str">
        <f>IFERROR(__xludf.DUMMYFUNCTION("""COMPUTED_VALUE"""),"Digizag")</f>
        <v>Digizag</v>
      </c>
      <c r="T1008" s="2" t="str">
        <f>IFERROR(__xludf.DUMMYFUNCTION("""COMPUTED_VALUE"""),"Digizag")</f>
        <v>Digizag</v>
      </c>
      <c r="U1008" s="5">
        <f>IFERROR(__xludf.DUMMYFUNCTION("""COMPUTED_VALUE"""),101.77263459327999)</f>
        <v>101.7726346</v>
      </c>
      <c r="V1008" s="2"/>
      <c r="W1008" s="2"/>
      <c r="X1008" s="2"/>
      <c r="Y1008" s="2"/>
      <c r="Z1008" s="2"/>
    </row>
    <row r="1009">
      <c r="A1009" s="6">
        <f>IFERROR(__xludf.DUMMYFUNCTION("""COMPUTED_VALUE"""),45898.554826388885)</f>
        <v>45898.55483</v>
      </c>
      <c r="B1009" s="2" t="str">
        <f>IFERROR(__xludf.DUMMYFUNCTION("""COMPUTED_VALUE"""),"August")</f>
        <v>August</v>
      </c>
      <c r="C1009" s="3">
        <f>IFERROR(__xludf.DUMMYFUNCTION("""COMPUTED_VALUE"""),43172.0)</f>
        <v>43172</v>
      </c>
      <c r="D1009" s="2" t="str">
        <f>IFERROR(__xludf.DUMMYFUNCTION("""COMPUTED_VALUE"""),"JM")</f>
        <v>JM</v>
      </c>
      <c r="E1009" s="2" t="str">
        <f>IFERROR(__xludf.DUMMYFUNCTION("""COMPUTED_VALUE"""),"Digizag")</f>
        <v>Digizag</v>
      </c>
      <c r="F1009" s="2" t="str">
        <f>IFERROR(__xludf.DUMMYFUNCTION("""COMPUTED_VALUE"""),"JXW583505")</f>
        <v>JXW583505</v>
      </c>
      <c r="G1009" s="2" t="str">
        <f>IFERROR(__xludf.DUMMYFUNCTION("""COMPUTED_VALUE"""),"Kuwait")</f>
        <v>Kuwait</v>
      </c>
      <c r="H1009" s="4">
        <f>IFERROR(__xludf.DUMMYFUNCTION("""COMPUTED_VALUE"""),14.95)</f>
        <v>14.95</v>
      </c>
      <c r="I1009" s="3">
        <f>IFERROR(__xludf.DUMMYFUNCTION("""COMPUTED_VALUE"""),0.0)</f>
        <v>0</v>
      </c>
      <c r="J1009" s="4">
        <f>IFERROR(__xludf.DUMMYFUNCTION("""COMPUTED_VALUE"""),1.495)</f>
        <v>1.495</v>
      </c>
      <c r="K1009" s="2"/>
      <c r="L1009" s="2" t="str">
        <f>IFERROR(__xludf.DUMMYFUNCTION("""COMPUTED_VALUE"""),"Delivered")</f>
        <v>Delivered</v>
      </c>
      <c r="M1009" s="2" t="str">
        <f>IFERROR(__xludf.DUMMYFUNCTION("""COMPUTED_VALUE"""),"KD")</f>
        <v>KD</v>
      </c>
      <c r="N1009" s="2" t="str">
        <f>IFERROR(__xludf.DUMMYFUNCTION("""COMPUTED_VALUE"""),"Credit, Debit, Knet")</f>
        <v>Credit, Debit, Knet</v>
      </c>
      <c r="O1009" s="4">
        <f>IFERROR(__xludf.DUMMYFUNCTION("""COMPUTED_VALUE"""),0.0)</f>
        <v>0</v>
      </c>
      <c r="P1009" s="2">
        <f>IFERROR(__xludf.DUMMYFUNCTION("""COMPUTED_VALUE"""),29.0)</f>
        <v>29</v>
      </c>
      <c r="Q1009" s="2">
        <f>IFERROR(__xludf.DUMMYFUNCTION("""COMPUTED_VALUE"""),8.0)</f>
        <v>8</v>
      </c>
      <c r="R1009" s="2">
        <f>IFERROR(__xludf.DUMMYFUNCTION("""COMPUTED_VALUE"""),2025.0)</f>
        <v>2025</v>
      </c>
      <c r="S1009" s="2" t="str">
        <f>IFERROR(__xludf.DUMMYFUNCTION("""COMPUTED_VALUE"""),"Digizag")</f>
        <v>Digizag</v>
      </c>
      <c r="T1009" s="2" t="str">
        <f>IFERROR(__xludf.DUMMYFUNCTION("""COMPUTED_VALUE"""),"Digizag")</f>
        <v>Digizag</v>
      </c>
      <c r="U1009" s="5">
        <f>IFERROR(__xludf.DUMMYFUNCTION("""COMPUTED_VALUE"""),48.746269)</f>
        <v>48.746269</v>
      </c>
      <c r="V1009" s="2"/>
      <c r="W1009" s="2"/>
      <c r="X1009" s="2"/>
      <c r="Y1009" s="2"/>
      <c r="Z1009" s="2"/>
    </row>
    <row r="1010">
      <c r="A1010" s="6">
        <f>IFERROR(__xludf.DUMMYFUNCTION("""COMPUTED_VALUE"""),45898.61597222222)</f>
        <v>45898.61597</v>
      </c>
      <c r="B1010" s="2" t="str">
        <f>IFERROR(__xludf.DUMMYFUNCTION("""COMPUTED_VALUE"""),"August")</f>
        <v>August</v>
      </c>
      <c r="C1010" s="3">
        <f>IFERROR(__xludf.DUMMYFUNCTION("""COMPUTED_VALUE"""),571123.0)</f>
        <v>571123</v>
      </c>
      <c r="D1010" s="2" t="str">
        <f>IFERROR(__xludf.DUMMYFUNCTION("""COMPUTED_VALUE"""),"JM")</f>
        <v>JM</v>
      </c>
      <c r="E1010" s="2" t="str">
        <f>IFERROR(__xludf.DUMMYFUNCTION("""COMPUTED_VALUE"""),"DigiZag")</f>
        <v>DigiZag</v>
      </c>
      <c r="F1010" s="2" t="str">
        <f>IFERROR(__xludf.DUMMYFUNCTION("""COMPUTED_VALUE"""),"MVP207751")</f>
        <v>MVP207751</v>
      </c>
      <c r="G1010" s="2" t="str">
        <f>IFERROR(__xludf.DUMMYFUNCTION("""COMPUTED_VALUE"""),"UAE")</f>
        <v>UAE</v>
      </c>
      <c r="H1010" s="4">
        <f>IFERROR(__xludf.DUMMYFUNCTION("""COMPUTED_VALUE"""),360.0)</f>
        <v>360</v>
      </c>
      <c r="I1010" s="3">
        <f>IFERROR(__xludf.DUMMYFUNCTION("""COMPUTED_VALUE"""),0.0)</f>
        <v>0</v>
      </c>
      <c r="J1010" s="4">
        <f>IFERROR(__xludf.DUMMYFUNCTION("""COMPUTED_VALUE"""),36.0)</f>
        <v>36</v>
      </c>
      <c r="K1010" s="2"/>
      <c r="L1010" s="2" t="str">
        <f>IFERROR(__xludf.DUMMYFUNCTION("""COMPUTED_VALUE"""),"Delivered")</f>
        <v>Delivered</v>
      </c>
      <c r="M1010" s="2" t="str">
        <f>IFERROR(__xludf.DUMMYFUNCTION("""COMPUTED_VALUE"""),"")</f>
        <v></v>
      </c>
      <c r="N1010" s="2" t="str">
        <f>IFERROR(__xludf.DUMMYFUNCTION("""COMPUTED_VALUE"""),"Credit, Debit , Apple Pay")</f>
        <v>Credit, Debit , Apple Pay</v>
      </c>
      <c r="O1010" s="4">
        <f>IFERROR(__xludf.DUMMYFUNCTION("""COMPUTED_VALUE"""),0.0)</f>
        <v>0</v>
      </c>
      <c r="P1010" s="2">
        <f>IFERROR(__xludf.DUMMYFUNCTION("""COMPUTED_VALUE"""),29.0)</f>
        <v>29</v>
      </c>
      <c r="Q1010" s="2">
        <f>IFERROR(__xludf.DUMMYFUNCTION("""COMPUTED_VALUE"""),8.0)</f>
        <v>8</v>
      </c>
      <c r="R1010" s="2">
        <f>IFERROR(__xludf.DUMMYFUNCTION("""COMPUTED_VALUE"""),2025.0)</f>
        <v>2025</v>
      </c>
      <c r="S1010" s="2" t="str">
        <f>IFERROR(__xludf.DUMMYFUNCTION("""COMPUTED_VALUE"""),"Digizag")</f>
        <v>Digizag</v>
      </c>
      <c r="T1010" s="2" t="str">
        <f>IFERROR(__xludf.DUMMYFUNCTION("""COMPUTED_VALUE"""),"Digizag")</f>
        <v>Digizag</v>
      </c>
      <c r="U1010" s="5">
        <f>IFERROR(__xludf.DUMMYFUNCTION("""COMPUTED_VALUE"""),98.02586808)</f>
        <v>98.02586808</v>
      </c>
      <c r="V1010" s="2"/>
      <c r="W1010" s="2"/>
      <c r="X1010" s="2"/>
      <c r="Y1010" s="2"/>
      <c r="Z1010" s="2"/>
    </row>
    <row r="1011">
      <c r="A1011" s="6">
        <f>IFERROR(__xludf.DUMMYFUNCTION("""COMPUTED_VALUE"""),45898.73572916666)</f>
        <v>45898.73573</v>
      </c>
      <c r="B1011" s="2" t="str">
        <f>IFERROR(__xludf.DUMMYFUNCTION("""COMPUTED_VALUE"""),"August")</f>
        <v>August</v>
      </c>
      <c r="C1011" s="3">
        <f>IFERROR(__xludf.DUMMYFUNCTION("""COMPUTED_VALUE"""),793089.0)</f>
        <v>793089</v>
      </c>
      <c r="D1011" s="2" t="str">
        <f>IFERROR(__xludf.DUMMYFUNCTION("""COMPUTED_VALUE"""),"MNN27")</f>
        <v>MNN27</v>
      </c>
      <c r="E1011" s="2" t="str">
        <f>IFERROR(__xludf.DUMMYFUNCTION("""COMPUTED_VALUE"""),"Imported from file DigiZag Bidding Codes.xlsx")</f>
        <v>Imported from file DigiZag Bidding Codes.xlsx</v>
      </c>
      <c r="F1011" s="2" t="str">
        <f>IFERROR(__xludf.DUMMYFUNCTION("""COMPUTED_VALUE"""),"KPB584723")</f>
        <v>KPB584723</v>
      </c>
      <c r="G1011" s="2" t="str">
        <f>IFERROR(__xludf.DUMMYFUNCTION("""COMPUTED_VALUE"""),"Kingdom of Saudi Arabia")</f>
        <v>Kingdom of Saudi Arabia</v>
      </c>
      <c r="H1011" s="4">
        <f>IFERROR(__xludf.DUMMYFUNCTION("""COMPUTED_VALUE"""),146.95)</f>
        <v>146.95</v>
      </c>
      <c r="I1011" s="3">
        <f>IFERROR(__xludf.DUMMYFUNCTION("""COMPUTED_VALUE"""),0.0)</f>
        <v>0</v>
      </c>
      <c r="J1011" s="4">
        <f>IFERROR(__xludf.DUMMYFUNCTION("""COMPUTED_VALUE"""),30.0)</f>
        <v>30</v>
      </c>
      <c r="K1011" s="2"/>
      <c r="L1011" s="2" t="str">
        <f>IFERROR(__xludf.DUMMYFUNCTION("""COMPUTED_VALUE"""),"Delivered")</f>
        <v>Delivered</v>
      </c>
      <c r="M1011" s="2" t="str">
        <f>IFERROR(__xludf.DUMMYFUNCTION("""COMPUTED_VALUE"""),"")</f>
        <v></v>
      </c>
      <c r="N1011" s="2" t="str">
        <f>IFERROR(__xludf.DUMMYFUNCTION("""COMPUTED_VALUE"""),"Pay in 4. No interest, no fees")</f>
        <v>Pay in 4. No interest, no fees</v>
      </c>
      <c r="O1011" s="4">
        <f>IFERROR(__xludf.DUMMYFUNCTION("""COMPUTED_VALUE"""),0.0)</f>
        <v>0</v>
      </c>
      <c r="P1011" s="2">
        <f>IFERROR(__xludf.DUMMYFUNCTION("""COMPUTED_VALUE"""),29.0)</f>
        <v>29</v>
      </c>
      <c r="Q1011" s="2">
        <f>IFERROR(__xludf.DUMMYFUNCTION("""COMPUTED_VALUE"""),8.0)</f>
        <v>8</v>
      </c>
      <c r="R1011" s="2">
        <f>IFERROR(__xludf.DUMMYFUNCTION("""COMPUTED_VALUE"""),2025.0)</f>
        <v>2025</v>
      </c>
      <c r="S1011" s="2" t="str">
        <f>IFERROR(__xludf.DUMMYFUNCTION("""COMPUTED_VALUE"""),"Digizag")</f>
        <v>Digizag</v>
      </c>
      <c r="T1011" s="2" t="str">
        <f>IFERROR(__xludf.DUMMYFUNCTION("""COMPUTED_VALUE"""),"Digizag")</f>
        <v>Digizag</v>
      </c>
      <c r="U1011" s="5">
        <f>IFERROR(__xludf.DUMMYFUNCTION("""COMPUTED_VALUE"""),39.183636459700004)</f>
        <v>39.18363646</v>
      </c>
      <c r="V1011" s="2"/>
      <c r="W1011" s="2"/>
      <c r="X1011" s="2"/>
      <c r="Y1011" s="2"/>
      <c r="Z1011" s="2"/>
    </row>
    <row r="1012">
      <c r="A1012" s="6">
        <f>IFERROR(__xludf.DUMMYFUNCTION("""COMPUTED_VALUE"""),45898.93017361111)</f>
        <v>45898.93017</v>
      </c>
      <c r="B1012" s="2" t="str">
        <f>IFERROR(__xludf.DUMMYFUNCTION("""COMPUTED_VALUE"""),"August")</f>
        <v>August</v>
      </c>
      <c r="C1012" s="3">
        <f>IFERROR(__xludf.DUMMYFUNCTION("""COMPUTED_VALUE"""),38279.0)</f>
        <v>38279</v>
      </c>
      <c r="D1012" s="2" t="str">
        <f>IFERROR(__xludf.DUMMYFUNCTION("""COMPUTED_VALUE"""),"DB7")</f>
        <v>DB7</v>
      </c>
      <c r="E1012" s="2" t="str">
        <f>IFERROR(__xludf.DUMMYFUNCTION("""COMPUTED_VALUE"""),"Digizag")</f>
        <v>Digizag</v>
      </c>
      <c r="F1012" s="2" t="str">
        <f>IFERROR(__xludf.DUMMYFUNCTION("""COMPUTED_VALUE"""),"QTT395384")</f>
        <v>QTT395384</v>
      </c>
      <c r="G1012" s="2" t="str">
        <f>IFERROR(__xludf.DUMMYFUNCTION("""COMPUTED_VALUE"""),"Kingdom of Saudi Arabia")</f>
        <v>Kingdom of Saudi Arabia</v>
      </c>
      <c r="H1012" s="4">
        <f>IFERROR(__xludf.DUMMYFUNCTION("""COMPUTED_VALUE"""),202.56)</f>
        <v>202.56</v>
      </c>
      <c r="I1012" s="3">
        <f>IFERROR(__xludf.DUMMYFUNCTION("""COMPUTED_VALUE"""),0.0)</f>
        <v>0</v>
      </c>
      <c r="J1012" s="4">
        <f>IFERROR(__xludf.DUMMYFUNCTION("""COMPUTED_VALUE"""),30.0)</f>
        <v>30</v>
      </c>
      <c r="K1012" s="2"/>
      <c r="L1012" s="2" t="str">
        <f>IFERROR(__xludf.DUMMYFUNCTION("""COMPUTED_VALUE"""),"Delivered")</f>
        <v>Delivered</v>
      </c>
      <c r="M1012" s="2" t="str">
        <f>IFERROR(__xludf.DUMMYFUNCTION("""COMPUTED_VALUE"""),"")</f>
        <v></v>
      </c>
      <c r="N1012" s="2" t="str">
        <f>IFERROR(__xludf.DUMMYFUNCTION("""COMPUTED_VALUE"""),"Credit, Debit, Apple Pay")</f>
        <v>Credit, Debit, Apple Pay</v>
      </c>
      <c r="O1012" s="4">
        <f>IFERROR(__xludf.DUMMYFUNCTION("""COMPUTED_VALUE"""),0.0)</f>
        <v>0</v>
      </c>
      <c r="P1012" s="2">
        <f>IFERROR(__xludf.DUMMYFUNCTION("""COMPUTED_VALUE"""),29.0)</f>
        <v>29</v>
      </c>
      <c r="Q1012" s="2">
        <f>IFERROR(__xludf.DUMMYFUNCTION("""COMPUTED_VALUE"""),8.0)</f>
        <v>8</v>
      </c>
      <c r="R1012" s="2">
        <f>IFERROR(__xludf.DUMMYFUNCTION("""COMPUTED_VALUE"""),2025.0)</f>
        <v>2025</v>
      </c>
      <c r="S1012" s="2" t="str">
        <f>IFERROR(__xludf.DUMMYFUNCTION("""COMPUTED_VALUE"""),"Digizag")</f>
        <v>Digizag</v>
      </c>
      <c r="T1012" s="2" t="str">
        <f>IFERROR(__xludf.DUMMYFUNCTION("""COMPUTED_VALUE"""),"Digizag")</f>
        <v>Digizag</v>
      </c>
      <c r="U1012" s="5">
        <f>IFERROR(__xludf.DUMMYFUNCTION("""COMPUTED_VALUE"""),54.011823077760006)</f>
        <v>54.01182308</v>
      </c>
      <c r="V1012" s="2"/>
      <c r="W1012" s="2"/>
      <c r="X1012" s="2"/>
      <c r="Y1012" s="2"/>
      <c r="Z1012" s="2"/>
    </row>
    <row r="1013">
      <c r="A1013" s="6">
        <f>IFERROR(__xludf.DUMMYFUNCTION("""COMPUTED_VALUE"""),45899.49304398148)</f>
        <v>45899.49304</v>
      </c>
      <c r="B1013" s="2" t="str">
        <f>IFERROR(__xludf.DUMMYFUNCTION("""COMPUTED_VALUE"""),"August")</f>
        <v>August</v>
      </c>
      <c r="C1013" s="3">
        <f>IFERROR(__xludf.DUMMYFUNCTION("""COMPUTED_VALUE"""),793418.0)</f>
        <v>793418</v>
      </c>
      <c r="D1013" s="2" t="str">
        <f>IFERROR(__xludf.DUMMYFUNCTION("""COMPUTED_VALUE"""),"MNN27")</f>
        <v>MNN27</v>
      </c>
      <c r="E1013" s="2" t="str">
        <f>IFERROR(__xludf.DUMMYFUNCTION("""COMPUTED_VALUE"""),"Imported from file DigiZag Bidding Codes.xlsx")</f>
        <v>Imported from file DigiZag Bidding Codes.xlsx</v>
      </c>
      <c r="F1013" s="2" t="str">
        <f>IFERROR(__xludf.DUMMYFUNCTION("""COMPUTED_VALUE"""),"CAT265011")</f>
        <v>CAT265011</v>
      </c>
      <c r="G1013" s="2" t="str">
        <f>IFERROR(__xludf.DUMMYFUNCTION("""COMPUTED_VALUE"""),"Kingdom of Saudi Arabia")</f>
        <v>Kingdom of Saudi Arabia</v>
      </c>
      <c r="H1013" s="4">
        <f>IFERROR(__xludf.DUMMYFUNCTION("""COMPUTED_VALUE"""),95.7)</f>
        <v>95.7</v>
      </c>
      <c r="I1013" s="3">
        <f>IFERROR(__xludf.DUMMYFUNCTION("""COMPUTED_VALUE"""),0.0)</f>
        <v>0</v>
      </c>
      <c r="J1013" s="4">
        <f>IFERROR(__xludf.DUMMYFUNCTION("""COMPUTED_VALUE"""),23.92)</f>
        <v>23.92</v>
      </c>
      <c r="K1013" s="2"/>
      <c r="L1013" s="2" t="str">
        <f>IFERROR(__xludf.DUMMYFUNCTION("""COMPUTED_VALUE"""),"Delivered")</f>
        <v>Delivered</v>
      </c>
      <c r="M1013" s="2" t="str">
        <f>IFERROR(__xludf.DUMMYFUNCTION("""COMPUTED_VALUE"""),"")</f>
        <v></v>
      </c>
      <c r="N1013" s="2" t="str">
        <f>IFERROR(__xludf.DUMMYFUNCTION("""COMPUTED_VALUE"""),"Credit, Debit, Apple Pay")</f>
        <v>Credit, Debit, Apple Pay</v>
      </c>
      <c r="O1013" s="4">
        <f>IFERROR(__xludf.DUMMYFUNCTION("""COMPUTED_VALUE"""),0.0)</f>
        <v>0</v>
      </c>
      <c r="P1013" s="2">
        <f>IFERROR(__xludf.DUMMYFUNCTION("""COMPUTED_VALUE"""),30.0)</f>
        <v>30</v>
      </c>
      <c r="Q1013" s="2">
        <f>IFERROR(__xludf.DUMMYFUNCTION("""COMPUTED_VALUE"""),8.0)</f>
        <v>8</v>
      </c>
      <c r="R1013" s="2">
        <f>IFERROR(__xludf.DUMMYFUNCTION("""COMPUTED_VALUE"""),2025.0)</f>
        <v>2025</v>
      </c>
      <c r="S1013" s="2" t="str">
        <f>IFERROR(__xludf.DUMMYFUNCTION("""COMPUTED_VALUE"""),"Digizag")</f>
        <v>Digizag</v>
      </c>
      <c r="T1013" s="2" t="str">
        <f>IFERROR(__xludf.DUMMYFUNCTION("""COMPUTED_VALUE"""),"Digizag")</f>
        <v>Digizag</v>
      </c>
      <c r="U1013" s="5">
        <f>IFERROR(__xludf.DUMMYFUNCTION("""COMPUTED_VALUE"""),25.518026602200003)</f>
        <v>25.5180266</v>
      </c>
      <c r="V1013" s="2"/>
      <c r="W1013" s="2"/>
      <c r="X1013" s="2"/>
      <c r="Y1013" s="2"/>
      <c r="Z1013" s="2"/>
    </row>
    <row r="1014">
      <c r="A1014" s="6">
        <f>IFERROR(__xludf.DUMMYFUNCTION("""COMPUTED_VALUE"""),45899.87465277778)</f>
        <v>45899.87465</v>
      </c>
      <c r="B1014" s="2" t="str">
        <f>IFERROR(__xludf.DUMMYFUNCTION("""COMPUTED_VALUE"""),"August")</f>
        <v>August</v>
      </c>
      <c r="C1014" s="3">
        <f>IFERROR(__xludf.DUMMYFUNCTION("""COMPUTED_VALUE"""),247934.0)</f>
        <v>247934</v>
      </c>
      <c r="D1014" s="2" t="str">
        <f>IFERROR(__xludf.DUMMYFUNCTION("""COMPUTED_VALUE"""),"JM")</f>
        <v>JM</v>
      </c>
      <c r="E1014" s="2" t="str">
        <f>IFERROR(__xludf.DUMMYFUNCTION("""COMPUTED_VALUE"""),"Digizag")</f>
        <v>Digizag</v>
      </c>
      <c r="F1014" s="2" t="str">
        <f>IFERROR(__xludf.DUMMYFUNCTION("""COMPUTED_VALUE"""),"CPB438797")</f>
        <v>CPB438797</v>
      </c>
      <c r="G1014" s="2" t="str">
        <f>IFERROR(__xludf.DUMMYFUNCTION("""COMPUTED_VALUE"""),"Kuwait")</f>
        <v>Kuwait</v>
      </c>
      <c r="H1014" s="4">
        <f>IFERROR(__xludf.DUMMYFUNCTION("""COMPUTED_VALUE"""),12.95)</f>
        <v>12.95</v>
      </c>
      <c r="I1014" s="3">
        <f>IFERROR(__xludf.DUMMYFUNCTION("""COMPUTED_VALUE"""),0.0)</f>
        <v>0</v>
      </c>
      <c r="J1014" s="4">
        <f>IFERROR(__xludf.DUMMYFUNCTION("""COMPUTED_VALUE"""),1.295)</f>
        <v>1.295</v>
      </c>
      <c r="K1014" s="2"/>
      <c r="L1014" s="2" t="str">
        <f>IFERROR(__xludf.DUMMYFUNCTION("""COMPUTED_VALUE"""),"Delivered")</f>
        <v>Delivered</v>
      </c>
      <c r="M1014" s="2" t="str">
        <f>IFERROR(__xludf.DUMMYFUNCTION("""COMPUTED_VALUE"""),"KD")</f>
        <v>KD</v>
      </c>
      <c r="N1014" s="2" t="str">
        <f>IFERROR(__xludf.DUMMYFUNCTION("""COMPUTED_VALUE"""),"Credit, Debit, Knet")</f>
        <v>Credit, Debit, Knet</v>
      </c>
      <c r="O1014" s="4">
        <f>IFERROR(__xludf.DUMMYFUNCTION("""COMPUTED_VALUE"""),0.0)</f>
        <v>0</v>
      </c>
      <c r="P1014" s="2">
        <f>IFERROR(__xludf.DUMMYFUNCTION("""COMPUTED_VALUE"""),30.0)</f>
        <v>30</v>
      </c>
      <c r="Q1014" s="2">
        <f>IFERROR(__xludf.DUMMYFUNCTION("""COMPUTED_VALUE"""),8.0)</f>
        <v>8</v>
      </c>
      <c r="R1014" s="2">
        <f>IFERROR(__xludf.DUMMYFUNCTION("""COMPUTED_VALUE"""),2025.0)</f>
        <v>2025</v>
      </c>
      <c r="S1014" s="2" t="str">
        <f>IFERROR(__xludf.DUMMYFUNCTION("""COMPUTED_VALUE"""),"Digizag")</f>
        <v>Digizag</v>
      </c>
      <c r="T1014" s="2" t="str">
        <f>IFERROR(__xludf.DUMMYFUNCTION("""COMPUTED_VALUE"""),"Digizag")</f>
        <v>Digizag</v>
      </c>
      <c r="U1014" s="5">
        <f>IFERROR(__xludf.DUMMYFUNCTION("""COMPUTED_VALUE"""),42.225029)</f>
        <v>42.225029</v>
      </c>
      <c r="V1014" s="2"/>
      <c r="W1014" s="2"/>
      <c r="X1014" s="2"/>
      <c r="Y1014" s="2"/>
      <c r="Z1014" s="2"/>
    </row>
    <row r="1015">
      <c r="A1015" s="6">
        <f>IFERROR(__xludf.DUMMYFUNCTION("""COMPUTED_VALUE"""),45900.153969907406)</f>
        <v>45900.15397</v>
      </c>
      <c r="B1015" s="2" t="str">
        <f>IFERROR(__xludf.DUMMYFUNCTION("""COMPUTED_VALUE"""),"August")</f>
        <v>August</v>
      </c>
      <c r="C1015" s="3">
        <f>IFERROR(__xludf.DUMMYFUNCTION("""COMPUTED_VALUE"""),216760.0)</f>
        <v>216760</v>
      </c>
      <c r="D1015" s="2" t="str">
        <f>IFERROR(__xludf.DUMMYFUNCTION("""COMPUTED_VALUE"""),"ZM22")</f>
        <v>ZM22</v>
      </c>
      <c r="E1015" s="2" t="str">
        <f>IFERROR(__xludf.DUMMYFUNCTION("""COMPUTED_VALUE"""),"Imported from file Digizag.xlsx")</f>
        <v>Imported from file Digizag.xlsx</v>
      </c>
      <c r="F1015" s="2" t="str">
        <f>IFERROR(__xludf.DUMMYFUNCTION("""COMPUTED_VALUE"""),"HQU882414")</f>
        <v>HQU882414</v>
      </c>
      <c r="G1015" s="2" t="str">
        <f>IFERROR(__xludf.DUMMYFUNCTION("""COMPUTED_VALUE"""),"UAE")</f>
        <v>UAE</v>
      </c>
      <c r="H1015" s="4">
        <f>IFERROR(__xludf.DUMMYFUNCTION("""COMPUTED_VALUE"""),284.75)</f>
        <v>284.75</v>
      </c>
      <c r="I1015" s="3">
        <f>IFERROR(__xludf.DUMMYFUNCTION("""COMPUTED_VALUE"""),0.0)</f>
        <v>0</v>
      </c>
      <c r="J1015" s="4">
        <f>IFERROR(__xludf.DUMMYFUNCTION("""COMPUTED_VALUE"""),28.47)</f>
        <v>28.47</v>
      </c>
      <c r="K1015" s="2"/>
      <c r="L1015" s="2" t="str">
        <f>IFERROR(__xludf.DUMMYFUNCTION("""COMPUTED_VALUE"""),"Delivered")</f>
        <v>Delivered</v>
      </c>
      <c r="M1015" s="2" t="str">
        <f>IFERROR(__xludf.DUMMYFUNCTION("""COMPUTED_VALUE"""),"")</f>
        <v></v>
      </c>
      <c r="N1015" s="2" t="str">
        <f>IFERROR(__xludf.DUMMYFUNCTION("""COMPUTED_VALUE"""),"Credit, Debit , Apple Pay")</f>
        <v>Credit, Debit , Apple Pay</v>
      </c>
      <c r="O1015" s="4">
        <f>IFERROR(__xludf.DUMMYFUNCTION("""COMPUTED_VALUE"""),0.0)</f>
        <v>0</v>
      </c>
      <c r="P1015" s="2">
        <f>IFERROR(__xludf.DUMMYFUNCTION("""COMPUTED_VALUE"""),31.0)</f>
        <v>31</v>
      </c>
      <c r="Q1015" s="2">
        <f>IFERROR(__xludf.DUMMYFUNCTION("""COMPUTED_VALUE"""),8.0)</f>
        <v>8</v>
      </c>
      <c r="R1015" s="2">
        <f>IFERROR(__xludf.DUMMYFUNCTION("""COMPUTED_VALUE"""),2025.0)</f>
        <v>2025</v>
      </c>
      <c r="S1015" s="2" t="str">
        <f>IFERROR(__xludf.DUMMYFUNCTION("""COMPUTED_VALUE"""),"Digizag")</f>
        <v>Digizag</v>
      </c>
      <c r="T1015" s="2" t="str">
        <f>IFERROR(__xludf.DUMMYFUNCTION("""COMPUTED_VALUE"""),"Digizag")</f>
        <v>Digizag</v>
      </c>
      <c r="U1015" s="5">
        <f>IFERROR(__xludf.DUMMYFUNCTION("""COMPUTED_VALUE"""),77.5357387105)</f>
        <v>77.53573871</v>
      </c>
      <c r="V1015" s="2"/>
      <c r="W1015" s="2"/>
      <c r="X1015" s="2"/>
      <c r="Y1015" s="2"/>
      <c r="Z1015" s="2"/>
    </row>
    <row r="1016">
      <c r="A1016" s="6">
        <f>IFERROR(__xludf.DUMMYFUNCTION("""COMPUTED_VALUE"""),45900.31736111111)</f>
        <v>45900.31736</v>
      </c>
      <c r="B1016" s="2" t="str">
        <f>IFERROR(__xludf.DUMMYFUNCTION("""COMPUTED_VALUE"""),"August")</f>
        <v>August</v>
      </c>
      <c r="C1016" s="3">
        <f>IFERROR(__xludf.DUMMYFUNCTION("""COMPUTED_VALUE"""),793807.0)</f>
        <v>793807</v>
      </c>
      <c r="D1016" s="2" t="str">
        <f>IFERROR(__xludf.DUMMYFUNCTION("""COMPUTED_VALUE"""),"DB7")</f>
        <v>DB7</v>
      </c>
      <c r="E1016" s="2" t="str">
        <f>IFERROR(__xludf.DUMMYFUNCTION("""COMPUTED_VALUE"""),"Digizag")</f>
        <v>Digizag</v>
      </c>
      <c r="F1016" s="2" t="str">
        <f>IFERROR(__xludf.DUMMYFUNCTION("""COMPUTED_VALUE"""),"MNC996904")</f>
        <v>MNC996904</v>
      </c>
      <c r="G1016" s="2" t="str">
        <f>IFERROR(__xludf.DUMMYFUNCTION("""COMPUTED_VALUE"""),"UAE")</f>
        <v>UAE</v>
      </c>
      <c r="H1016" s="4">
        <f>IFERROR(__xludf.DUMMYFUNCTION("""COMPUTED_VALUE"""),405.9)</f>
        <v>405.9</v>
      </c>
      <c r="I1016" s="3">
        <f>IFERROR(__xludf.DUMMYFUNCTION("""COMPUTED_VALUE"""),0.0)</f>
        <v>0</v>
      </c>
      <c r="J1016" s="4">
        <f>IFERROR(__xludf.DUMMYFUNCTION("""COMPUTED_VALUE"""),40.58)</f>
        <v>40.58</v>
      </c>
      <c r="K1016" s="2"/>
      <c r="L1016" s="2" t="str">
        <f>IFERROR(__xludf.DUMMYFUNCTION("""COMPUTED_VALUE"""),"Delivered")</f>
        <v>Delivered</v>
      </c>
      <c r="M1016" s="2" t="str">
        <f>IFERROR(__xludf.DUMMYFUNCTION("""COMPUTED_VALUE"""),"")</f>
        <v></v>
      </c>
      <c r="N1016" s="2" t="str">
        <f>IFERROR(__xludf.DUMMYFUNCTION("""COMPUTED_VALUE"""),"Credit, Debit , Apple Pay")</f>
        <v>Credit, Debit , Apple Pay</v>
      </c>
      <c r="O1016" s="4">
        <f>IFERROR(__xludf.DUMMYFUNCTION("""COMPUTED_VALUE"""),0.0)</f>
        <v>0</v>
      </c>
      <c r="P1016" s="2">
        <f>IFERROR(__xludf.DUMMYFUNCTION("""COMPUTED_VALUE"""),31.0)</f>
        <v>31</v>
      </c>
      <c r="Q1016" s="2">
        <f>IFERROR(__xludf.DUMMYFUNCTION("""COMPUTED_VALUE"""),8.0)</f>
        <v>8</v>
      </c>
      <c r="R1016" s="2">
        <f>IFERROR(__xludf.DUMMYFUNCTION("""COMPUTED_VALUE"""),2025.0)</f>
        <v>2025</v>
      </c>
      <c r="S1016" s="2" t="str">
        <f>IFERROR(__xludf.DUMMYFUNCTION("""COMPUTED_VALUE"""),"Digizag")</f>
        <v>Digizag</v>
      </c>
      <c r="T1016" s="2" t="str">
        <f>IFERROR(__xludf.DUMMYFUNCTION("""COMPUTED_VALUE"""),"Digizag")</f>
        <v>Digizag</v>
      </c>
      <c r="U1016" s="5">
        <f>IFERROR(__xludf.DUMMYFUNCTION("""COMPUTED_VALUE"""),110.52416626019999)</f>
        <v>110.5241663</v>
      </c>
      <c r="V1016" s="2"/>
      <c r="W1016" s="2"/>
      <c r="X1016" s="2"/>
      <c r="Y1016" s="2"/>
      <c r="Z1016" s="2"/>
    </row>
    <row r="1017">
      <c r="A1017" s="6">
        <f>IFERROR(__xludf.DUMMYFUNCTION("""COMPUTED_VALUE"""),45900.36708333333)</f>
        <v>45900.36708</v>
      </c>
      <c r="B1017" s="2" t="str">
        <f>IFERROR(__xludf.DUMMYFUNCTION("""COMPUTED_VALUE"""),"August")</f>
        <v>August</v>
      </c>
      <c r="C1017" s="3">
        <f>IFERROR(__xludf.DUMMYFUNCTION("""COMPUTED_VALUE"""),32048.0)</f>
        <v>32048</v>
      </c>
      <c r="D1017" s="2" t="str">
        <f>IFERROR(__xludf.DUMMYFUNCTION("""COMPUTED_VALUE"""),"MNN27")</f>
        <v>MNN27</v>
      </c>
      <c r="E1017" s="2" t="str">
        <f>IFERROR(__xludf.DUMMYFUNCTION("""COMPUTED_VALUE"""),"Imported from file DigiZag Bidding Codes.xlsx")</f>
        <v>Imported from file DigiZag Bidding Codes.xlsx</v>
      </c>
      <c r="F1017" s="2" t="str">
        <f>IFERROR(__xludf.DUMMYFUNCTION("""COMPUTED_VALUE"""),"VRT751724")</f>
        <v>VRT751724</v>
      </c>
      <c r="G1017" s="2" t="str">
        <f>IFERROR(__xludf.DUMMYFUNCTION("""COMPUTED_VALUE"""),"Kingdom of Saudi Arabia")</f>
        <v>Kingdom of Saudi Arabia</v>
      </c>
      <c r="H1017" s="4">
        <f>IFERROR(__xludf.DUMMYFUNCTION("""COMPUTED_VALUE"""),518.57)</f>
        <v>518.57</v>
      </c>
      <c r="I1017" s="3">
        <f>IFERROR(__xludf.DUMMYFUNCTION("""COMPUTED_VALUE"""),0.0)</f>
        <v>0</v>
      </c>
      <c r="J1017" s="4">
        <f>IFERROR(__xludf.DUMMYFUNCTION("""COMPUTED_VALUE"""),30.0)</f>
        <v>30</v>
      </c>
      <c r="K1017" s="2"/>
      <c r="L1017" s="2" t="str">
        <f>IFERROR(__xludf.DUMMYFUNCTION("""COMPUTED_VALUE"""),"Delivered")</f>
        <v>Delivered</v>
      </c>
      <c r="M1017" s="2" t="str">
        <f>IFERROR(__xludf.DUMMYFUNCTION("""COMPUTED_VALUE"""),"")</f>
        <v></v>
      </c>
      <c r="N1017" s="2" t="str">
        <f>IFERROR(__xludf.DUMMYFUNCTION("""COMPUTED_VALUE"""),"Credit, Debit, Apple Pay")</f>
        <v>Credit, Debit, Apple Pay</v>
      </c>
      <c r="O1017" s="4">
        <f>IFERROR(__xludf.DUMMYFUNCTION("""COMPUTED_VALUE"""),0.0)</f>
        <v>0</v>
      </c>
      <c r="P1017" s="2">
        <f>IFERROR(__xludf.DUMMYFUNCTION("""COMPUTED_VALUE"""),31.0)</f>
        <v>31</v>
      </c>
      <c r="Q1017" s="2">
        <f>IFERROR(__xludf.DUMMYFUNCTION("""COMPUTED_VALUE"""),8.0)</f>
        <v>8</v>
      </c>
      <c r="R1017" s="2">
        <f>IFERROR(__xludf.DUMMYFUNCTION("""COMPUTED_VALUE"""),2025.0)</f>
        <v>2025</v>
      </c>
      <c r="S1017" s="2" t="str">
        <f>IFERROR(__xludf.DUMMYFUNCTION("""COMPUTED_VALUE"""),"Digizag")</f>
        <v>Digizag</v>
      </c>
      <c r="T1017" s="2" t="str">
        <f>IFERROR(__xludf.DUMMYFUNCTION("""COMPUTED_VALUE"""),"Digizag")</f>
        <v>Digizag</v>
      </c>
      <c r="U1017" s="5">
        <f>IFERROR(__xludf.DUMMYFUNCTION("""COMPUTED_VALUE"""),138.27464007422003)</f>
        <v>138.2746401</v>
      </c>
      <c r="V1017" s="2"/>
      <c r="W1017" s="2"/>
      <c r="X1017" s="2"/>
      <c r="Y1017" s="2"/>
      <c r="Z1017" s="2"/>
    </row>
    <row r="1018">
      <c r="A1018" s="6">
        <f>IFERROR(__xludf.DUMMYFUNCTION("""COMPUTED_VALUE"""),45900.36856481481)</f>
        <v>45900.36856</v>
      </c>
      <c r="B1018" s="2" t="str">
        <f>IFERROR(__xludf.DUMMYFUNCTION("""COMPUTED_VALUE"""),"August")</f>
        <v>August</v>
      </c>
      <c r="C1018" s="3">
        <f>IFERROR(__xludf.DUMMYFUNCTION("""COMPUTED_VALUE"""),793828.0)</f>
        <v>793828</v>
      </c>
      <c r="D1018" s="2" t="str">
        <f>IFERROR(__xludf.DUMMYFUNCTION("""COMPUTED_VALUE"""),"MNN27")</f>
        <v>MNN27</v>
      </c>
      <c r="E1018" s="2" t="str">
        <f>IFERROR(__xludf.DUMMYFUNCTION("""COMPUTED_VALUE"""),"Imported from file DigiZag Bidding Codes.xlsx")</f>
        <v>Imported from file DigiZag Bidding Codes.xlsx</v>
      </c>
      <c r="F1018" s="2" t="str">
        <f>IFERROR(__xludf.DUMMYFUNCTION("""COMPUTED_VALUE"""),"NRZ443602")</f>
        <v>NRZ443602</v>
      </c>
      <c r="G1018" s="2" t="str">
        <f>IFERROR(__xludf.DUMMYFUNCTION("""COMPUTED_VALUE"""),"Kingdom of Saudi Arabia")</f>
        <v>Kingdom of Saudi Arabia</v>
      </c>
      <c r="H1018" s="4">
        <f>IFERROR(__xludf.DUMMYFUNCTION("""COMPUTED_VALUE"""),165.6)</f>
        <v>165.6</v>
      </c>
      <c r="I1018" s="3">
        <f>IFERROR(__xludf.DUMMYFUNCTION("""COMPUTED_VALUE"""),1.0)</f>
        <v>1</v>
      </c>
      <c r="J1018" s="4">
        <f>IFERROR(__xludf.DUMMYFUNCTION("""COMPUTED_VALUE"""),30.0)</f>
        <v>30</v>
      </c>
      <c r="K1018" s="2"/>
      <c r="L1018" s="2" t="str">
        <f>IFERROR(__xludf.DUMMYFUNCTION("""COMPUTED_VALUE"""),"Cancelled")</f>
        <v>Cancelled</v>
      </c>
      <c r="M1018" s="2" t="str">
        <f>IFERROR(__xludf.DUMMYFUNCTION("""COMPUTED_VALUE"""),"")</f>
        <v></v>
      </c>
      <c r="N1018" s="2" t="str">
        <f>IFERROR(__xludf.DUMMYFUNCTION("""COMPUTED_VALUE"""),"Pay in 4. No interest, no fees")</f>
        <v>Pay in 4. No interest, no fees</v>
      </c>
      <c r="O1018" s="4">
        <f>IFERROR(__xludf.DUMMYFUNCTION("""COMPUTED_VALUE"""),135.60000000000002)</f>
        <v>135.6</v>
      </c>
      <c r="P1018" s="2">
        <f>IFERROR(__xludf.DUMMYFUNCTION("""COMPUTED_VALUE"""),31.0)</f>
        <v>31</v>
      </c>
      <c r="Q1018" s="2">
        <f>IFERROR(__xludf.DUMMYFUNCTION("""COMPUTED_VALUE"""),8.0)</f>
        <v>8</v>
      </c>
      <c r="R1018" s="2">
        <f>IFERROR(__xludf.DUMMYFUNCTION("""COMPUTED_VALUE"""),2025.0)</f>
        <v>2025</v>
      </c>
      <c r="S1018" s="2" t="str">
        <f>IFERROR(__xludf.DUMMYFUNCTION("""COMPUTED_VALUE"""),"Digizag")</f>
        <v>Digizag</v>
      </c>
      <c r="T1018" s="2" t="str">
        <f>IFERROR(__xludf.DUMMYFUNCTION("""COMPUTED_VALUE"""),"Digizag")</f>
        <v>Digizag</v>
      </c>
      <c r="U1018" s="5">
        <f>IFERROR(__xludf.DUMMYFUNCTION("""COMPUTED_VALUE"""),44.1565852176)</f>
        <v>44.15658522</v>
      </c>
      <c r="V1018" s="2"/>
      <c r="W1018" s="2"/>
      <c r="X1018" s="2"/>
      <c r="Y1018" s="2"/>
      <c r="Z1018" s="2"/>
    </row>
    <row r="1019">
      <c r="A1019" s="6">
        <f>IFERROR(__xludf.DUMMYFUNCTION("""COMPUTED_VALUE"""),45900.49625)</f>
        <v>45900.49625</v>
      </c>
      <c r="B1019" s="2" t="str">
        <f>IFERROR(__xludf.DUMMYFUNCTION("""COMPUTED_VALUE"""),"August")</f>
        <v>August</v>
      </c>
      <c r="C1019" s="3">
        <f>IFERROR(__xludf.DUMMYFUNCTION("""COMPUTED_VALUE"""),126947.0)</f>
        <v>126947</v>
      </c>
      <c r="D1019" s="2" t="str">
        <f>IFERROR(__xludf.DUMMYFUNCTION("""COMPUTED_VALUE"""),"JM")</f>
        <v>JM</v>
      </c>
      <c r="E1019" s="2" t="str">
        <f>IFERROR(__xludf.DUMMYFUNCTION("""COMPUTED_VALUE"""),"DigiZag")</f>
        <v>DigiZag</v>
      </c>
      <c r="F1019" s="2" t="str">
        <f>IFERROR(__xludf.DUMMYFUNCTION("""COMPUTED_VALUE"""),"GBJ593858")</f>
        <v>GBJ593858</v>
      </c>
      <c r="G1019" s="2" t="str">
        <f>IFERROR(__xludf.DUMMYFUNCTION("""COMPUTED_VALUE"""),"Kingdom of Saudi Arabia")</f>
        <v>Kingdom of Saudi Arabia</v>
      </c>
      <c r="H1019" s="4">
        <f>IFERROR(__xludf.DUMMYFUNCTION("""COMPUTED_VALUE"""),169.0)</f>
        <v>169</v>
      </c>
      <c r="I1019" s="3">
        <f>IFERROR(__xludf.DUMMYFUNCTION("""COMPUTED_VALUE"""),0.0)</f>
        <v>0</v>
      </c>
      <c r="J1019" s="4">
        <f>IFERROR(__xludf.DUMMYFUNCTION("""COMPUTED_VALUE"""),30.0)</f>
        <v>30</v>
      </c>
      <c r="K1019" s="2"/>
      <c r="L1019" s="2" t="str">
        <f>IFERROR(__xludf.DUMMYFUNCTION("""COMPUTED_VALUE"""),"Delivered")</f>
        <v>Delivered</v>
      </c>
      <c r="M1019" s="2" t="str">
        <f>IFERROR(__xludf.DUMMYFUNCTION("""COMPUTED_VALUE"""),"")</f>
        <v></v>
      </c>
      <c r="N1019" s="2" t="str">
        <f>IFERROR(__xludf.DUMMYFUNCTION("""COMPUTED_VALUE"""),"Credit, Debit, Apple Pay")</f>
        <v>Credit, Debit, Apple Pay</v>
      </c>
      <c r="O1019" s="4">
        <f>IFERROR(__xludf.DUMMYFUNCTION("""COMPUTED_VALUE"""),0.0)</f>
        <v>0</v>
      </c>
      <c r="P1019" s="2">
        <f>IFERROR(__xludf.DUMMYFUNCTION("""COMPUTED_VALUE"""),31.0)</f>
        <v>31</v>
      </c>
      <c r="Q1019" s="2">
        <f>IFERROR(__xludf.DUMMYFUNCTION("""COMPUTED_VALUE"""),8.0)</f>
        <v>8</v>
      </c>
      <c r="R1019" s="2">
        <f>IFERROR(__xludf.DUMMYFUNCTION("""COMPUTED_VALUE"""),2025.0)</f>
        <v>2025</v>
      </c>
      <c r="S1019" s="2" t="str">
        <f>IFERROR(__xludf.DUMMYFUNCTION("""COMPUTED_VALUE"""),"Digizag")</f>
        <v>Digizag</v>
      </c>
      <c r="T1019" s="2" t="str">
        <f>IFERROR(__xludf.DUMMYFUNCTION("""COMPUTED_VALUE"""),"Digizag")</f>
        <v>Digizag</v>
      </c>
      <c r="U1019" s="5">
        <f>IFERROR(__xludf.DUMMYFUNCTION("""COMPUTED_VALUE"""),45.06318177400001)</f>
        <v>45.06318177</v>
      </c>
      <c r="V1019" s="2"/>
      <c r="W1019" s="2"/>
      <c r="X1019" s="2"/>
      <c r="Y1019" s="2"/>
      <c r="Z1019" s="2"/>
    </row>
    <row r="1020">
      <c r="A1020" s="6">
        <f>IFERROR(__xludf.DUMMYFUNCTION("""COMPUTED_VALUE"""),45900.50954861111)</f>
        <v>45900.50955</v>
      </c>
      <c r="B1020" s="2" t="str">
        <f>IFERROR(__xludf.DUMMYFUNCTION("""COMPUTED_VALUE"""),"August")</f>
        <v>August</v>
      </c>
      <c r="C1020" s="3">
        <f>IFERROR(__xludf.DUMMYFUNCTION("""COMPUTED_VALUE"""),433490.0)</f>
        <v>433490</v>
      </c>
      <c r="D1020" s="2" t="str">
        <f>IFERROR(__xludf.DUMMYFUNCTION("""COMPUTED_VALUE"""),"MNN27")</f>
        <v>MNN27</v>
      </c>
      <c r="E1020" s="2" t="str">
        <f>IFERROR(__xludf.DUMMYFUNCTION("""COMPUTED_VALUE"""),"Imported from file DigiZag Bidding Codes.xlsx")</f>
        <v>Imported from file DigiZag Bidding Codes.xlsx</v>
      </c>
      <c r="F1020" s="2" t="str">
        <f>IFERROR(__xludf.DUMMYFUNCTION("""COMPUTED_VALUE"""),"RSM474135")</f>
        <v>RSM474135</v>
      </c>
      <c r="G1020" s="2" t="str">
        <f>IFERROR(__xludf.DUMMYFUNCTION("""COMPUTED_VALUE"""),"Kingdom of Saudi Arabia")</f>
        <v>Kingdom of Saudi Arabia</v>
      </c>
      <c r="H1020" s="4">
        <f>IFERROR(__xludf.DUMMYFUNCTION("""COMPUTED_VALUE"""),132.31)</f>
        <v>132.31</v>
      </c>
      <c r="I1020" s="3">
        <f>IFERROR(__xludf.DUMMYFUNCTION("""COMPUTED_VALUE"""),0.0)</f>
        <v>0</v>
      </c>
      <c r="J1020" s="4">
        <f>IFERROR(__xludf.DUMMYFUNCTION("""COMPUTED_VALUE"""),30.0)</f>
        <v>30</v>
      </c>
      <c r="K1020" s="2"/>
      <c r="L1020" s="2" t="str">
        <f>IFERROR(__xludf.DUMMYFUNCTION("""COMPUTED_VALUE"""),"Delivered")</f>
        <v>Delivered</v>
      </c>
      <c r="M1020" s="2" t="str">
        <f>IFERROR(__xludf.DUMMYFUNCTION("""COMPUTED_VALUE"""),"")</f>
        <v></v>
      </c>
      <c r="N1020" s="2" t="str">
        <f>IFERROR(__xludf.DUMMYFUNCTION("""COMPUTED_VALUE"""),"Credit, Debit, Apple Pay")</f>
        <v>Credit, Debit, Apple Pay</v>
      </c>
      <c r="O1020" s="4">
        <f>IFERROR(__xludf.DUMMYFUNCTION("""COMPUTED_VALUE"""),0.0)</f>
        <v>0</v>
      </c>
      <c r="P1020" s="2">
        <f>IFERROR(__xludf.DUMMYFUNCTION("""COMPUTED_VALUE"""),31.0)</f>
        <v>31</v>
      </c>
      <c r="Q1020" s="2">
        <f>IFERROR(__xludf.DUMMYFUNCTION("""COMPUTED_VALUE"""),8.0)</f>
        <v>8</v>
      </c>
      <c r="R1020" s="2">
        <f>IFERROR(__xludf.DUMMYFUNCTION("""COMPUTED_VALUE"""),2025.0)</f>
        <v>2025</v>
      </c>
      <c r="S1020" s="2" t="str">
        <f>IFERROR(__xludf.DUMMYFUNCTION("""COMPUTED_VALUE"""),"Digizag")</f>
        <v>Digizag</v>
      </c>
      <c r="T1020" s="2" t="str">
        <f>IFERROR(__xludf.DUMMYFUNCTION("""COMPUTED_VALUE"""),"Digizag")</f>
        <v>Digizag</v>
      </c>
      <c r="U1020" s="5">
        <f>IFERROR(__xludf.DUMMYFUNCTION("""COMPUTED_VALUE"""),35.27993834626)</f>
        <v>35.27993835</v>
      </c>
      <c r="V1020" s="2"/>
      <c r="W1020" s="2"/>
      <c r="X1020" s="2"/>
      <c r="Y1020" s="2"/>
      <c r="Z1020" s="2"/>
    </row>
    <row r="1021">
      <c r="A1021" s="6">
        <f>IFERROR(__xludf.DUMMYFUNCTION("""COMPUTED_VALUE"""),45900.621678240735)</f>
        <v>45900.62168</v>
      </c>
      <c r="B1021" s="2" t="str">
        <f>IFERROR(__xludf.DUMMYFUNCTION("""COMPUTED_VALUE"""),"August")</f>
        <v>August</v>
      </c>
      <c r="C1021" s="3">
        <f>IFERROR(__xludf.DUMMYFUNCTION("""COMPUTED_VALUE"""),248324.0)</f>
        <v>248324</v>
      </c>
      <c r="D1021" s="2" t="str">
        <f>IFERROR(__xludf.DUMMYFUNCTION("""COMPUTED_VALUE"""),"DB7")</f>
        <v>DB7</v>
      </c>
      <c r="E1021" s="2" t="str">
        <f>IFERROR(__xludf.DUMMYFUNCTION("""COMPUTED_VALUE"""),"Digizag")</f>
        <v>Digizag</v>
      </c>
      <c r="F1021" s="2" t="str">
        <f>IFERROR(__xludf.DUMMYFUNCTION("""COMPUTED_VALUE"""),"VEQ636106")</f>
        <v>VEQ636106</v>
      </c>
      <c r="G1021" s="2" t="str">
        <f>IFERROR(__xludf.DUMMYFUNCTION("""COMPUTED_VALUE"""),"Kingdom of Saudi Arabia")</f>
        <v>Kingdom of Saudi Arabia</v>
      </c>
      <c r="H1021" s="4">
        <f>IFERROR(__xludf.DUMMYFUNCTION("""COMPUTED_VALUE"""),280.56)</f>
        <v>280.56</v>
      </c>
      <c r="I1021" s="3">
        <f>IFERROR(__xludf.DUMMYFUNCTION("""COMPUTED_VALUE"""),0.0)</f>
        <v>0</v>
      </c>
      <c r="J1021" s="4">
        <f>IFERROR(__xludf.DUMMYFUNCTION("""COMPUTED_VALUE"""),30.0)</f>
        <v>30</v>
      </c>
      <c r="K1021" s="2"/>
      <c r="L1021" s="2" t="str">
        <f>IFERROR(__xludf.DUMMYFUNCTION("""COMPUTED_VALUE"""),"Delivered")</f>
        <v>Delivered</v>
      </c>
      <c r="M1021" s="2" t="str">
        <f>IFERROR(__xludf.DUMMYFUNCTION("""COMPUTED_VALUE"""),"")</f>
        <v></v>
      </c>
      <c r="N1021" s="2" t="str">
        <f>IFERROR(__xludf.DUMMYFUNCTION("""COMPUTED_VALUE"""),"Credit, Debit, Apple Pay")</f>
        <v>Credit, Debit, Apple Pay</v>
      </c>
      <c r="O1021" s="4">
        <f>IFERROR(__xludf.DUMMYFUNCTION("""COMPUTED_VALUE"""),0.0)</f>
        <v>0</v>
      </c>
      <c r="P1021" s="2">
        <f>IFERROR(__xludf.DUMMYFUNCTION("""COMPUTED_VALUE"""),31.0)</f>
        <v>31</v>
      </c>
      <c r="Q1021" s="2">
        <f>IFERROR(__xludf.DUMMYFUNCTION("""COMPUTED_VALUE"""),8.0)</f>
        <v>8</v>
      </c>
      <c r="R1021" s="2">
        <f>IFERROR(__xludf.DUMMYFUNCTION("""COMPUTED_VALUE"""),2025.0)</f>
        <v>2025</v>
      </c>
      <c r="S1021" s="2" t="str">
        <f>IFERROR(__xludf.DUMMYFUNCTION("""COMPUTED_VALUE"""),"Digizag")</f>
        <v>Digizag</v>
      </c>
      <c r="T1021" s="2" t="str">
        <f>IFERROR(__xludf.DUMMYFUNCTION("""COMPUTED_VALUE"""),"Digizag")</f>
        <v>Digizag</v>
      </c>
      <c r="U1021" s="5">
        <f>IFERROR(__xludf.DUMMYFUNCTION("""COMPUTED_VALUE"""),74.81021466576001)</f>
        <v>74.81021467</v>
      </c>
      <c r="V1021" s="2"/>
      <c r="W1021" s="2"/>
      <c r="X1021" s="2"/>
      <c r="Y1021" s="2"/>
      <c r="Z1021" s="2"/>
    </row>
    <row r="1022">
      <c r="A1022" s="6">
        <f>IFERROR(__xludf.DUMMYFUNCTION("""COMPUTED_VALUE"""),45900.75368055555)</f>
        <v>45900.75368</v>
      </c>
      <c r="B1022" s="2" t="str">
        <f>IFERROR(__xludf.DUMMYFUNCTION("""COMPUTED_VALUE"""),"August")</f>
        <v>August</v>
      </c>
      <c r="C1022" s="3">
        <f>IFERROR(__xludf.DUMMYFUNCTION("""COMPUTED_VALUE"""),773280.0)</f>
        <v>773280</v>
      </c>
      <c r="D1022" s="2" t="str">
        <f>IFERROR(__xludf.DUMMYFUNCTION("""COMPUTED_VALUE"""),"CC22")</f>
        <v>CC22</v>
      </c>
      <c r="E1022" s="2" t="str">
        <f>IFERROR(__xludf.DUMMYFUNCTION("""COMPUTED_VALUE"""),"Imported from file Digizag.xlsx")</f>
        <v>Imported from file Digizag.xlsx</v>
      </c>
      <c r="F1022" s="2" t="str">
        <f>IFERROR(__xludf.DUMMYFUNCTION("""COMPUTED_VALUE"""),"EXP997810")</f>
        <v>EXP997810</v>
      </c>
      <c r="G1022" s="2" t="str">
        <f>IFERROR(__xludf.DUMMYFUNCTION("""COMPUTED_VALUE"""),"Kingdom of Saudi Arabia")</f>
        <v>Kingdom of Saudi Arabia</v>
      </c>
      <c r="H1022" s="4">
        <f>IFERROR(__xludf.DUMMYFUNCTION("""COMPUTED_VALUE"""),308.87)</f>
        <v>308.87</v>
      </c>
      <c r="I1022" s="3">
        <f>IFERROR(__xludf.DUMMYFUNCTION("""COMPUTED_VALUE"""),0.0)</f>
        <v>0</v>
      </c>
      <c r="J1022" s="4">
        <f>IFERROR(__xludf.DUMMYFUNCTION("""COMPUTED_VALUE"""),30.0)</f>
        <v>30</v>
      </c>
      <c r="K1022" s="2"/>
      <c r="L1022" s="2" t="str">
        <f>IFERROR(__xludf.DUMMYFUNCTION("""COMPUTED_VALUE"""),"Delivered")</f>
        <v>Delivered</v>
      </c>
      <c r="M1022" s="2" t="str">
        <f>IFERROR(__xludf.DUMMYFUNCTION("""COMPUTED_VALUE"""),"")</f>
        <v></v>
      </c>
      <c r="N1022" s="2" t="str">
        <f>IFERROR(__xludf.DUMMYFUNCTION("""COMPUTED_VALUE"""),"Tamara: Split in 3, interest-free")</f>
        <v>Tamara: Split in 3, interest-free</v>
      </c>
      <c r="O1022" s="4">
        <f>IFERROR(__xludf.DUMMYFUNCTION("""COMPUTED_VALUE"""),0.0)</f>
        <v>0</v>
      </c>
      <c r="P1022" s="2">
        <f>IFERROR(__xludf.DUMMYFUNCTION("""COMPUTED_VALUE"""),31.0)</f>
        <v>31</v>
      </c>
      <c r="Q1022" s="2">
        <f>IFERROR(__xludf.DUMMYFUNCTION("""COMPUTED_VALUE"""),8.0)</f>
        <v>8</v>
      </c>
      <c r="R1022" s="2">
        <f>IFERROR(__xludf.DUMMYFUNCTION("""COMPUTED_VALUE"""),2025.0)</f>
        <v>2025</v>
      </c>
      <c r="S1022" s="2" t="str">
        <f>IFERROR(__xludf.DUMMYFUNCTION("""COMPUTED_VALUE"""),"Digizag")</f>
        <v>Digizag</v>
      </c>
      <c r="T1022" s="2" t="str">
        <f>IFERROR(__xludf.DUMMYFUNCTION("""COMPUTED_VALUE"""),"Digizag")</f>
        <v>Digizag</v>
      </c>
      <c r="U1022" s="5">
        <f>IFERROR(__xludf.DUMMYFUNCTION("""COMPUTED_VALUE"""),82.35896422802001)</f>
        <v>82.35896423</v>
      </c>
      <c r="V1022" s="2"/>
      <c r="W1022" s="2"/>
      <c r="X1022" s="2"/>
      <c r="Y1022" s="2"/>
      <c r="Z1022" s="2"/>
    </row>
    <row r="1023">
      <c r="A1023" s="6">
        <f>IFERROR(__xludf.DUMMYFUNCTION("""COMPUTED_VALUE"""),45901.38780092592)</f>
        <v>45901.3878</v>
      </c>
      <c r="B1023" s="2" t="str">
        <f>IFERROR(__xludf.DUMMYFUNCTION("""COMPUTED_VALUE"""),"September")</f>
        <v>September</v>
      </c>
      <c r="C1023" s="3">
        <f>IFERROR(__xludf.DUMMYFUNCTION("""COMPUTED_VALUE"""),324621.0)</f>
        <v>324621</v>
      </c>
      <c r="D1023" s="2" t="str">
        <f>IFERROR(__xludf.DUMMYFUNCTION("""COMPUTED_VALUE"""),"DB7")</f>
        <v>DB7</v>
      </c>
      <c r="E1023" s="2" t="str">
        <f>IFERROR(__xludf.DUMMYFUNCTION("""COMPUTED_VALUE"""),"Digizag")</f>
        <v>Digizag</v>
      </c>
      <c r="F1023" s="2" t="str">
        <f>IFERROR(__xludf.DUMMYFUNCTION("""COMPUTED_VALUE"""),"DVJ749228")</f>
        <v>DVJ749228</v>
      </c>
      <c r="G1023" s="2" t="str">
        <f>IFERROR(__xludf.DUMMYFUNCTION("""COMPUTED_VALUE"""),"Kingdom of Saudi Arabia")</f>
        <v>Kingdom of Saudi Arabia</v>
      </c>
      <c r="H1023" s="4">
        <f>IFERROR(__xludf.DUMMYFUNCTION("""COMPUTED_VALUE"""),106.1)</f>
        <v>106.1</v>
      </c>
      <c r="I1023" s="3">
        <f>IFERROR(__xludf.DUMMYFUNCTION("""COMPUTED_VALUE"""),0.0)</f>
        <v>0</v>
      </c>
      <c r="J1023" s="4">
        <f>IFERROR(__xludf.DUMMYFUNCTION("""COMPUTED_VALUE"""),26.52)</f>
        <v>26.52</v>
      </c>
      <c r="K1023" s="2"/>
      <c r="L1023" s="2" t="str">
        <f>IFERROR(__xludf.DUMMYFUNCTION("""COMPUTED_VALUE"""),"Delivered")</f>
        <v>Delivered</v>
      </c>
      <c r="M1023" s="2" t="str">
        <f>IFERROR(__xludf.DUMMYFUNCTION("""COMPUTED_VALUE"""),"")</f>
        <v></v>
      </c>
      <c r="N1023" s="2" t="str">
        <f>IFERROR(__xludf.DUMMYFUNCTION("""COMPUTED_VALUE"""),"Credit, Debit, Apple Pay")</f>
        <v>Credit, Debit, Apple Pay</v>
      </c>
      <c r="O1023" s="4">
        <f>IFERROR(__xludf.DUMMYFUNCTION("""COMPUTED_VALUE"""),0.0)</f>
        <v>0</v>
      </c>
      <c r="P1023" s="2">
        <f>IFERROR(__xludf.DUMMYFUNCTION("""COMPUTED_VALUE"""),1.0)</f>
        <v>1</v>
      </c>
      <c r="Q1023" s="2">
        <f>IFERROR(__xludf.DUMMYFUNCTION("""COMPUTED_VALUE"""),9.0)</f>
        <v>9</v>
      </c>
      <c r="R1023" s="2">
        <f>IFERROR(__xludf.DUMMYFUNCTION("""COMPUTED_VALUE"""),2025.0)</f>
        <v>2025</v>
      </c>
      <c r="S1023" s="2" t="str">
        <f>IFERROR(__xludf.DUMMYFUNCTION("""COMPUTED_VALUE"""),"Digizag")</f>
        <v>Digizag</v>
      </c>
      <c r="T1023" s="2" t="str">
        <f>IFERROR(__xludf.DUMMYFUNCTION("""COMPUTED_VALUE"""),"Digizag")</f>
        <v>Digizag</v>
      </c>
      <c r="U1023" s="5">
        <f>IFERROR(__xludf.DUMMYFUNCTION("""COMPUTED_VALUE"""),28.2911454806)</f>
        <v>28.29114548</v>
      </c>
      <c r="V1023" s="2"/>
      <c r="W1023" s="2"/>
      <c r="X1023" s="2"/>
      <c r="Y1023" s="2"/>
      <c r="Z1023" s="2"/>
    </row>
    <row r="1024">
      <c r="A1024" s="6">
        <f>IFERROR(__xludf.DUMMYFUNCTION("""COMPUTED_VALUE"""),45901.56253472222)</f>
        <v>45901.56253</v>
      </c>
      <c r="B1024" s="2" t="str">
        <f>IFERROR(__xludf.DUMMYFUNCTION("""COMPUTED_VALUE"""),"September")</f>
        <v>September</v>
      </c>
      <c r="C1024" s="3">
        <f>IFERROR(__xludf.DUMMYFUNCTION("""COMPUTED_VALUE"""),794376.0)</f>
        <v>794376</v>
      </c>
      <c r="D1024" s="2" t="str">
        <f>IFERROR(__xludf.DUMMYFUNCTION("""COMPUTED_VALUE"""),"DB7")</f>
        <v>DB7</v>
      </c>
      <c r="E1024" s="2" t="str">
        <f>IFERROR(__xludf.DUMMYFUNCTION("""COMPUTED_VALUE"""),"Digizag")</f>
        <v>Digizag</v>
      </c>
      <c r="F1024" s="2" t="str">
        <f>IFERROR(__xludf.DUMMYFUNCTION("""COMPUTED_VALUE"""),"PUR127613")</f>
        <v>PUR127613</v>
      </c>
      <c r="G1024" s="2" t="str">
        <f>IFERROR(__xludf.DUMMYFUNCTION("""COMPUTED_VALUE"""),"Kingdom of Saudi Arabia")</f>
        <v>Kingdom of Saudi Arabia</v>
      </c>
      <c r="H1024" s="4">
        <f>IFERROR(__xludf.DUMMYFUNCTION("""COMPUTED_VALUE"""),51.3)</f>
        <v>51.3</v>
      </c>
      <c r="I1024" s="3">
        <f>IFERROR(__xludf.DUMMYFUNCTION("""COMPUTED_VALUE"""),0.0)</f>
        <v>0</v>
      </c>
      <c r="J1024" s="4">
        <f>IFERROR(__xludf.DUMMYFUNCTION("""COMPUTED_VALUE"""),12.82)</f>
        <v>12.82</v>
      </c>
      <c r="K1024" s="2"/>
      <c r="L1024" s="2" t="str">
        <f>IFERROR(__xludf.DUMMYFUNCTION("""COMPUTED_VALUE"""),"Delivered")</f>
        <v>Delivered</v>
      </c>
      <c r="M1024" s="2" t="str">
        <f>IFERROR(__xludf.DUMMYFUNCTION("""COMPUTED_VALUE"""),"")</f>
        <v></v>
      </c>
      <c r="N1024" s="2" t="str">
        <f>IFERROR(__xludf.DUMMYFUNCTION("""COMPUTED_VALUE"""),"Credit, Debit, Apple Pay")</f>
        <v>Credit, Debit, Apple Pay</v>
      </c>
      <c r="O1024" s="4">
        <f>IFERROR(__xludf.DUMMYFUNCTION("""COMPUTED_VALUE"""),0.0)</f>
        <v>0</v>
      </c>
      <c r="P1024" s="2">
        <f>IFERROR(__xludf.DUMMYFUNCTION("""COMPUTED_VALUE"""),1.0)</f>
        <v>1</v>
      </c>
      <c r="Q1024" s="2">
        <f>IFERROR(__xludf.DUMMYFUNCTION("""COMPUTED_VALUE"""),9.0)</f>
        <v>9</v>
      </c>
      <c r="R1024" s="2">
        <f>IFERROR(__xludf.DUMMYFUNCTION("""COMPUTED_VALUE"""),2025.0)</f>
        <v>2025</v>
      </c>
      <c r="S1024" s="2" t="str">
        <f>IFERROR(__xludf.DUMMYFUNCTION("""COMPUTED_VALUE"""),"Digizag")</f>
        <v>Digizag</v>
      </c>
      <c r="T1024" s="2" t="str">
        <f>IFERROR(__xludf.DUMMYFUNCTION("""COMPUTED_VALUE"""),"Digizag")</f>
        <v>Digizag</v>
      </c>
      <c r="U1024" s="5">
        <f>IFERROR(__xludf.DUMMYFUNCTION("""COMPUTED_VALUE"""),13.6789421598)</f>
        <v>13.67894216</v>
      </c>
      <c r="V1024" s="2"/>
      <c r="W1024" s="2"/>
      <c r="X1024" s="2"/>
      <c r="Y1024" s="2"/>
      <c r="Z1024" s="2"/>
    </row>
    <row r="1025">
      <c r="A1025" s="6">
        <f>IFERROR(__xludf.DUMMYFUNCTION("""COMPUTED_VALUE"""),45901.79295138889)</f>
        <v>45901.79295</v>
      </c>
      <c r="B1025" s="2" t="str">
        <f>IFERROR(__xludf.DUMMYFUNCTION("""COMPUTED_VALUE"""),"September")</f>
        <v>September</v>
      </c>
      <c r="C1025" s="3">
        <f>IFERROR(__xludf.DUMMYFUNCTION("""COMPUTED_VALUE"""),375432.0)</f>
        <v>375432</v>
      </c>
      <c r="D1025" s="2" t="str">
        <f>IFERROR(__xludf.DUMMYFUNCTION("""COMPUTED_VALUE"""),"ZM22")</f>
        <v>ZM22</v>
      </c>
      <c r="E1025" s="2" t="str">
        <f>IFERROR(__xludf.DUMMYFUNCTION("""COMPUTED_VALUE"""),"Imported from file Digizag.xlsx")</f>
        <v>Imported from file Digizag.xlsx</v>
      </c>
      <c r="F1025" s="2" t="str">
        <f>IFERROR(__xludf.DUMMYFUNCTION("""COMPUTED_VALUE"""),"ADV197294")</f>
        <v>ADV197294</v>
      </c>
      <c r="G1025" s="2" t="str">
        <f>IFERROR(__xludf.DUMMYFUNCTION("""COMPUTED_VALUE"""),"Kuwait")</f>
        <v>Kuwait</v>
      </c>
      <c r="H1025" s="4">
        <f>IFERROR(__xludf.DUMMYFUNCTION("""COMPUTED_VALUE"""),2.75)</f>
        <v>2.75</v>
      </c>
      <c r="I1025" s="3">
        <f>IFERROR(__xludf.DUMMYFUNCTION("""COMPUTED_VALUE"""),0.0)</f>
        <v>0</v>
      </c>
      <c r="J1025" s="4">
        <f>IFERROR(__xludf.DUMMYFUNCTION("""COMPUTED_VALUE"""),0.275)</f>
        <v>0.275</v>
      </c>
      <c r="K1025" s="2"/>
      <c r="L1025" s="2" t="str">
        <f>IFERROR(__xludf.DUMMYFUNCTION("""COMPUTED_VALUE"""),"Delivered")</f>
        <v>Delivered</v>
      </c>
      <c r="M1025" s="2" t="str">
        <f>IFERROR(__xludf.DUMMYFUNCTION("""COMPUTED_VALUE"""),"KD")</f>
        <v>KD</v>
      </c>
      <c r="N1025" s="2" t="str">
        <f>IFERROR(__xludf.DUMMYFUNCTION("""COMPUTED_VALUE"""),"Credit, Debit, Knet")</f>
        <v>Credit, Debit, Knet</v>
      </c>
      <c r="O1025" s="4">
        <f>IFERROR(__xludf.DUMMYFUNCTION("""COMPUTED_VALUE"""),0.0)</f>
        <v>0</v>
      </c>
      <c r="P1025" s="2">
        <f>IFERROR(__xludf.DUMMYFUNCTION("""COMPUTED_VALUE"""),1.0)</f>
        <v>1</v>
      </c>
      <c r="Q1025" s="2">
        <f>IFERROR(__xludf.DUMMYFUNCTION("""COMPUTED_VALUE"""),9.0)</f>
        <v>9</v>
      </c>
      <c r="R1025" s="2">
        <f>IFERROR(__xludf.DUMMYFUNCTION("""COMPUTED_VALUE"""),2025.0)</f>
        <v>2025</v>
      </c>
      <c r="S1025" s="2" t="str">
        <f>IFERROR(__xludf.DUMMYFUNCTION("""COMPUTED_VALUE"""),"Digizag")</f>
        <v>Digizag</v>
      </c>
      <c r="T1025" s="2" t="str">
        <f>IFERROR(__xludf.DUMMYFUNCTION("""COMPUTED_VALUE"""),"Digizag")</f>
        <v>Digizag</v>
      </c>
      <c r="U1025" s="5">
        <f>IFERROR(__xludf.DUMMYFUNCTION("""COMPUTED_VALUE"""),8.966705)</f>
        <v>8.966705</v>
      </c>
      <c r="V1025" s="2"/>
      <c r="W1025" s="2"/>
      <c r="X1025" s="2"/>
      <c r="Y1025" s="2"/>
      <c r="Z1025" s="2"/>
    </row>
    <row r="1026">
      <c r="A1026" s="6">
        <f>IFERROR(__xludf.DUMMYFUNCTION("""COMPUTED_VALUE"""),45902.4003125)</f>
        <v>45902.40031</v>
      </c>
      <c r="B1026" s="2" t="str">
        <f>IFERROR(__xludf.DUMMYFUNCTION("""COMPUTED_VALUE"""),"September")</f>
        <v>September</v>
      </c>
      <c r="C1026" s="3">
        <f>IFERROR(__xludf.DUMMYFUNCTION("""COMPUTED_VALUE"""),625620.0)</f>
        <v>625620</v>
      </c>
      <c r="D1026" s="2" t="str">
        <f>IFERROR(__xludf.DUMMYFUNCTION("""COMPUTED_VALUE"""),"ZM22")</f>
        <v>ZM22</v>
      </c>
      <c r="E1026" s="2" t="str">
        <f>IFERROR(__xludf.DUMMYFUNCTION("""COMPUTED_VALUE"""),"Imported from file Digizag.xlsx")</f>
        <v>Imported from file Digizag.xlsx</v>
      </c>
      <c r="F1026" s="2" t="str">
        <f>IFERROR(__xludf.DUMMYFUNCTION("""COMPUTED_VALUE"""),"MAW358093")</f>
        <v>MAW358093</v>
      </c>
      <c r="G1026" s="2" t="str">
        <f>IFERROR(__xludf.DUMMYFUNCTION("""COMPUTED_VALUE"""),"UAE")</f>
        <v>UAE</v>
      </c>
      <c r="H1026" s="4">
        <f>IFERROR(__xludf.DUMMYFUNCTION("""COMPUTED_VALUE"""),102.0)</f>
        <v>102</v>
      </c>
      <c r="I1026" s="3">
        <f>IFERROR(__xludf.DUMMYFUNCTION("""COMPUTED_VALUE"""),0.0)</f>
        <v>0</v>
      </c>
      <c r="J1026" s="4">
        <f>IFERROR(__xludf.DUMMYFUNCTION("""COMPUTED_VALUE"""),10.2)</f>
        <v>10.2</v>
      </c>
      <c r="K1026" s="2"/>
      <c r="L1026" s="2" t="str">
        <f>IFERROR(__xludf.DUMMYFUNCTION("""COMPUTED_VALUE"""),"Delivered")</f>
        <v>Delivered</v>
      </c>
      <c r="M1026" s="2" t="str">
        <f>IFERROR(__xludf.DUMMYFUNCTION("""COMPUTED_VALUE"""),"")</f>
        <v></v>
      </c>
      <c r="N1026" s="2" t="str">
        <f>IFERROR(__xludf.DUMMYFUNCTION("""COMPUTED_VALUE"""),"Credit, Debit , Apple Pay")</f>
        <v>Credit, Debit , Apple Pay</v>
      </c>
      <c r="O1026" s="4">
        <f>IFERROR(__xludf.DUMMYFUNCTION("""COMPUTED_VALUE"""),0.0)</f>
        <v>0</v>
      </c>
      <c r="P1026" s="2">
        <f>IFERROR(__xludf.DUMMYFUNCTION("""COMPUTED_VALUE"""),2.0)</f>
        <v>2</v>
      </c>
      <c r="Q1026" s="2">
        <f>IFERROR(__xludf.DUMMYFUNCTION("""COMPUTED_VALUE"""),9.0)</f>
        <v>9</v>
      </c>
      <c r="R1026" s="2">
        <f>IFERROR(__xludf.DUMMYFUNCTION("""COMPUTED_VALUE"""),2025.0)</f>
        <v>2025</v>
      </c>
      <c r="S1026" s="2" t="str">
        <f>IFERROR(__xludf.DUMMYFUNCTION("""COMPUTED_VALUE"""),"Digizag")</f>
        <v>Digizag</v>
      </c>
      <c r="T1026" s="2" t="str">
        <f>IFERROR(__xludf.DUMMYFUNCTION("""COMPUTED_VALUE"""),"Digizag")</f>
        <v>Digizag</v>
      </c>
      <c r="U1026" s="5">
        <f>IFERROR(__xludf.DUMMYFUNCTION("""COMPUTED_VALUE"""),27.773995956)</f>
        <v>27.77399596</v>
      </c>
      <c r="V1026" s="2"/>
      <c r="W1026" s="2"/>
      <c r="X1026" s="2"/>
      <c r="Y1026" s="2"/>
      <c r="Z1026" s="2"/>
    </row>
    <row r="1027">
      <c r="A1027" s="6">
        <f>IFERROR(__xludf.DUMMYFUNCTION("""COMPUTED_VALUE"""),45902.57009259259)</f>
        <v>45902.57009</v>
      </c>
      <c r="B1027" s="2" t="str">
        <f>IFERROR(__xludf.DUMMYFUNCTION("""COMPUTED_VALUE"""),"September")</f>
        <v>September</v>
      </c>
      <c r="C1027" s="3">
        <f>IFERROR(__xludf.DUMMYFUNCTION("""COMPUTED_VALUE"""),691947.0)</f>
        <v>691947</v>
      </c>
      <c r="D1027" s="2" t="str">
        <f>IFERROR(__xludf.DUMMYFUNCTION("""COMPUTED_VALUE"""),"MNN27")</f>
        <v>MNN27</v>
      </c>
      <c r="E1027" s="2" t="str">
        <f>IFERROR(__xludf.DUMMYFUNCTION("""COMPUTED_VALUE"""),"Imported from file DigiZag Bidding Codes.xlsx")</f>
        <v>Imported from file DigiZag Bidding Codes.xlsx</v>
      </c>
      <c r="F1027" s="2" t="str">
        <f>IFERROR(__xludf.DUMMYFUNCTION("""COMPUTED_VALUE"""),"WUV854145")</f>
        <v>WUV854145</v>
      </c>
      <c r="G1027" s="2" t="str">
        <f>IFERROR(__xludf.DUMMYFUNCTION("""COMPUTED_VALUE"""),"Kingdom of Saudi Arabia")</f>
        <v>Kingdom of Saudi Arabia</v>
      </c>
      <c r="H1027" s="4">
        <f>IFERROR(__xludf.DUMMYFUNCTION("""COMPUTED_VALUE"""),240.83)</f>
        <v>240.83</v>
      </c>
      <c r="I1027" s="3">
        <f>IFERROR(__xludf.DUMMYFUNCTION("""COMPUTED_VALUE"""),0.0)</f>
        <v>0</v>
      </c>
      <c r="J1027" s="4">
        <f>IFERROR(__xludf.DUMMYFUNCTION("""COMPUTED_VALUE"""),30.0)</f>
        <v>30</v>
      </c>
      <c r="K1027" s="2"/>
      <c r="L1027" s="2" t="str">
        <f>IFERROR(__xludf.DUMMYFUNCTION("""COMPUTED_VALUE"""),"Delivered")</f>
        <v>Delivered</v>
      </c>
      <c r="M1027" s="2" t="str">
        <f>IFERROR(__xludf.DUMMYFUNCTION("""COMPUTED_VALUE"""),"")</f>
        <v></v>
      </c>
      <c r="N1027" s="2" t="str">
        <f>IFERROR(__xludf.DUMMYFUNCTION("""COMPUTED_VALUE"""),"Credit, Debit, Apple Pay")</f>
        <v>Credit, Debit, Apple Pay</v>
      </c>
      <c r="O1027" s="4">
        <f>IFERROR(__xludf.DUMMYFUNCTION("""COMPUTED_VALUE"""),0.0)</f>
        <v>0</v>
      </c>
      <c r="P1027" s="2">
        <f>IFERROR(__xludf.DUMMYFUNCTION("""COMPUTED_VALUE"""),2.0)</f>
        <v>2</v>
      </c>
      <c r="Q1027" s="2">
        <f>IFERROR(__xludf.DUMMYFUNCTION("""COMPUTED_VALUE"""),9.0)</f>
        <v>9</v>
      </c>
      <c r="R1027" s="2">
        <f>IFERROR(__xludf.DUMMYFUNCTION("""COMPUTED_VALUE"""),2025.0)</f>
        <v>2025</v>
      </c>
      <c r="S1027" s="2" t="str">
        <f>IFERROR(__xludf.DUMMYFUNCTION("""COMPUTED_VALUE"""),"Digizag")</f>
        <v>Digizag</v>
      </c>
      <c r="T1027" s="2" t="str">
        <f>IFERROR(__xludf.DUMMYFUNCTION("""COMPUTED_VALUE"""),"Digizag")</f>
        <v>Digizag</v>
      </c>
      <c r="U1027" s="5">
        <f>IFERROR(__xludf.DUMMYFUNCTION("""COMPUTED_VALUE"""),64.21636725818001)</f>
        <v>64.21636726</v>
      </c>
      <c r="V1027" s="2"/>
      <c r="W1027" s="2"/>
      <c r="X1027" s="2"/>
      <c r="Y1027" s="2"/>
      <c r="Z1027" s="2"/>
    </row>
    <row r="1028">
      <c r="A1028" s="6">
        <f>IFERROR(__xludf.DUMMYFUNCTION("""COMPUTED_VALUE"""),45902.77780092593)</f>
        <v>45902.7778</v>
      </c>
      <c r="B1028" s="2" t="str">
        <f>IFERROR(__xludf.DUMMYFUNCTION("""COMPUTED_VALUE"""),"September")</f>
        <v>September</v>
      </c>
      <c r="C1028" s="3">
        <f>IFERROR(__xludf.DUMMYFUNCTION("""COMPUTED_VALUE"""),96339.0)</f>
        <v>96339</v>
      </c>
      <c r="D1028" s="2" t="str">
        <f>IFERROR(__xludf.DUMMYFUNCTION("""COMPUTED_VALUE"""),"DB6")</f>
        <v>DB6</v>
      </c>
      <c r="E1028" s="2" t="str">
        <f>IFERROR(__xludf.DUMMYFUNCTION("""COMPUTED_VALUE"""),"Digizag")</f>
        <v>Digizag</v>
      </c>
      <c r="F1028" s="2" t="str">
        <f>IFERROR(__xludf.DUMMYFUNCTION("""COMPUTED_VALUE"""),"TKN628952")</f>
        <v>TKN628952</v>
      </c>
      <c r="G1028" s="2" t="str">
        <f>IFERROR(__xludf.DUMMYFUNCTION("""COMPUTED_VALUE"""),"UAE")</f>
        <v>UAE</v>
      </c>
      <c r="H1028" s="4">
        <f>IFERROR(__xludf.DUMMYFUNCTION("""COMPUTED_VALUE"""),253.0)</f>
        <v>253</v>
      </c>
      <c r="I1028" s="3">
        <f>IFERROR(__xludf.DUMMYFUNCTION("""COMPUTED_VALUE"""),0.0)</f>
        <v>0</v>
      </c>
      <c r="J1028" s="4">
        <f>IFERROR(__xludf.DUMMYFUNCTION("""COMPUTED_VALUE"""),25.3)</f>
        <v>25.3</v>
      </c>
      <c r="K1028" s="2"/>
      <c r="L1028" s="2" t="str">
        <f>IFERROR(__xludf.DUMMYFUNCTION("""COMPUTED_VALUE"""),"Delivered")</f>
        <v>Delivered</v>
      </c>
      <c r="M1028" s="2" t="str">
        <f>IFERROR(__xludf.DUMMYFUNCTION("""COMPUTED_VALUE"""),"")</f>
        <v></v>
      </c>
      <c r="N1028" s="2" t="str">
        <f>IFERROR(__xludf.DUMMYFUNCTION("""COMPUTED_VALUE"""),"Credit, Debit , Apple Pay")</f>
        <v>Credit, Debit , Apple Pay</v>
      </c>
      <c r="O1028" s="4">
        <f>IFERROR(__xludf.DUMMYFUNCTION("""COMPUTED_VALUE"""),0.0)</f>
        <v>0</v>
      </c>
      <c r="P1028" s="2">
        <f>IFERROR(__xludf.DUMMYFUNCTION("""COMPUTED_VALUE"""),2.0)</f>
        <v>2</v>
      </c>
      <c r="Q1028" s="2">
        <f>IFERROR(__xludf.DUMMYFUNCTION("""COMPUTED_VALUE"""),9.0)</f>
        <v>9</v>
      </c>
      <c r="R1028" s="2">
        <f>IFERROR(__xludf.DUMMYFUNCTION("""COMPUTED_VALUE"""),2025.0)</f>
        <v>2025</v>
      </c>
      <c r="S1028" s="2" t="str">
        <f>IFERROR(__xludf.DUMMYFUNCTION("""COMPUTED_VALUE"""),"Digizag")</f>
        <v>Digizag</v>
      </c>
      <c r="T1028" s="2" t="str">
        <f>IFERROR(__xludf.DUMMYFUNCTION("""COMPUTED_VALUE"""),"Digizag")</f>
        <v>Digizag</v>
      </c>
      <c r="U1028" s="5">
        <f>IFERROR(__xludf.DUMMYFUNCTION("""COMPUTED_VALUE"""),68.890401734)</f>
        <v>68.89040173</v>
      </c>
      <c r="V1028" s="2"/>
      <c r="W1028" s="2"/>
      <c r="X1028" s="2"/>
      <c r="Y1028" s="2"/>
      <c r="Z1028" s="2"/>
    </row>
    <row r="1029">
      <c r="A1029" s="6">
        <f>IFERROR(__xludf.DUMMYFUNCTION("""COMPUTED_VALUE"""),45903.338171296295)</f>
        <v>45903.33817</v>
      </c>
      <c r="B1029" s="2" t="str">
        <f>IFERROR(__xludf.DUMMYFUNCTION("""COMPUTED_VALUE"""),"September")</f>
        <v>September</v>
      </c>
      <c r="C1029" s="3">
        <f>IFERROR(__xludf.DUMMYFUNCTION("""COMPUTED_VALUE"""),725763.0)</f>
        <v>725763</v>
      </c>
      <c r="D1029" s="2" t="str">
        <f>IFERROR(__xludf.DUMMYFUNCTION("""COMPUTED_VALUE"""),"JM")</f>
        <v>JM</v>
      </c>
      <c r="E1029" s="2" t="str">
        <f>IFERROR(__xludf.DUMMYFUNCTION("""COMPUTED_VALUE"""),"DigiZag")</f>
        <v>DigiZag</v>
      </c>
      <c r="F1029" s="2" t="str">
        <f>IFERROR(__xludf.DUMMYFUNCTION("""COMPUTED_VALUE"""),"YWK451241")</f>
        <v>YWK451241</v>
      </c>
      <c r="G1029" s="2" t="str">
        <f>IFERROR(__xludf.DUMMYFUNCTION("""COMPUTED_VALUE"""),"Kingdom of Saudi Arabia")</f>
        <v>Kingdom of Saudi Arabia</v>
      </c>
      <c r="H1029" s="4">
        <f>IFERROR(__xludf.DUMMYFUNCTION("""COMPUTED_VALUE"""),150.0)</f>
        <v>150</v>
      </c>
      <c r="I1029" s="3">
        <f>IFERROR(__xludf.DUMMYFUNCTION("""COMPUTED_VALUE"""),0.0)</f>
        <v>0</v>
      </c>
      <c r="J1029" s="4">
        <f>IFERROR(__xludf.DUMMYFUNCTION("""COMPUTED_VALUE"""),30.0)</f>
        <v>30</v>
      </c>
      <c r="K1029" s="2"/>
      <c r="L1029" s="2" t="str">
        <f>IFERROR(__xludf.DUMMYFUNCTION("""COMPUTED_VALUE"""),"Delivered")</f>
        <v>Delivered</v>
      </c>
      <c r="M1029" s="2" t="str">
        <f>IFERROR(__xludf.DUMMYFUNCTION("""COMPUTED_VALUE"""),"")</f>
        <v></v>
      </c>
      <c r="N1029" s="2" t="str">
        <f>IFERROR(__xludf.DUMMYFUNCTION("""COMPUTED_VALUE"""),"Credit, Debit, Apple Pay")</f>
        <v>Credit, Debit, Apple Pay</v>
      </c>
      <c r="O1029" s="4">
        <f>IFERROR(__xludf.DUMMYFUNCTION("""COMPUTED_VALUE"""),0.0)</f>
        <v>0</v>
      </c>
      <c r="P1029" s="2">
        <f>IFERROR(__xludf.DUMMYFUNCTION("""COMPUTED_VALUE"""),3.0)</f>
        <v>3</v>
      </c>
      <c r="Q1029" s="2">
        <f>IFERROR(__xludf.DUMMYFUNCTION("""COMPUTED_VALUE"""),9.0)</f>
        <v>9</v>
      </c>
      <c r="R1029" s="2">
        <f>IFERROR(__xludf.DUMMYFUNCTION("""COMPUTED_VALUE"""),2025.0)</f>
        <v>2025</v>
      </c>
      <c r="S1029" s="2" t="str">
        <f>IFERROR(__xludf.DUMMYFUNCTION("""COMPUTED_VALUE"""),"Digizag")</f>
        <v>Digizag</v>
      </c>
      <c r="T1029" s="2" t="str">
        <f>IFERROR(__xludf.DUMMYFUNCTION("""COMPUTED_VALUE"""),"Digizag")</f>
        <v>Digizag</v>
      </c>
      <c r="U1029" s="5">
        <f>IFERROR(__xludf.DUMMYFUNCTION("""COMPUTED_VALUE"""),39.996906900000006)</f>
        <v>39.9969069</v>
      </c>
      <c r="V1029" s="2"/>
      <c r="W1029" s="2"/>
      <c r="X1029" s="2"/>
      <c r="Y1029" s="2"/>
      <c r="Z1029" s="2"/>
    </row>
    <row r="1030">
      <c r="A1030" s="6">
        <f>IFERROR(__xludf.DUMMYFUNCTION("""COMPUTED_VALUE"""),45903.37908564814)</f>
        <v>45903.37909</v>
      </c>
      <c r="B1030" s="2" t="str">
        <f>IFERROR(__xludf.DUMMYFUNCTION("""COMPUTED_VALUE"""),"September")</f>
        <v>September</v>
      </c>
      <c r="C1030" s="3">
        <f>IFERROR(__xludf.DUMMYFUNCTION("""COMPUTED_VALUE"""),537497.0)</f>
        <v>537497</v>
      </c>
      <c r="D1030" s="2" t="str">
        <f>IFERROR(__xludf.DUMMYFUNCTION("""COMPUTED_VALUE"""),"RR22")</f>
        <v>RR22</v>
      </c>
      <c r="E1030" s="2" t="str">
        <f>IFERROR(__xludf.DUMMYFUNCTION("""COMPUTED_VALUE"""),"Imported from file Digizag.xlsx")</f>
        <v>Imported from file Digizag.xlsx</v>
      </c>
      <c r="F1030" s="2" t="str">
        <f>IFERROR(__xludf.DUMMYFUNCTION("""COMPUTED_VALUE"""),"ZDU616792")</f>
        <v>ZDU616792</v>
      </c>
      <c r="G1030" s="2" t="str">
        <f>IFERROR(__xludf.DUMMYFUNCTION("""COMPUTED_VALUE"""),"UAE")</f>
        <v>UAE</v>
      </c>
      <c r="H1030" s="4">
        <f>IFERROR(__xludf.DUMMYFUNCTION("""COMPUTED_VALUE"""),134.0)</f>
        <v>134</v>
      </c>
      <c r="I1030" s="3">
        <f>IFERROR(__xludf.DUMMYFUNCTION("""COMPUTED_VALUE"""),0.0)</f>
        <v>0</v>
      </c>
      <c r="J1030" s="4">
        <f>IFERROR(__xludf.DUMMYFUNCTION("""COMPUTED_VALUE"""),13.4)</f>
        <v>13.4</v>
      </c>
      <c r="K1030" s="2"/>
      <c r="L1030" s="2" t="str">
        <f>IFERROR(__xludf.DUMMYFUNCTION("""COMPUTED_VALUE"""),"Delivered")</f>
        <v>Delivered</v>
      </c>
      <c r="M1030" s="2" t="str">
        <f>IFERROR(__xludf.DUMMYFUNCTION("""COMPUTED_VALUE"""),"")</f>
        <v></v>
      </c>
      <c r="N1030" s="2" t="str">
        <f>IFERROR(__xludf.DUMMYFUNCTION("""COMPUTED_VALUE"""),"Credit, Debit , Apple Pay")</f>
        <v>Credit, Debit , Apple Pay</v>
      </c>
      <c r="O1030" s="4">
        <f>IFERROR(__xludf.DUMMYFUNCTION("""COMPUTED_VALUE"""),0.0)</f>
        <v>0</v>
      </c>
      <c r="P1030" s="2">
        <f>IFERROR(__xludf.DUMMYFUNCTION("""COMPUTED_VALUE"""),3.0)</f>
        <v>3</v>
      </c>
      <c r="Q1030" s="2">
        <f>IFERROR(__xludf.DUMMYFUNCTION("""COMPUTED_VALUE"""),9.0)</f>
        <v>9</v>
      </c>
      <c r="R1030" s="2">
        <f>IFERROR(__xludf.DUMMYFUNCTION("""COMPUTED_VALUE"""),2025.0)</f>
        <v>2025</v>
      </c>
      <c r="S1030" s="2" t="str">
        <f>IFERROR(__xludf.DUMMYFUNCTION("""COMPUTED_VALUE"""),"Digizag")</f>
        <v>Digizag</v>
      </c>
      <c r="T1030" s="2" t="str">
        <f>IFERROR(__xludf.DUMMYFUNCTION("""COMPUTED_VALUE"""),"Digizag")</f>
        <v>Digizag</v>
      </c>
      <c r="U1030" s="5">
        <f>IFERROR(__xludf.DUMMYFUNCTION("""COMPUTED_VALUE"""),36.487406452)</f>
        <v>36.48740645</v>
      </c>
      <c r="V1030" s="2"/>
      <c r="W1030" s="2"/>
      <c r="X1030" s="2"/>
      <c r="Y1030" s="2"/>
      <c r="Z1030" s="2"/>
    </row>
    <row r="1031">
      <c r="A1031" s="6">
        <f>IFERROR(__xludf.DUMMYFUNCTION("""COMPUTED_VALUE"""),45903.38864583333)</f>
        <v>45903.38865</v>
      </c>
      <c r="B1031" s="2" t="str">
        <f>IFERROR(__xludf.DUMMYFUNCTION("""COMPUTED_VALUE"""),"September")</f>
        <v>September</v>
      </c>
      <c r="C1031" s="3">
        <f>IFERROR(__xludf.DUMMYFUNCTION("""COMPUTED_VALUE"""),100219.0)</f>
        <v>100219</v>
      </c>
      <c r="D1031" s="2" t="str">
        <f>IFERROR(__xludf.DUMMYFUNCTION("""COMPUTED_VALUE"""),"CC22")</f>
        <v>CC22</v>
      </c>
      <c r="E1031" s="2" t="str">
        <f>IFERROR(__xludf.DUMMYFUNCTION("""COMPUTED_VALUE"""),"Imported from file Digizag.xlsx")</f>
        <v>Imported from file Digizag.xlsx</v>
      </c>
      <c r="F1031" s="2" t="str">
        <f>IFERROR(__xludf.DUMMYFUNCTION("""COMPUTED_VALUE"""),"WCY189872")</f>
        <v>WCY189872</v>
      </c>
      <c r="G1031" s="2" t="str">
        <f>IFERROR(__xludf.DUMMYFUNCTION("""COMPUTED_VALUE"""),"Kingdom of Saudi Arabia")</f>
        <v>Kingdom of Saudi Arabia</v>
      </c>
      <c r="H1031" s="4">
        <f>IFERROR(__xludf.DUMMYFUNCTION("""COMPUTED_VALUE"""),306.3)</f>
        <v>306.3</v>
      </c>
      <c r="I1031" s="3">
        <f>IFERROR(__xludf.DUMMYFUNCTION("""COMPUTED_VALUE"""),0.0)</f>
        <v>0</v>
      </c>
      <c r="J1031" s="4">
        <f>IFERROR(__xludf.DUMMYFUNCTION("""COMPUTED_VALUE"""),30.0)</f>
        <v>30</v>
      </c>
      <c r="K1031" s="2"/>
      <c r="L1031" s="2" t="str">
        <f>IFERROR(__xludf.DUMMYFUNCTION("""COMPUTED_VALUE"""),"Delivered")</f>
        <v>Delivered</v>
      </c>
      <c r="M1031" s="2" t="str">
        <f>IFERROR(__xludf.DUMMYFUNCTION("""COMPUTED_VALUE"""),"")</f>
        <v></v>
      </c>
      <c r="N1031" s="2" t="str">
        <f>IFERROR(__xludf.DUMMYFUNCTION("""COMPUTED_VALUE"""),"Credit, Debit, Apple Pay")</f>
        <v>Credit, Debit, Apple Pay</v>
      </c>
      <c r="O1031" s="4">
        <f>IFERROR(__xludf.DUMMYFUNCTION("""COMPUTED_VALUE"""),0.0)</f>
        <v>0</v>
      </c>
      <c r="P1031" s="2">
        <f>IFERROR(__xludf.DUMMYFUNCTION("""COMPUTED_VALUE"""),3.0)</f>
        <v>3</v>
      </c>
      <c r="Q1031" s="2">
        <f>IFERROR(__xludf.DUMMYFUNCTION("""COMPUTED_VALUE"""),9.0)</f>
        <v>9</v>
      </c>
      <c r="R1031" s="2">
        <f>IFERROR(__xludf.DUMMYFUNCTION("""COMPUTED_VALUE"""),2025.0)</f>
        <v>2025</v>
      </c>
      <c r="S1031" s="2" t="str">
        <f>IFERROR(__xludf.DUMMYFUNCTION("""COMPUTED_VALUE"""),"Digizag")</f>
        <v>Digizag</v>
      </c>
      <c r="T1031" s="2" t="str">
        <f>IFERROR(__xludf.DUMMYFUNCTION("""COMPUTED_VALUE"""),"Digizag")</f>
        <v>Digizag</v>
      </c>
      <c r="U1031" s="5">
        <f>IFERROR(__xludf.DUMMYFUNCTION("""COMPUTED_VALUE"""),81.67368388980002)</f>
        <v>81.67368389</v>
      </c>
      <c r="V1031" s="2"/>
      <c r="W1031" s="2"/>
      <c r="X1031" s="2"/>
      <c r="Y1031" s="2"/>
      <c r="Z1031" s="2"/>
    </row>
    <row r="1032">
      <c r="A1032" s="6">
        <f>IFERROR(__xludf.DUMMYFUNCTION("""COMPUTED_VALUE"""),45903.45684027777)</f>
        <v>45903.45684</v>
      </c>
      <c r="B1032" s="2" t="str">
        <f>IFERROR(__xludf.DUMMYFUNCTION("""COMPUTED_VALUE"""),"September")</f>
        <v>September</v>
      </c>
      <c r="C1032" s="3">
        <f>IFERROR(__xludf.DUMMYFUNCTION("""COMPUTED_VALUE"""),248397.0)</f>
        <v>248397</v>
      </c>
      <c r="D1032" s="2" t="str">
        <f>IFERROR(__xludf.DUMMYFUNCTION("""COMPUTED_VALUE"""),"DB6")</f>
        <v>DB6</v>
      </c>
      <c r="E1032" s="2" t="str">
        <f>IFERROR(__xludf.DUMMYFUNCTION("""COMPUTED_VALUE"""),"Digizag")</f>
        <v>Digizag</v>
      </c>
      <c r="F1032" s="2" t="str">
        <f>IFERROR(__xludf.DUMMYFUNCTION("""COMPUTED_VALUE"""),"CVU510355")</f>
        <v>CVU510355</v>
      </c>
      <c r="G1032" s="2" t="str">
        <f>IFERROR(__xludf.DUMMYFUNCTION("""COMPUTED_VALUE"""),"Kingdom of Saudi Arabia")</f>
        <v>Kingdom of Saudi Arabia</v>
      </c>
      <c r="H1032" s="4">
        <f>IFERROR(__xludf.DUMMYFUNCTION("""COMPUTED_VALUE"""),185.67)</f>
        <v>185.67</v>
      </c>
      <c r="I1032" s="3">
        <f>IFERROR(__xludf.DUMMYFUNCTION("""COMPUTED_VALUE"""),0.0)</f>
        <v>0</v>
      </c>
      <c r="J1032" s="4">
        <f>IFERROR(__xludf.DUMMYFUNCTION("""COMPUTED_VALUE"""),30.0)</f>
        <v>30</v>
      </c>
      <c r="K1032" s="2"/>
      <c r="L1032" s="2" t="str">
        <f>IFERROR(__xludf.DUMMYFUNCTION("""COMPUTED_VALUE"""),"Delivered")</f>
        <v>Delivered</v>
      </c>
      <c r="M1032" s="2" t="str">
        <f>IFERROR(__xludf.DUMMYFUNCTION("""COMPUTED_VALUE"""),"")</f>
        <v></v>
      </c>
      <c r="N1032" s="2" t="str">
        <f>IFERROR(__xludf.DUMMYFUNCTION("""COMPUTED_VALUE"""),"Credit, Debit, Apple Pay")</f>
        <v>Credit, Debit, Apple Pay</v>
      </c>
      <c r="O1032" s="4">
        <f>IFERROR(__xludf.DUMMYFUNCTION("""COMPUTED_VALUE"""),0.0)</f>
        <v>0</v>
      </c>
      <c r="P1032" s="2">
        <f>IFERROR(__xludf.DUMMYFUNCTION("""COMPUTED_VALUE"""),3.0)</f>
        <v>3</v>
      </c>
      <c r="Q1032" s="2">
        <f>IFERROR(__xludf.DUMMYFUNCTION("""COMPUTED_VALUE"""),9.0)</f>
        <v>9</v>
      </c>
      <c r="R1032" s="2">
        <f>IFERROR(__xludf.DUMMYFUNCTION("""COMPUTED_VALUE"""),2025.0)</f>
        <v>2025</v>
      </c>
      <c r="S1032" s="2" t="str">
        <f>IFERROR(__xludf.DUMMYFUNCTION("""COMPUTED_VALUE"""),"Digizag")</f>
        <v>Digizag</v>
      </c>
      <c r="T1032" s="2" t="str">
        <f>IFERROR(__xludf.DUMMYFUNCTION("""COMPUTED_VALUE"""),"Digizag")</f>
        <v>Digizag</v>
      </c>
      <c r="U1032" s="5">
        <f>IFERROR(__xludf.DUMMYFUNCTION("""COMPUTED_VALUE"""),49.50817136082)</f>
        <v>49.50817136</v>
      </c>
      <c r="V1032" s="2"/>
      <c r="W1032" s="2"/>
      <c r="X1032" s="2"/>
      <c r="Y1032" s="2"/>
      <c r="Z1032" s="2"/>
    </row>
    <row r="1033">
      <c r="A1033" s="6">
        <f>IFERROR(__xludf.DUMMYFUNCTION("""COMPUTED_VALUE"""),45903.46148148148)</f>
        <v>45903.46148</v>
      </c>
      <c r="B1033" s="2" t="str">
        <f>IFERROR(__xludf.DUMMYFUNCTION("""COMPUTED_VALUE"""),"September")</f>
        <v>September</v>
      </c>
      <c r="C1033" s="3">
        <f>IFERROR(__xludf.DUMMYFUNCTION("""COMPUTED_VALUE"""),794291.0)</f>
        <v>794291</v>
      </c>
      <c r="D1033" s="2" t="str">
        <f>IFERROR(__xludf.DUMMYFUNCTION("""COMPUTED_VALUE"""),"MNN27")</f>
        <v>MNN27</v>
      </c>
      <c r="E1033" s="2" t="str">
        <f>IFERROR(__xludf.DUMMYFUNCTION("""COMPUTED_VALUE"""),"Imported from file DigiZag Bidding Codes.xlsx")</f>
        <v>Imported from file DigiZag Bidding Codes.xlsx</v>
      </c>
      <c r="F1033" s="2" t="str">
        <f>IFERROR(__xludf.DUMMYFUNCTION("""COMPUTED_VALUE"""),"KML329371")</f>
        <v>KML329371</v>
      </c>
      <c r="G1033" s="2" t="str">
        <f>IFERROR(__xludf.DUMMYFUNCTION("""COMPUTED_VALUE"""),"Kingdom of Saudi Arabia")</f>
        <v>Kingdom of Saudi Arabia</v>
      </c>
      <c r="H1033" s="4">
        <f>IFERROR(__xludf.DUMMYFUNCTION("""COMPUTED_VALUE"""),169.0)</f>
        <v>169</v>
      </c>
      <c r="I1033" s="3">
        <f>IFERROR(__xludf.DUMMYFUNCTION("""COMPUTED_VALUE"""),0.0)</f>
        <v>0</v>
      </c>
      <c r="J1033" s="4">
        <f>IFERROR(__xludf.DUMMYFUNCTION("""COMPUTED_VALUE"""),30.0)</f>
        <v>30</v>
      </c>
      <c r="K1033" s="2"/>
      <c r="L1033" s="2" t="str">
        <f>IFERROR(__xludf.DUMMYFUNCTION("""COMPUTED_VALUE"""),"Delivered")</f>
        <v>Delivered</v>
      </c>
      <c r="M1033" s="2" t="str">
        <f>IFERROR(__xludf.DUMMYFUNCTION("""COMPUTED_VALUE"""),"")</f>
        <v></v>
      </c>
      <c r="N1033" s="2" t="str">
        <f>IFERROR(__xludf.DUMMYFUNCTION("""COMPUTED_VALUE"""),"Cash")</f>
        <v>Cash</v>
      </c>
      <c r="O1033" s="4">
        <f>IFERROR(__xludf.DUMMYFUNCTION("""COMPUTED_VALUE"""),0.0)</f>
        <v>0</v>
      </c>
      <c r="P1033" s="2">
        <f>IFERROR(__xludf.DUMMYFUNCTION("""COMPUTED_VALUE"""),3.0)</f>
        <v>3</v>
      </c>
      <c r="Q1033" s="2">
        <f>IFERROR(__xludf.DUMMYFUNCTION("""COMPUTED_VALUE"""),9.0)</f>
        <v>9</v>
      </c>
      <c r="R1033" s="2">
        <f>IFERROR(__xludf.DUMMYFUNCTION("""COMPUTED_VALUE"""),2025.0)</f>
        <v>2025</v>
      </c>
      <c r="S1033" s="2" t="str">
        <f>IFERROR(__xludf.DUMMYFUNCTION("""COMPUTED_VALUE"""),"Digizag")</f>
        <v>Digizag</v>
      </c>
      <c r="T1033" s="2" t="str">
        <f>IFERROR(__xludf.DUMMYFUNCTION("""COMPUTED_VALUE"""),"Digizag")</f>
        <v>Digizag</v>
      </c>
      <c r="U1033" s="5">
        <f>IFERROR(__xludf.DUMMYFUNCTION("""COMPUTED_VALUE"""),45.06318177400001)</f>
        <v>45.06318177</v>
      </c>
      <c r="V1033" s="2"/>
      <c r="W1033" s="2"/>
      <c r="X1033" s="2"/>
      <c r="Y1033" s="2"/>
      <c r="Z1033" s="2"/>
    </row>
    <row r="1034">
      <c r="A1034" s="6">
        <f>IFERROR(__xludf.DUMMYFUNCTION("""COMPUTED_VALUE"""),45903.56827546296)</f>
        <v>45903.56828</v>
      </c>
      <c r="B1034" s="2" t="str">
        <f>IFERROR(__xludf.DUMMYFUNCTION("""COMPUTED_VALUE"""),"September")</f>
        <v>September</v>
      </c>
      <c r="C1034" s="3">
        <f>IFERROR(__xludf.DUMMYFUNCTION("""COMPUTED_VALUE"""),794635.0)</f>
        <v>794635</v>
      </c>
      <c r="D1034" s="2" t="str">
        <f>IFERROR(__xludf.DUMMYFUNCTION("""COMPUTED_VALUE"""),"MNN27")</f>
        <v>MNN27</v>
      </c>
      <c r="E1034" s="2" t="str">
        <f>IFERROR(__xludf.DUMMYFUNCTION("""COMPUTED_VALUE"""),"Imported from file DigiZag Bidding Codes.xlsx")</f>
        <v>Imported from file DigiZag Bidding Codes.xlsx</v>
      </c>
      <c r="F1034" s="2" t="str">
        <f>IFERROR(__xludf.DUMMYFUNCTION("""COMPUTED_VALUE"""),"XXW868561")</f>
        <v>XXW868561</v>
      </c>
      <c r="G1034" s="2" t="str">
        <f>IFERROR(__xludf.DUMMYFUNCTION("""COMPUTED_VALUE"""),"Kingdom of Saudi Arabia")</f>
        <v>Kingdom of Saudi Arabia</v>
      </c>
      <c r="H1034" s="4">
        <f>IFERROR(__xludf.DUMMYFUNCTION("""COMPUTED_VALUE"""),58.21)</f>
        <v>58.21</v>
      </c>
      <c r="I1034" s="3">
        <f>IFERROR(__xludf.DUMMYFUNCTION("""COMPUTED_VALUE"""),0.0)</f>
        <v>0</v>
      </c>
      <c r="J1034" s="4">
        <f>IFERROR(__xludf.DUMMYFUNCTION("""COMPUTED_VALUE"""),14.55)</f>
        <v>14.55</v>
      </c>
      <c r="K1034" s="2"/>
      <c r="L1034" s="2" t="str">
        <f>IFERROR(__xludf.DUMMYFUNCTION("""COMPUTED_VALUE"""),"Delivered")</f>
        <v>Delivered</v>
      </c>
      <c r="M1034" s="2" t="str">
        <f>IFERROR(__xludf.DUMMYFUNCTION("""COMPUTED_VALUE"""),"")</f>
        <v></v>
      </c>
      <c r="N1034" s="2" t="str">
        <f>IFERROR(__xludf.DUMMYFUNCTION("""COMPUTED_VALUE"""),"Credit, Debit, Apple Pay")</f>
        <v>Credit, Debit, Apple Pay</v>
      </c>
      <c r="O1034" s="4">
        <f>IFERROR(__xludf.DUMMYFUNCTION("""COMPUTED_VALUE"""),0.0)</f>
        <v>0</v>
      </c>
      <c r="P1034" s="2">
        <f>IFERROR(__xludf.DUMMYFUNCTION("""COMPUTED_VALUE"""),3.0)</f>
        <v>3</v>
      </c>
      <c r="Q1034" s="2">
        <f>IFERROR(__xludf.DUMMYFUNCTION("""COMPUTED_VALUE"""),9.0)</f>
        <v>9</v>
      </c>
      <c r="R1034" s="2">
        <f>IFERROR(__xludf.DUMMYFUNCTION("""COMPUTED_VALUE"""),2025.0)</f>
        <v>2025</v>
      </c>
      <c r="S1034" s="2" t="str">
        <f>IFERROR(__xludf.DUMMYFUNCTION("""COMPUTED_VALUE"""),"Digizag")</f>
        <v>Digizag</v>
      </c>
      <c r="T1034" s="2" t="str">
        <f>IFERROR(__xludf.DUMMYFUNCTION("""COMPUTED_VALUE"""),"Digizag")</f>
        <v>Digizag</v>
      </c>
      <c r="U1034" s="5">
        <f>IFERROR(__xludf.DUMMYFUNCTION("""COMPUTED_VALUE"""),15.521466337660001)</f>
        <v>15.52146634</v>
      </c>
      <c r="V1034" s="2"/>
      <c r="W1034" s="2"/>
      <c r="X1034" s="2"/>
      <c r="Y1034" s="2"/>
      <c r="Z1034" s="2"/>
    </row>
    <row r="1035">
      <c r="A1035" s="6">
        <f>IFERROR(__xludf.DUMMYFUNCTION("""COMPUTED_VALUE"""),45903.57976851852)</f>
        <v>45903.57977</v>
      </c>
      <c r="B1035" s="2" t="str">
        <f>IFERROR(__xludf.DUMMYFUNCTION("""COMPUTED_VALUE"""),"September")</f>
        <v>September</v>
      </c>
      <c r="C1035" s="3">
        <f>IFERROR(__xludf.DUMMYFUNCTION("""COMPUTED_VALUE"""),129266.0)</f>
        <v>129266</v>
      </c>
      <c r="D1035" s="2" t="str">
        <f>IFERROR(__xludf.DUMMYFUNCTION("""COMPUTED_VALUE"""),"JM")</f>
        <v>JM</v>
      </c>
      <c r="E1035" s="2" t="str">
        <f>IFERROR(__xludf.DUMMYFUNCTION("""COMPUTED_VALUE"""),"DigiZag")</f>
        <v>DigiZag</v>
      </c>
      <c r="F1035" s="2" t="str">
        <f>IFERROR(__xludf.DUMMYFUNCTION("""COMPUTED_VALUE"""),"SXZ226629")</f>
        <v>SXZ226629</v>
      </c>
      <c r="G1035" s="2" t="str">
        <f>IFERROR(__xludf.DUMMYFUNCTION("""COMPUTED_VALUE"""),"UAE")</f>
        <v>UAE</v>
      </c>
      <c r="H1035" s="4">
        <f>IFERROR(__xludf.DUMMYFUNCTION("""COMPUTED_VALUE"""),169.0)</f>
        <v>169</v>
      </c>
      <c r="I1035" s="3">
        <f>IFERROR(__xludf.DUMMYFUNCTION("""COMPUTED_VALUE"""),0.0)</f>
        <v>0</v>
      </c>
      <c r="J1035" s="4">
        <f>IFERROR(__xludf.DUMMYFUNCTION("""COMPUTED_VALUE"""),16.9)</f>
        <v>16.9</v>
      </c>
      <c r="K1035" s="2"/>
      <c r="L1035" s="2" t="str">
        <f>IFERROR(__xludf.DUMMYFUNCTION("""COMPUTED_VALUE"""),"Delivered")</f>
        <v>Delivered</v>
      </c>
      <c r="M1035" s="2" t="str">
        <f>IFERROR(__xludf.DUMMYFUNCTION("""COMPUTED_VALUE"""),"")</f>
        <v></v>
      </c>
      <c r="N1035" s="2" t="str">
        <f>IFERROR(__xludf.DUMMYFUNCTION("""COMPUTED_VALUE"""),"Credit, Debit , Apple Pay")</f>
        <v>Credit, Debit , Apple Pay</v>
      </c>
      <c r="O1035" s="4">
        <f>IFERROR(__xludf.DUMMYFUNCTION("""COMPUTED_VALUE"""),0.0)</f>
        <v>0</v>
      </c>
      <c r="P1035" s="2">
        <f>IFERROR(__xludf.DUMMYFUNCTION("""COMPUTED_VALUE"""),3.0)</f>
        <v>3</v>
      </c>
      <c r="Q1035" s="2">
        <f>IFERROR(__xludf.DUMMYFUNCTION("""COMPUTED_VALUE"""),9.0)</f>
        <v>9</v>
      </c>
      <c r="R1035" s="2">
        <f>IFERROR(__xludf.DUMMYFUNCTION("""COMPUTED_VALUE"""),2025.0)</f>
        <v>2025</v>
      </c>
      <c r="S1035" s="2" t="str">
        <f>IFERROR(__xludf.DUMMYFUNCTION("""COMPUTED_VALUE"""),"Digizag")</f>
        <v>Digizag</v>
      </c>
      <c r="T1035" s="2" t="str">
        <f>IFERROR(__xludf.DUMMYFUNCTION("""COMPUTED_VALUE"""),"Digizag")</f>
        <v>Digizag</v>
      </c>
      <c r="U1035" s="5">
        <f>IFERROR(__xludf.DUMMYFUNCTION("""COMPUTED_VALUE"""),46.017699182)</f>
        <v>46.01769918</v>
      </c>
      <c r="V1035" s="2"/>
      <c r="W1035" s="2"/>
      <c r="X1035" s="2"/>
      <c r="Y1035" s="2"/>
      <c r="Z1035" s="2"/>
    </row>
    <row r="1036">
      <c r="A1036" s="6">
        <f>IFERROR(__xludf.DUMMYFUNCTION("""COMPUTED_VALUE"""),45903.593877314815)</f>
        <v>45903.59388</v>
      </c>
      <c r="B1036" s="2" t="str">
        <f>IFERROR(__xludf.DUMMYFUNCTION("""COMPUTED_VALUE"""),"September")</f>
        <v>September</v>
      </c>
      <c r="C1036" s="3">
        <f>IFERROR(__xludf.DUMMYFUNCTION("""COMPUTED_VALUE"""),5377.0)</f>
        <v>5377</v>
      </c>
      <c r="D1036" s="2" t="str">
        <f>IFERROR(__xludf.DUMMYFUNCTION("""COMPUTED_VALUE"""),"DB6")</f>
        <v>DB6</v>
      </c>
      <c r="E1036" s="2" t="str">
        <f>IFERROR(__xludf.DUMMYFUNCTION("""COMPUTED_VALUE"""),"Digizag")</f>
        <v>Digizag</v>
      </c>
      <c r="F1036" s="2" t="str">
        <f>IFERROR(__xludf.DUMMYFUNCTION("""COMPUTED_VALUE"""),"YLW225623")</f>
        <v>YLW225623</v>
      </c>
      <c r="G1036" s="2" t="str">
        <f>IFERROR(__xludf.DUMMYFUNCTION("""COMPUTED_VALUE"""),"Kuwait")</f>
        <v>Kuwait</v>
      </c>
      <c r="H1036" s="4">
        <f>IFERROR(__xludf.DUMMYFUNCTION("""COMPUTED_VALUE"""),8.95)</f>
        <v>8.95</v>
      </c>
      <c r="I1036" s="3">
        <f>IFERROR(__xludf.DUMMYFUNCTION("""COMPUTED_VALUE"""),0.0)</f>
        <v>0</v>
      </c>
      <c r="J1036" s="4">
        <f>IFERROR(__xludf.DUMMYFUNCTION("""COMPUTED_VALUE"""),0.895)</f>
        <v>0.895</v>
      </c>
      <c r="K1036" s="2"/>
      <c r="L1036" s="2" t="str">
        <f>IFERROR(__xludf.DUMMYFUNCTION("""COMPUTED_VALUE"""),"Delivered")</f>
        <v>Delivered</v>
      </c>
      <c r="M1036" s="2" t="str">
        <f>IFERROR(__xludf.DUMMYFUNCTION("""COMPUTED_VALUE"""),"KD")</f>
        <v>KD</v>
      </c>
      <c r="N1036" s="2" t="str">
        <f>IFERROR(__xludf.DUMMYFUNCTION("""COMPUTED_VALUE"""),"Credit, Debit, Knet")</f>
        <v>Credit, Debit, Knet</v>
      </c>
      <c r="O1036" s="4">
        <f>IFERROR(__xludf.DUMMYFUNCTION("""COMPUTED_VALUE"""),0.0)</f>
        <v>0</v>
      </c>
      <c r="P1036" s="2">
        <f>IFERROR(__xludf.DUMMYFUNCTION("""COMPUTED_VALUE"""),3.0)</f>
        <v>3</v>
      </c>
      <c r="Q1036" s="2">
        <f>IFERROR(__xludf.DUMMYFUNCTION("""COMPUTED_VALUE"""),9.0)</f>
        <v>9</v>
      </c>
      <c r="R1036" s="2">
        <f>IFERROR(__xludf.DUMMYFUNCTION("""COMPUTED_VALUE"""),2025.0)</f>
        <v>2025</v>
      </c>
      <c r="S1036" s="2" t="str">
        <f>IFERROR(__xludf.DUMMYFUNCTION("""COMPUTED_VALUE"""),"Digizag")</f>
        <v>Digizag</v>
      </c>
      <c r="T1036" s="2" t="str">
        <f>IFERROR(__xludf.DUMMYFUNCTION("""COMPUTED_VALUE"""),"Digizag")</f>
        <v>Digizag</v>
      </c>
      <c r="U1036" s="5">
        <f>IFERROR(__xludf.DUMMYFUNCTION("""COMPUTED_VALUE"""),29.182548999999998)</f>
        <v>29.182549</v>
      </c>
      <c r="V1036" s="2"/>
      <c r="W1036" s="2"/>
      <c r="X1036" s="2"/>
      <c r="Y1036" s="2"/>
      <c r="Z1036" s="2"/>
    </row>
    <row r="1037">
      <c r="A1037" s="6">
        <f>IFERROR(__xludf.DUMMYFUNCTION("""COMPUTED_VALUE"""),45903.660578703704)</f>
        <v>45903.66058</v>
      </c>
      <c r="B1037" s="2" t="str">
        <f>IFERROR(__xludf.DUMMYFUNCTION("""COMPUTED_VALUE"""),"September")</f>
        <v>September</v>
      </c>
      <c r="C1037" s="3">
        <f>IFERROR(__xludf.DUMMYFUNCTION("""COMPUTED_VALUE"""),723093.0)</f>
        <v>723093</v>
      </c>
      <c r="D1037" s="2" t="str">
        <f>IFERROR(__xludf.DUMMYFUNCTION("""COMPUTED_VALUE"""),"MNN27")</f>
        <v>MNN27</v>
      </c>
      <c r="E1037" s="2" t="str">
        <f>IFERROR(__xludf.DUMMYFUNCTION("""COMPUTED_VALUE"""),"Imported from file DigiZag Codes 25Feb25.xlsx")</f>
        <v>Imported from file DigiZag Codes 25Feb25.xlsx</v>
      </c>
      <c r="F1037" s="2" t="str">
        <f>IFERROR(__xludf.DUMMYFUNCTION("""COMPUTED_VALUE"""),"NZJ760585")</f>
        <v>NZJ760585</v>
      </c>
      <c r="G1037" s="2" t="str">
        <f>IFERROR(__xludf.DUMMYFUNCTION("""COMPUTED_VALUE"""),"Kuwait")</f>
        <v>Kuwait</v>
      </c>
      <c r="H1037" s="4">
        <f>IFERROR(__xludf.DUMMYFUNCTION("""COMPUTED_VALUE"""),9.45)</f>
        <v>9.45</v>
      </c>
      <c r="I1037" s="3">
        <f>IFERROR(__xludf.DUMMYFUNCTION("""COMPUTED_VALUE"""),0.0)</f>
        <v>0</v>
      </c>
      <c r="J1037" s="4">
        <f>IFERROR(__xludf.DUMMYFUNCTION("""COMPUTED_VALUE"""),0.945)</f>
        <v>0.945</v>
      </c>
      <c r="K1037" s="2"/>
      <c r="L1037" s="2" t="str">
        <f>IFERROR(__xludf.DUMMYFUNCTION("""COMPUTED_VALUE"""),"Delivered")</f>
        <v>Delivered</v>
      </c>
      <c r="M1037" s="2" t="str">
        <f>IFERROR(__xludf.DUMMYFUNCTION("""COMPUTED_VALUE"""),"KD")</f>
        <v>KD</v>
      </c>
      <c r="N1037" s="2" t="str">
        <f>IFERROR(__xludf.DUMMYFUNCTION("""COMPUTED_VALUE"""),"Credit, Debit, Knet")</f>
        <v>Credit, Debit, Knet</v>
      </c>
      <c r="O1037" s="4">
        <f>IFERROR(__xludf.DUMMYFUNCTION("""COMPUTED_VALUE"""),0.0)</f>
        <v>0</v>
      </c>
      <c r="P1037" s="2">
        <f>IFERROR(__xludf.DUMMYFUNCTION("""COMPUTED_VALUE"""),3.0)</f>
        <v>3</v>
      </c>
      <c r="Q1037" s="2">
        <f>IFERROR(__xludf.DUMMYFUNCTION("""COMPUTED_VALUE"""),9.0)</f>
        <v>9</v>
      </c>
      <c r="R1037" s="2">
        <f>IFERROR(__xludf.DUMMYFUNCTION("""COMPUTED_VALUE"""),2025.0)</f>
        <v>2025</v>
      </c>
      <c r="S1037" s="2" t="str">
        <f>IFERROR(__xludf.DUMMYFUNCTION("""COMPUTED_VALUE"""),"Digizag")</f>
        <v>Digizag</v>
      </c>
      <c r="T1037" s="2" t="str">
        <f>IFERROR(__xludf.DUMMYFUNCTION("""COMPUTED_VALUE"""),"Digizag")</f>
        <v>Digizag</v>
      </c>
      <c r="U1037" s="5">
        <f>IFERROR(__xludf.DUMMYFUNCTION("""COMPUTED_VALUE"""),30.812858999999996)</f>
        <v>30.812859</v>
      </c>
      <c r="V1037" s="2"/>
      <c r="W1037" s="2"/>
      <c r="X1037" s="2"/>
      <c r="Y1037" s="2"/>
      <c r="Z1037" s="2"/>
    </row>
    <row r="1038">
      <c r="A1038" s="6">
        <f>IFERROR(__xludf.DUMMYFUNCTION("""COMPUTED_VALUE"""),45903.66284722222)</f>
        <v>45903.66285</v>
      </c>
      <c r="B1038" s="2" t="str">
        <f>IFERROR(__xludf.DUMMYFUNCTION("""COMPUTED_VALUE"""),"September")</f>
        <v>September</v>
      </c>
      <c r="C1038" s="3">
        <f>IFERROR(__xludf.DUMMYFUNCTION("""COMPUTED_VALUE"""),160339.0)</f>
        <v>160339</v>
      </c>
      <c r="D1038" s="2" t="str">
        <f>IFERROR(__xludf.DUMMYFUNCTION("""COMPUTED_VALUE"""),"MNN37")</f>
        <v>MNN37</v>
      </c>
      <c r="E1038" s="2" t="str">
        <f>IFERROR(__xludf.DUMMYFUNCTION("""COMPUTED_VALUE"""),"Imported from file DigiZag Bidding Codes.xlsx")</f>
        <v>Imported from file DigiZag Bidding Codes.xlsx</v>
      </c>
      <c r="F1038" s="2" t="str">
        <f>IFERROR(__xludf.DUMMYFUNCTION("""COMPUTED_VALUE"""),"XCP721408")</f>
        <v>XCP721408</v>
      </c>
      <c r="G1038" s="2" t="str">
        <f>IFERROR(__xludf.DUMMYFUNCTION("""COMPUTED_VALUE"""),"Kingdom of Saudi Arabia")</f>
        <v>Kingdom of Saudi Arabia</v>
      </c>
      <c r="H1038" s="4">
        <f>IFERROR(__xludf.DUMMYFUNCTION("""COMPUTED_VALUE"""),166.98)</f>
        <v>166.98</v>
      </c>
      <c r="I1038" s="3">
        <f>IFERROR(__xludf.DUMMYFUNCTION("""COMPUTED_VALUE"""),0.0)</f>
        <v>0</v>
      </c>
      <c r="J1038" s="4">
        <f>IFERROR(__xludf.DUMMYFUNCTION("""COMPUTED_VALUE"""),30.0)</f>
        <v>30</v>
      </c>
      <c r="K1038" s="2"/>
      <c r="L1038" s="2" t="str">
        <f>IFERROR(__xludf.DUMMYFUNCTION("""COMPUTED_VALUE"""),"Delivered")</f>
        <v>Delivered</v>
      </c>
      <c r="M1038" s="2" t="str">
        <f>IFERROR(__xludf.DUMMYFUNCTION("""COMPUTED_VALUE"""),"")</f>
        <v></v>
      </c>
      <c r="N1038" s="2" t="str">
        <f>IFERROR(__xludf.DUMMYFUNCTION("""COMPUTED_VALUE"""),"Credit, Debit, Apple Pay")</f>
        <v>Credit, Debit, Apple Pay</v>
      </c>
      <c r="O1038" s="4">
        <f>IFERROR(__xludf.DUMMYFUNCTION("""COMPUTED_VALUE"""),0.0)</f>
        <v>0</v>
      </c>
      <c r="P1038" s="2">
        <f>IFERROR(__xludf.DUMMYFUNCTION("""COMPUTED_VALUE"""),3.0)</f>
        <v>3</v>
      </c>
      <c r="Q1038" s="2">
        <f>IFERROR(__xludf.DUMMYFUNCTION("""COMPUTED_VALUE"""),9.0)</f>
        <v>9</v>
      </c>
      <c r="R1038" s="2">
        <f>IFERROR(__xludf.DUMMYFUNCTION("""COMPUTED_VALUE"""),2025.0)</f>
        <v>2025</v>
      </c>
      <c r="S1038" s="2" t="str">
        <f>IFERROR(__xludf.DUMMYFUNCTION("""COMPUTED_VALUE"""),"Digizag")</f>
        <v>Digizag</v>
      </c>
      <c r="T1038" s="2" t="str">
        <f>IFERROR(__xludf.DUMMYFUNCTION("""COMPUTED_VALUE"""),"Digizag")</f>
        <v>Digizag</v>
      </c>
      <c r="U1038" s="5">
        <f>IFERROR(__xludf.DUMMYFUNCTION("""COMPUTED_VALUE"""),44.52455676108)</f>
        <v>44.52455676</v>
      </c>
      <c r="V1038" s="2"/>
      <c r="W1038" s="2"/>
      <c r="X1038" s="2"/>
      <c r="Y1038" s="2"/>
      <c r="Z1038" s="2"/>
    </row>
    <row r="1039">
      <c r="A1039" s="6">
        <f>IFERROR(__xludf.DUMMYFUNCTION("""COMPUTED_VALUE"""),45903.73379629629)</f>
        <v>45903.7338</v>
      </c>
      <c r="B1039" s="2" t="str">
        <f>IFERROR(__xludf.DUMMYFUNCTION("""COMPUTED_VALUE"""),"September")</f>
        <v>September</v>
      </c>
      <c r="C1039" s="3">
        <f>IFERROR(__xludf.DUMMYFUNCTION("""COMPUTED_VALUE"""),389469.0)</f>
        <v>389469</v>
      </c>
      <c r="D1039" s="2" t="str">
        <f>IFERROR(__xludf.DUMMYFUNCTION("""COMPUTED_VALUE"""),"DB6")</f>
        <v>DB6</v>
      </c>
      <c r="E1039" s="2" t="str">
        <f>IFERROR(__xludf.DUMMYFUNCTION("""COMPUTED_VALUE"""),"Digizag")</f>
        <v>Digizag</v>
      </c>
      <c r="F1039" s="2" t="str">
        <f>IFERROR(__xludf.DUMMYFUNCTION("""COMPUTED_VALUE"""),"DHK266653")</f>
        <v>DHK266653</v>
      </c>
      <c r="G1039" s="2" t="str">
        <f>IFERROR(__xludf.DUMMYFUNCTION("""COMPUTED_VALUE"""),"UAE")</f>
        <v>UAE</v>
      </c>
      <c r="H1039" s="4">
        <f>IFERROR(__xludf.DUMMYFUNCTION("""COMPUTED_VALUE"""),335.98)</f>
        <v>335.98</v>
      </c>
      <c r="I1039" s="3">
        <f>IFERROR(__xludf.DUMMYFUNCTION("""COMPUTED_VALUE"""),0.0)</f>
        <v>0</v>
      </c>
      <c r="J1039" s="4">
        <f>IFERROR(__xludf.DUMMYFUNCTION("""COMPUTED_VALUE"""),33.59)</f>
        <v>33.59</v>
      </c>
      <c r="K1039" s="2"/>
      <c r="L1039" s="2" t="str">
        <f>IFERROR(__xludf.DUMMYFUNCTION("""COMPUTED_VALUE"""),"Delivered")</f>
        <v>Delivered</v>
      </c>
      <c r="M1039" s="2" t="str">
        <f>IFERROR(__xludf.DUMMYFUNCTION("""COMPUTED_VALUE"""),"")</f>
        <v></v>
      </c>
      <c r="N1039" s="2" t="str">
        <f>IFERROR(__xludf.DUMMYFUNCTION("""COMPUTED_VALUE"""),"Credit, Debit , Apple Pay")</f>
        <v>Credit, Debit , Apple Pay</v>
      </c>
      <c r="O1039" s="4">
        <f>IFERROR(__xludf.DUMMYFUNCTION("""COMPUTED_VALUE"""),0.0)</f>
        <v>0</v>
      </c>
      <c r="P1039" s="2">
        <f>IFERROR(__xludf.DUMMYFUNCTION("""COMPUTED_VALUE"""),3.0)</f>
        <v>3</v>
      </c>
      <c r="Q1039" s="2">
        <f>IFERROR(__xludf.DUMMYFUNCTION("""COMPUTED_VALUE"""),9.0)</f>
        <v>9</v>
      </c>
      <c r="R1039" s="2">
        <f>IFERROR(__xludf.DUMMYFUNCTION("""COMPUTED_VALUE"""),2025.0)</f>
        <v>2025</v>
      </c>
      <c r="S1039" s="2" t="str">
        <f>IFERROR(__xludf.DUMMYFUNCTION("""COMPUTED_VALUE"""),"Digizag")</f>
        <v>Digizag</v>
      </c>
      <c r="T1039" s="2" t="str">
        <f>IFERROR(__xludf.DUMMYFUNCTION("""COMPUTED_VALUE"""),"Digizag")</f>
        <v>Digizag</v>
      </c>
      <c r="U1039" s="5">
        <f>IFERROR(__xludf.DUMMYFUNCTION("""COMPUTED_VALUE"""),91.48536432644)</f>
        <v>91.48536433</v>
      </c>
      <c r="V1039" s="2"/>
      <c r="W1039" s="2"/>
      <c r="X1039" s="2"/>
      <c r="Y1039" s="2"/>
      <c r="Z1039" s="2"/>
    </row>
    <row r="1040">
      <c r="A1040" s="6">
        <f>IFERROR(__xludf.DUMMYFUNCTION("""COMPUTED_VALUE"""),45903.79876157407)</f>
        <v>45903.79876</v>
      </c>
      <c r="B1040" s="2" t="str">
        <f>IFERROR(__xludf.DUMMYFUNCTION("""COMPUTED_VALUE"""),"September")</f>
        <v>September</v>
      </c>
      <c r="C1040" s="3">
        <f>IFERROR(__xludf.DUMMYFUNCTION("""COMPUTED_VALUE"""),592870.0)</f>
        <v>592870</v>
      </c>
      <c r="D1040" s="2" t="str">
        <f>IFERROR(__xludf.DUMMYFUNCTION("""COMPUTED_VALUE"""),"JM")</f>
        <v>JM</v>
      </c>
      <c r="E1040" s="2" t="str">
        <f>IFERROR(__xludf.DUMMYFUNCTION("""COMPUTED_VALUE"""),"DigiZag")</f>
        <v>DigiZag</v>
      </c>
      <c r="F1040" s="2" t="str">
        <f>IFERROR(__xludf.DUMMYFUNCTION("""COMPUTED_VALUE"""),"WGV799105")</f>
        <v>WGV799105</v>
      </c>
      <c r="G1040" s="2" t="str">
        <f>IFERROR(__xludf.DUMMYFUNCTION("""COMPUTED_VALUE"""),"Kingdom of Saudi Arabia")</f>
        <v>Kingdom of Saudi Arabia</v>
      </c>
      <c r="H1040" s="4">
        <f>IFERROR(__xludf.DUMMYFUNCTION("""COMPUTED_VALUE"""),142.56)</f>
        <v>142.56</v>
      </c>
      <c r="I1040" s="3">
        <f>IFERROR(__xludf.DUMMYFUNCTION("""COMPUTED_VALUE"""),0.0)</f>
        <v>0</v>
      </c>
      <c r="J1040" s="4">
        <f>IFERROR(__xludf.DUMMYFUNCTION("""COMPUTED_VALUE"""),30.0)</f>
        <v>30</v>
      </c>
      <c r="K1040" s="2"/>
      <c r="L1040" s="2" t="str">
        <f>IFERROR(__xludf.DUMMYFUNCTION("""COMPUTED_VALUE"""),"Delivered")</f>
        <v>Delivered</v>
      </c>
      <c r="M1040" s="2" t="str">
        <f>IFERROR(__xludf.DUMMYFUNCTION("""COMPUTED_VALUE"""),"")</f>
        <v></v>
      </c>
      <c r="N1040" s="2" t="str">
        <f>IFERROR(__xludf.DUMMYFUNCTION("""COMPUTED_VALUE"""),"Credit, Debit, Apple Pay")</f>
        <v>Credit, Debit, Apple Pay</v>
      </c>
      <c r="O1040" s="4">
        <f>IFERROR(__xludf.DUMMYFUNCTION("""COMPUTED_VALUE"""),0.0)</f>
        <v>0</v>
      </c>
      <c r="P1040" s="2">
        <f>IFERROR(__xludf.DUMMYFUNCTION("""COMPUTED_VALUE"""),3.0)</f>
        <v>3</v>
      </c>
      <c r="Q1040" s="2">
        <f>IFERROR(__xludf.DUMMYFUNCTION("""COMPUTED_VALUE"""),9.0)</f>
        <v>9</v>
      </c>
      <c r="R1040" s="2">
        <f>IFERROR(__xludf.DUMMYFUNCTION("""COMPUTED_VALUE"""),2025.0)</f>
        <v>2025</v>
      </c>
      <c r="S1040" s="2" t="str">
        <f>IFERROR(__xludf.DUMMYFUNCTION("""COMPUTED_VALUE"""),"Digizag")</f>
        <v>Digizag</v>
      </c>
      <c r="T1040" s="2" t="str">
        <f>IFERROR(__xludf.DUMMYFUNCTION("""COMPUTED_VALUE"""),"Digizag")</f>
        <v>Digizag</v>
      </c>
      <c r="U1040" s="5">
        <f>IFERROR(__xludf.DUMMYFUNCTION("""COMPUTED_VALUE"""),38.01306031776)</f>
        <v>38.01306032</v>
      </c>
      <c r="V1040" s="2"/>
      <c r="W1040" s="2"/>
      <c r="X1040" s="2"/>
      <c r="Y1040" s="2"/>
      <c r="Z1040" s="2"/>
    </row>
    <row r="1041">
      <c r="A1041" s="6">
        <f>IFERROR(__xludf.DUMMYFUNCTION("""COMPUTED_VALUE"""),45903.82678240741)</f>
        <v>45903.82678</v>
      </c>
      <c r="B1041" s="2" t="str">
        <f>IFERROR(__xludf.DUMMYFUNCTION("""COMPUTED_VALUE"""),"September")</f>
        <v>September</v>
      </c>
      <c r="C1041" s="3">
        <f>IFERROR(__xludf.DUMMYFUNCTION("""COMPUTED_VALUE"""),406927.0)</f>
        <v>406927</v>
      </c>
      <c r="D1041" s="2" t="str">
        <f>IFERROR(__xludf.DUMMYFUNCTION("""COMPUTED_VALUE"""),"DB7")</f>
        <v>DB7</v>
      </c>
      <c r="E1041" s="2" t="str">
        <f>IFERROR(__xludf.DUMMYFUNCTION("""COMPUTED_VALUE"""),"Digizag")</f>
        <v>Digizag</v>
      </c>
      <c r="F1041" s="2" t="str">
        <f>IFERROR(__xludf.DUMMYFUNCTION("""COMPUTED_VALUE"""),"NJU911151")</f>
        <v>NJU911151</v>
      </c>
      <c r="G1041" s="2" t="str">
        <f>IFERROR(__xludf.DUMMYFUNCTION("""COMPUTED_VALUE"""),"Kingdom of Saudi Arabia")</f>
        <v>Kingdom of Saudi Arabia</v>
      </c>
      <c r="H1041" s="4">
        <f>IFERROR(__xludf.DUMMYFUNCTION("""COMPUTED_VALUE"""),430.0)</f>
        <v>430</v>
      </c>
      <c r="I1041" s="3">
        <f>IFERROR(__xludf.DUMMYFUNCTION("""COMPUTED_VALUE"""),0.0)</f>
        <v>0</v>
      </c>
      <c r="J1041" s="4">
        <f>IFERROR(__xludf.DUMMYFUNCTION("""COMPUTED_VALUE"""),30.0)</f>
        <v>30</v>
      </c>
      <c r="K1041" s="2"/>
      <c r="L1041" s="2" t="str">
        <f>IFERROR(__xludf.DUMMYFUNCTION("""COMPUTED_VALUE"""),"Delivered")</f>
        <v>Delivered</v>
      </c>
      <c r="M1041" s="2" t="str">
        <f>IFERROR(__xludf.DUMMYFUNCTION("""COMPUTED_VALUE"""),"")</f>
        <v></v>
      </c>
      <c r="N1041" s="2" t="str">
        <f>IFERROR(__xludf.DUMMYFUNCTION("""COMPUTED_VALUE"""),"Credit, Debit, Apple Pay")</f>
        <v>Credit, Debit, Apple Pay</v>
      </c>
      <c r="O1041" s="4">
        <f>IFERROR(__xludf.DUMMYFUNCTION("""COMPUTED_VALUE"""),0.0)</f>
        <v>0</v>
      </c>
      <c r="P1041" s="2">
        <f>IFERROR(__xludf.DUMMYFUNCTION("""COMPUTED_VALUE"""),3.0)</f>
        <v>3</v>
      </c>
      <c r="Q1041" s="2">
        <f>IFERROR(__xludf.DUMMYFUNCTION("""COMPUTED_VALUE"""),9.0)</f>
        <v>9</v>
      </c>
      <c r="R1041" s="2">
        <f>IFERROR(__xludf.DUMMYFUNCTION("""COMPUTED_VALUE"""),2025.0)</f>
        <v>2025</v>
      </c>
      <c r="S1041" s="2" t="str">
        <f>IFERROR(__xludf.DUMMYFUNCTION("""COMPUTED_VALUE"""),"Digizag")</f>
        <v>Digizag</v>
      </c>
      <c r="T1041" s="2" t="str">
        <f>IFERROR(__xludf.DUMMYFUNCTION("""COMPUTED_VALUE"""),"Digizag")</f>
        <v>Digizag</v>
      </c>
      <c r="U1041" s="5">
        <f>IFERROR(__xludf.DUMMYFUNCTION("""COMPUTED_VALUE"""),114.65779978)</f>
        <v>114.6577998</v>
      </c>
      <c r="V1041" s="2"/>
      <c r="W1041" s="2"/>
      <c r="X1041" s="2"/>
      <c r="Y1041" s="2"/>
      <c r="Z1041" s="2"/>
    </row>
    <row r="1042">
      <c r="A1042" s="6">
        <f>IFERROR(__xludf.DUMMYFUNCTION("""COMPUTED_VALUE"""),45903.87611111111)</f>
        <v>45903.87611</v>
      </c>
      <c r="B1042" s="2" t="str">
        <f>IFERROR(__xludf.DUMMYFUNCTION("""COMPUTED_VALUE"""),"September")</f>
        <v>September</v>
      </c>
      <c r="C1042" s="3">
        <f>IFERROR(__xludf.DUMMYFUNCTION("""COMPUTED_VALUE"""),770974.0)</f>
        <v>770974</v>
      </c>
      <c r="D1042" s="2" t="str">
        <f>IFERROR(__xludf.DUMMYFUNCTION("""COMPUTED_VALUE"""),"MNN27")</f>
        <v>MNN27</v>
      </c>
      <c r="E1042" s="2" t="str">
        <f>IFERROR(__xludf.DUMMYFUNCTION("""COMPUTED_VALUE"""),"Imported from file DigiZag Bidding Codes.xlsx")</f>
        <v>Imported from file DigiZag Bidding Codes.xlsx</v>
      </c>
      <c r="F1042" s="2" t="str">
        <f>IFERROR(__xludf.DUMMYFUNCTION("""COMPUTED_VALUE"""),"LBA172621")</f>
        <v>LBA172621</v>
      </c>
      <c r="G1042" s="2" t="str">
        <f>IFERROR(__xludf.DUMMYFUNCTION("""COMPUTED_VALUE"""),"Kingdom of Saudi Arabia")</f>
        <v>Kingdom of Saudi Arabia</v>
      </c>
      <c r="H1042" s="4">
        <f>IFERROR(__xludf.DUMMYFUNCTION("""COMPUTED_VALUE"""),161.82)</f>
        <v>161.82</v>
      </c>
      <c r="I1042" s="3">
        <f>IFERROR(__xludf.DUMMYFUNCTION("""COMPUTED_VALUE"""),0.0)</f>
        <v>0</v>
      </c>
      <c r="J1042" s="4">
        <f>IFERROR(__xludf.DUMMYFUNCTION("""COMPUTED_VALUE"""),30.0)</f>
        <v>30</v>
      </c>
      <c r="K1042" s="2"/>
      <c r="L1042" s="2" t="str">
        <f>IFERROR(__xludf.DUMMYFUNCTION("""COMPUTED_VALUE"""),"Delivered")</f>
        <v>Delivered</v>
      </c>
      <c r="M1042" s="2" t="str">
        <f>IFERROR(__xludf.DUMMYFUNCTION("""COMPUTED_VALUE"""),"")</f>
        <v></v>
      </c>
      <c r="N1042" s="2" t="str">
        <f>IFERROR(__xludf.DUMMYFUNCTION("""COMPUTED_VALUE"""),"Credit, Debit, Apple Pay")</f>
        <v>Credit, Debit, Apple Pay</v>
      </c>
      <c r="O1042" s="4">
        <f>IFERROR(__xludf.DUMMYFUNCTION("""COMPUTED_VALUE"""),0.0)</f>
        <v>0</v>
      </c>
      <c r="P1042" s="2">
        <f>IFERROR(__xludf.DUMMYFUNCTION("""COMPUTED_VALUE"""),3.0)</f>
        <v>3</v>
      </c>
      <c r="Q1042" s="2">
        <f>IFERROR(__xludf.DUMMYFUNCTION("""COMPUTED_VALUE"""),9.0)</f>
        <v>9</v>
      </c>
      <c r="R1042" s="2">
        <f>IFERROR(__xludf.DUMMYFUNCTION("""COMPUTED_VALUE"""),2025.0)</f>
        <v>2025</v>
      </c>
      <c r="S1042" s="2" t="str">
        <f>IFERROR(__xludf.DUMMYFUNCTION("""COMPUTED_VALUE"""),"Digizag")</f>
        <v>Digizag</v>
      </c>
      <c r="T1042" s="2" t="str">
        <f>IFERROR(__xludf.DUMMYFUNCTION("""COMPUTED_VALUE"""),"Digizag")</f>
        <v>Digizag</v>
      </c>
      <c r="U1042" s="5">
        <f>IFERROR(__xludf.DUMMYFUNCTION("""COMPUTED_VALUE"""),43.14866316372)</f>
        <v>43.14866316</v>
      </c>
      <c r="V1042" s="2"/>
      <c r="W1042" s="2"/>
      <c r="X1042" s="2"/>
      <c r="Y1042" s="2"/>
      <c r="Z1042" s="2"/>
    </row>
    <row r="1043">
      <c r="A1043" s="6">
        <f>IFERROR(__xludf.DUMMYFUNCTION("""COMPUTED_VALUE"""),45903.96068287037)</f>
        <v>45903.96068</v>
      </c>
      <c r="B1043" s="2" t="str">
        <f>IFERROR(__xludf.DUMMYFUNCTION("""COMPUTED_VALUE"""),"September")</f>
        <v>September</v>
      </c>
      <c r="C1043" s="3">
        <f>IFERROR(__xludf.DUMMYFUNCTION("""COMPUTED_VALUE"""),395162.0)</f>
        <v>395162</v>
      </c>
      <c r="D1043" s="2" t="str">
        <f>IFERROR(__xludf.DUMMYFUNCTION("""COMPUTED_VALUE"""),"JM")</f>
        <v>JM</v>
      </c>
      <c r="E1043" s="2" t="str">
        <f>IFERROR(__xludf.DUMMYFUNCTION("""COMPUTED_VALUE"""),"DigiZag")</f>
        <v>DigiZag</v>
      </c>
      <c r="F1043" s="2" t="str">
        <f>IFERROR(__xludf.DUMMYFUNCTION("""COMPUTED_VALUE"""),"EUW640562")</f>
        <v>EUW640562</v>
      </c>
      <c r="G1043" s="2" t="str">
        <f>IFERROR(__xludf.DUMMYFUNCTION("""COMPUTED_VALUE"""),"Bahrain")</f>
        <v>Bahrain</v>
      </c>
      <c r="H1043" s="4">
        <f>IFERROR(__xludf.DUMMYFUNCTION("""COMPUTED_VALUE"""),26.8)</f>
        <v>26.8</v>
      </c>
      <c r="I1043" s="3">
        <f>IFERROR(__xludf.DUMMYFUNCTION("""COMPUTED_VALUE"""),0.0)</f>
        <v>0</v>
      </c>
      <c r="J1043" s="4">
        <f>IFERROR(__xludf.DUMMYFUNCTION("""COMPUTED_VALUE"""),2.68)</f>
        <v>2.68</v>
      </c>
      <c r="K1043" s="2"/>
      <c r="L1043" s="2" t="str">
        <f>IFERROR(__xludf.DUMMYFUNCTION("""COMPUTED_VALUE"""),"Delivered")</f>
        <v>Delivered</v>
      </c>
      <c r="M1043" s="2" t="str">
        <f>IFERROR(__xludf.DUMMYFUNCTION("""COMPUTED_VALUE"""),"BHD")</f>
        <v>BHD</v>
      </c>
      <c r="N1043" s="2" t="str">
        <f>IFERROR(__xludf.DUMMYFUNCTION("""COMPUTED_VALUE"""),"Credit, Debit")</f>
        <v>Credit, Debit</v>
      </c>
      <c r="O1043" s="4">
        <f>IFERROR(__xludf.DUMMYFUNCTION("""COMPUTED_VALUE"""),0.0)</f>
        <v>0</v>
      </c>
      <c r="P1043" s="2">
        <f>IFERROR(__xludf.DUMMYFUNCTION("""COMPUTED_VALUE"""),3.0)</f>
        <v>3</v>
      </c>
      <c r="Q1043" s="2">
        <f>IFERROR(__xludf.DUMMYFUNCTION("""COMPUTED_VALUE"""),9.0)</f>
        <v>9</v>
      </c>
      <c r="R1043" s="2">
        <f>IFERROR(__xludf.DUMMYFUNCTION("""COMPUTED_VALUE"""),2025.0)</f>
        <v>2025</v>
      </c>
      <c r="S1043" s="2" t="str">
        <f>IFERROR(__xludf.DUMMYFUNCTION("""COMPUTED_VALUE"""),"Digizag")</f>
        <v>Digizag</v>
      </c>
      <c r="T1043" s="2" t="str">
        <f>IFERROR(__xludf.DUMMYFUNCTION("""COMPUTED_VALUE"""),"Digizag")</f>
        <v>Digizag</v>
      </c>
      <c r="U1043" s="5">
        <f>IFERROR(__xludf.DUMMYFUNCTION("""COMPUTED_VALUE"""),71.0981756)</f>
        <v>71.0981756</v>
      </c>
      <c r="V1043" s="2"/>
      <c r="W1043" s="2"/>
      <c r="X1043" s="2"/>
      <c r="Y1043" s="2"/>
      <c r="Z1043" s="2"/>
    </row>
    <row r="1044">
      <c r="A1044" s="6">
        <f>IFERROR(__xludf.DUMMYFUNCTION("""COMPUTED_VALUE"""),45903.973020833335)</f>
        <v>45903.97302</v>
      </c>
      <c r="B1044" s="2" t="str">
        <f>IFERROR(__xludf.DUMMYFUNCTION("""COMPUTED_VALUE"""),"September")</f>
        <v>September</v>
      </c>
      <c r="C1044" s="3">
        <f>IFERROR(__xludf.DUMMYFUNCTION("""COMPUTED_VALUE"""),792467.0)</f>
        <v>792467</v>
      </c>
      <c r="D1044" s="2" t="str">
        <f>IFERROR(__xludf.DUMMYFUNCTION("""COMPUTED_VALUE"""),"MNN27")</f>
        <v>MNN27</v>
      </c>
      <c r="E1044" s="2" t="str">
        <f>IFERROR(__xludf.DUMMYFUNCTION("""COMPUTED_VALUE"""),"Imported from file DigiZag Codes 25Feb25.xlsx")</f>
        <v>Imported from file DigiZag Codes 25Feb25.xlsx</v>
      </c>
      <c r="F1044" s="2" t="str">
        <f>IFERROR(__xludf.DUMMYFUNCTION("""COMPUTED_VALUE"""),"TSL430412")</f>
        <v>TSL430412</v>
      </c>
      <c r="G1044" s="2" t="str">
        <f>IFERROR(__xludf.DUMMYFUNCTION("""COMPUTED_VALUE"""),"Kuwait")</f>
        <v>Kuwait</v>
      </c>
      <c r="H1044" s="4">
        <f>IFERROR(__xludf.DUMMYFUNCTION("""COMPUTED_VALUE"""),5.0)</f>
        <v>5</v>
      </c>
      <c r="I1044" s="3">
        <f>IFERROR(__xludf.DUMMYFUNCTION("""COMPUTED_VALUE"""),0.0)</f>
        <v>0</v>
      </c>
      <c r="J1044" s="4">
        <f>IFERROR(__xludf.DUMMYFUNCTION("""COMPUTED_VALUE"""),0.5)</f>
        <v>0.5</v>
      </c>
      <c r="K1044" s="2"/>
      <c r="L1044" s="2" t="str">
        <f>IFERROR(__xludf.DUMMYFUNCTION("""COMPUTED_VALUE"""),"Delivered")</f>
        <v>Delivered</v>
      </c>
      <c r="M1044" s="2" t="str">
        <f>IFERROR(__xludf.DUMMYFUNCTION("""COMPUTED_VALUE"""),"KD")</f>
        <v>KD</v>
      </c>
      <c r="N1044" s="2" t="str">
        <f>IFERROR(__xludf.DUMMYFUNCTION("""COMPUTED_VALUE"""),"Credit, Debit, Knet")</f>
        <v>Credit, Debit, Knet</v>
      </c>
      <c r="O1044" s="4">
        <f>IFERROR(__xludf.DUMMYFUNCTION("""COMPUTED_VALUE"""),0.0)</f>
        <v>0</v>
      </c>
      <c r="P1044" s="2">
        <f>IFERROR(__xludf.DUMMYFUNCTION("""COMPUTED_VALUE"""),3.0)</f>
        <v>3</v>
      </c>
      <c r="Q1044" s="2">
        <f>IFERROR(__xludf.DUMMYFUNCTION("""COMPUTED_VALUE"""),9.0)</f>
        <v>9</v>
      </c>
      <c r="R1044" s="2">
        <f>IFERROR(__xludf.DUMMYFUNCTION("""COMPUTED_VALUE"""),2025.0)</f>
        <v>2025</v>
      </c>
      <c r="S1044" s="2" t="str">
        <f>IFERROR(__xludf.DUMMYFUNCTION("""COMPUTED_VALUE"""),"Digizag")</f>
        <v>Digizag</v>
      </c>
      <c r="T1044" s="2" t="str">
        <f>IFERROR(__xludf.DUMMYFUNCTION("""COMPUTED_VALUE"""),"Digizag")</f>
        <v>Digizag</v>
      </c>
      <c r="U1044" s="5">
        <f>IFERROR(__xludf.DUMMYFUNCTION("""COMPUTED_VALUE"""),16.3031)</f>
        <v>16.3031</v>
      </c>
      <c r="V1044" s="2"/>
      <c r="W1044" s="2"/>
      <c r="X1044" s="2"/>
      <c r="Y1044" s="2"/>
      <c r="Z1044" s="2"/>
    </row>
    <row r="1045">
      <c r="A1045" s="6">
        <f>IFERROR(__xludf.DUMMYFUNCTION("""COMPUTED_VALUE"""),45904.26416666667)</f>
        <v>45904.26417</v>
      </c>
      <c r="B1045" s="2" t="str">
        <f>IFERROR(__xludf.DUMMYFUNCTION("""COMPUTED_VALUE"""),"September")</f>
        <v>September</v>
      </c>
      <c r="C1045" s="3">
        <f>IFERROR(__xludf.DUMMYFUNCTION("""COMPUTED_VALUE"""),12400.0)</f>
        <v>12400</v>
      </c>
      <c r="D1045" s="2" t="str">
        <f>IFERROR(__xludf.DUMMYFUNCTION("""COMPUTED_VALUE"""),"DB7")</f>
        <v>DB7</v>
      </c>
      <c r="E1045" s="2" t="str">
        <f>IFERROR(__xludf.DUMMYFUNCTION("""COMPUTED_VALUE"""),"Digizag")</f>
        <v>Digizag</v>
      </c>
      <c r="F1045" s="2" t="str">
        <f>IFERROR(__xludf.DUMMYFUNCTION("""COMPUTED_VALUE"""),"NEH785264")</f>
        <v>NEH785264</v>
      </c>
      <c r="G1045" s="2" t="str">
        <f>IFERROR(__xludf.DUMMYFUNCTION("""COMPUTED_VALUE"""),"Kingdom of Saudi Arabia")</f>
        <v>Kingdom of Saudi Arabia</v>
      </c>
      <c r="H1045" s="4">
        <f>IFERROR(__xludf.DUMMYFUNCTION("""COMPUTED_VALUE"""),133.0)</f>
        <v>133</v>
      </c>
      <c r="I1045" s="3">
        <f>IFERROR(__xludf.DUMMYFUNCTION("""COMPUTED_VALUE"""),0.0)</f>
        <v>0</v>
      </c>
      <c r="J1045" s="4">
        <f>IFERROR(__xludf.DUMMYFUNCTION("""COMPUTED_VALUE"""),30.0)</f>
        <v>30</v>
      </c>
      <c r="K1045" s="2"/>
      <c r="L1045" s="2" t="str">
        <f>IFERROR(__xludf.DUMMYFUNCTION("""COMPUTED_VALUE"""),"Delivered")</f>
        <v>Delivered</v>
      </c>
      <c r="M1045" s="2" t="str">
        <f>IFERROR(__xludf.DUMMYFUNCTION("""COMPUTED_VALUE"""),"")</f>
        <v></v>
      </c>
      <c r="N1045" s="2" t="str">
        <f>IFERROR(__xludf.DUMMYFUNCTION("""COMPUTED_VALUE"""),"Credit, Debit, Apple Pay")</f>
        <v>Credit, Debit, Apple Pay</v>
      </c>
      <c r="O1045" s="4">
        <f>IFERROR(__xludf.DUMMYFUNCTION("""COMPUTED_VALUE"""),0.0)</f>
        <v>0</v>
      </c>
      <c r="P1045" s="2">
        <f>IFERROR(__xludf.DUMMYFUNCTION("""COMPUTED_VALUE"""),4.0)</f>
        <v>4</v>
      </c>
      <c r="Q1045" s="2">
        <f>IFERROR(__xludf.DUMMYFUNCTION("""COMPUTED_VALUE"""),9.0)</f>
        <v>9</v>
      </c>
      <c r="R1045" s="2">
        <f>IFERROR(__xludf.DUMMYFUNCTION("""COMPUTED_VALUE"""),2025.0)</f>
        <v>2025</v>
      </c>
      <c r="S1045" s="2" t="str">
        <f>IFERROR(__xludf.DUMMYFUNCTION("""COMPUTED_VALUE"""),"Digizag")</f>
        <v>Digizag</v>
      </c>
      <c r="T1045" s="2" t="str">
        <f>IFERROR(__xludf.DUMMYFUNCTION("""COMPUTED_VALUE"""),"Digizag")</f>
        <v>Digizag</v>
      </c>
      <c r="U1045" s="5">
        <f>IFERROR(__xludf.DUMMYFUNCTION("""COMPUTED_VALUE"""),35.463924118)</f>
        <v>35.46392412</v>
      </c>
      <c r="V1045" s="2"/>
      <c r="W1045" s="2"/>
      <c r="X1045" s="2"/>
      <c r="Y1045" s="2"/>
      <c r="Z1045" s="2"/>
    </row>
    <row r="1046">
      <c r="A1046" s="6">
        <f>IFERROR(__xludf.DUMMYFUNCTION("""COMPUTED_VALUE"""),45904.457037037035)</f>
        <v>45904.45704</v>
      </c>
      <c r="B1046" s="2" t="str">
        <f>IFERROR(__xludf.DUMMYFUNCTION("""COMPUTED_VALUE"""),"September")</f>
        <v>September</v>
      </c>
      <c r="C1046" s="3">
        <f>IFERROR(__xludf.DUMMYFUNCTION("""COMPUTED_VALUE"""),795784.0)</f>
        <v>795784</v>
      </c>
      <c r="D1046" s="2" t="str">
        <f>IFERROR(__xludf.DUMMYFUNCTION("""COMPUTED_VALUE"""),"JM")</f>
        <v>JM</v>
      </c>
      <c r="E1046" s="2" t="str">
        <f>IFERROR(__xludf.DUMMYFUNCTION("""COMPUTED_VALUE"""),"DigiZag")</f>
        <v>DigiZag</v>
      </c>
      <c r="F1046" s="2" t="str">
        <f>IFERROR(__xludf.DUMMYFUNCTION("""COMPUTED_VALUE"""),"CXE494425")</f>
        <v>CXE494425</v>
      </c>
      <c r="G1046" s="2" t="str">
        <f>IFERROR(__xludf.DUMMYFUNCTION("""COMPUTED_VALUE"""),"UAE")</f>
        <v>UAE</v>
      </c>
      <c r="H1046" s="4">
        <f>IFERROR(__xludf.DUMMYFUNCTION("""COMPUTED_VALUE"""),136.0)</f>
        <v>136</v>
      </c>
      <c r="I1046" s="3">
        <f>IFERROR(__xludf.DUMMYFUNCTION("""COMPUTED_VALUE"""),0.0)</f>
        <v>0</v>
      </c>
      <c r="J1046" s="4">
        <f>IFERROR(__xludf.DUMMYFUNCTION("""COMPUTED_VALUE"""),13.6)</f>
        <v>13.6</v>
      </c>
      <c r="K1046" s="2"/>
      <c r="L1046" s="2" t="str">
        <f>IFERROR(__xludf.DUMMYFUNCTION("""COMPUTED_VALUE"""),"Delivered")</f>
        <v>Delivered</v>
      </c>
      <c r="M1046" s="2" t="str">
        <f>IFERROR(__xludf.DUMMYFUNCTION("""COMPUTED_VALUE"""),"")</f>
        <v></v>
      </c>
      <c r="N1046" s="2" t="str">
        <f>IFERROR(__xludf.DUMMYFUNCTION("""COMPUTED_VALUE"""),"Credit, Debit , Apple Pay")</f>
        <v>Credit, Debit , Apple Pay</v>
      </c>
      <c r="O1046" s="4">
        <f>IFERROR(__xludf.DUMMYFUNCTION("""COMPUTED_VALUE"""),0.0)</f>
        <v>0</v>
      </c>
      <c r="P1046" s="2">
        <f>IFERROR(__xludf.DUMMYFUNCTION("""COMPUTED_VALUE"""),4.0)</f>
        <v>4</v>
      </c>
      <c r="Q1046" s="2">
        <f>IFERROR(__xludf.DUMMYFUNCTION("""COMPUTED_VALUE"""),9.0)</f>
        <v>9</v>
      </c>
      <c r="R1046" s="2">
        <f>IFERROR(__xludf.DUMMYFUNCTION("""COMPUTED_VALUE"""),2025.0)</f>
        <v>2025</v>
      </c>
      <c r="S1046" s="2" t="str">
        <f>IFERROR(__xludf.DUMMYFUNCTION("""COMPUTED_VALUE"""),"Digizag")</f>
        <v>Digizag</v>
      </c>
      <c r="T1046" s="2" t="str">
        <f>IFERROR(__xludf.DUMMYFUNCTION("""COMPUTED_VALUE"""),"Digizag")</f>
        <v>Digizag</v>
      </c>
      <c r="U1046" s="5">
        <f>IFERROR(__xludf.DUMMYFUNCTION("""COMPUTED_VALUE"""),37.031994608)</f>
        <v>37.03199461</v>
      </c>
      <c r="V1046" s="2"/>
      <c r="W1046" s="2"/>
      <c r="X1046" s="2"/>
      <c r="Y1046" s="2"/>
      <c r="Z1046" s="2"/>
    </row>
    <row r="1047">
      <c r="A1047" s="6">
        <f>IFERROR(__xludf.DUMMYFUNCTION("""COMPUTED_VALUE"""),45904.54788194444)</f>
        <v>45904.54788</v>
      </c>
      <c r="B1047" s="2" t="str">
        <f>IFERROR(__xludf.DUMMYFUNCTION("""COMPUTED_VALUE"""),"September")</f>
        <v>September</v>
      </c>
      <c r="C1047" s="3">
        <f>IFERROR(__xludf.DUMMYFUNCTION("""COMPUTED_VALUE"""),156009.0)</f>
        <v>156009</v>
      </c>
      <c r="D1047" s="2" t="str">
        <f>IFERROR(__xludf.DUMMYFUNCTION("""COMPUTED_VALUE"""),"DB7")</f>
        <v>DB7</v>
      </c>
      <c r="E1047" s="2" t="str">
        <f>IFERROR(__xludf.DUMMYFUNCTION("""COMPUTED_VALUE"""),"Digizag")</f>
        <v>Digizag</v>
      </c>
      <c r="F1047" s="2" t="str">
        <f>IFERROR(__xludf.DUMMYFUNCTION("""COMPUTED_VALUE"""),"YSK343523")</f>
        <v>YSK343523</v>
      </c>
      <c r="G1047" s="2" t="str">
        <f>IFERROR(__xludf.DUMMYFUNCTION("""COMPUTED_VALUE"""),"UAE")</f>
        <v>UAE</v>
      </c>
      <c r="H1047" s="4">
        <f>IFERROR(__xludf.DUMMYFUNCTION("""COMPUTED_VALUE"""),276.0)</f>
        <v>276</v>
      </c>
      <c r="I1047" s="3">
        <f>IFERROR(__xludf.DUMMYFUNCTION("""COMPUTED_VALUE"""),0.0)</f>
        <v>0</v>
      </c>
      <c r="J1047" s="4">
        <f>IFERROR(__xludf.DUMMYFUNCTION("""COMPUTED_VALUE"""),27.6)</f>
        <v>27.6</v>
      </c>
      <c r="K1047" s="2"/>
      <c r="L1047" s="2" t="str">
        <f>IFERROR(__xludf.DUMMYFUNCTION("""COMPUTED_VALUE"""),"Delivered")</f>
        <v>Delivered</v>
      </c>
      <c r="M1047" s="2" t="str">
        <f>IFERROR(__xludf.DUMMYFUNCTION("""COMPUTED_VALUE"""),"")</f>
        <v></v>
      </c>
      <c r="N1047" s="2" t="str">
        <f>IFERROR(__xludf.DUMMYFUNCTION("""COMPUTED_VALUE"""),"Credit, Debit , Apple Pay")</f>
        <v>Credit, Debit , Apple Pay</v>
      </c>
      <c r="O1047" s="4">
        <f>IFERROR(__xludf.DUMMYFUNCTION("""COMPUTED_VALUE"""),0.0)</f>
        <v>0</v>
      </c>
      <c r="P1047" s="2">
        <f>IFERROR(__xludf.DUMMYFUNCTION("""COMPUTED_VALUE"""),4.0)</f>
        <v>4</v>
      </c>
      <c r="Q1047" s="2">
        <f>IFERROR(__xludf.DUMMYFUNCTION("""COMPUTED_VALUE"""),9.0)</f>
        <v>9</v>
      </c>
      <c r="R1047" s="2">
        <f>IFERROR(__xludf.DUMMYFUNCTION("""COMPUTED_VALUE"""),2025.0)</f>
        <v>2025</v>
      </c>
      <c r="S1047" s="2" t="str">
        <f>IFERROR(__xludf.DUMMYFUNCTION("""COMPUTED_VALUE"""),"Digizag")</f>
        <v>Digizag</v>
      </c>
      <c r="T1047" s="2" t="str">
        <f>IFERROR(__xludf.DUMMYFUNCTION("""COMPUTED_VALUE"""),"Digizag")</f>
        <v>Digizag</v>
      </c>
      <c r="U1047" s="5">
        <f>IFERROR(__xludf.DUMMYFUNCTION("""COMPUTED_VALUE"""),75.153165528)</f>
        <v>75.15316553</v>
      </c>
      <c r="V1047" s="2"/>
      <c r="W1047" s="2"/>
      <c r="X1047" s="2"/>
      <c r="Y1047" s="2"/>
      <c r="Z1047" s="2"/>
    </row>
    <row r="1048">
      <c r="A1048" s="6">
        <f>IFERROR(__xludf.DUMMYFUNCTION("""COMPUTED_VALUE"""),45904.56413194444)</f>
        <v>45904.56413</v>
      </c>
      <c r="B1048" s="2" t="str">
        <f>IFERROR(__xludf.DUMMYFUNCTION("""COMPUTED_VALUE"""),"September")</f>
        <v>September</v>
      </c>
      <c r="C1048" s="3">
        <f>IFERROR(__xludf.DUMMYFUNCTION("""COMPUTED_VALUE"""),795884.0)</f>
        <v>795884</v>
      </c>
      <c r="D1048" s="2" t="str">
        <f>IFERROR(__xludf.DUMMYFUNCTION("""COMPUTED_VALUE"""),"DB7")</f>
        <v>DB7</v>
      </c>
      <c r="E1048" s="2" t="str">
        <f>IFERROR(__xludf.DUMMYFUNCTION("""COMPUTED_VALUE"""),"Digizag")</f>
        <v>Digizag</v>
      </c>
      <c r="F1048" s="2" t="str">
        <f>IFERROR(__xludf.DUMMYFUNCTION("""COMPUTED_VALUE"""),"HAM259321")</f>
        <v>HAM259321</v>
      </c>
      <c r="G1048" s="2" t="str">
        <f>IFERROR(__xludf.DUMMYFUNCTION("""COMPUTED_VALUE"""),"Kingdom of Saudi Arabia")</f>
        <v>Kingdom of Saudi Arabia</v>
      </c>
      <c r="H1048" s="4">
        <f>IFERROR(__xludf.DUMMYFUNCTION("""COMPUTED_VALUE"""),511.59)</f>
        <v>511.59</v>
      </c>
      <c r="I1048" s="3">
        <f>IFERROR(__xludf.DUMMYFUNCTION("""COMPUTED_VALUE"""),0.0)</f>
        <v>0</v>
      </c>
      <c r="J1048" s="4">
        <f>IFERROR(__xludf.DUMMYFUNCTION("""COMPUTED_VALUE"""),30.0)</f>
        <v>30</v>
      </c>
      <c r="K1048" s="2"/>
      <c r="L1048" s="2" t="str">
        <f>IFERROR(__xludf.DUMMYFUNCTION("""COMPUTED_VALUE"""),"Delivered")</f>
        <v>Delivered</v>
      </c>
      <c r="M1048" s="2" t="str">
        <f>IFERROR(__xludf.DUMMYFUNCTION("""COMPUTED_VALUE"""),"")</f>
        <v></v>
      </c>
      <c r="N1048" s="2" t="str">
        <f>IFERROR(__xludf.DUMMYFUNCTION("""COMPUTED_VALUE"""),"Pay in 4. No interest, no fees")</f>
        <v>Pay in 4. No interest, no fees</v>
      </c>
      <c r="O1048" s="4">
        <f>IFERROR(__xludf.DUMMYFUNCTION("""COMPUTED_VALUE"""),0.0)</f>
        <v>0</v>
      </c>
      <c r="P1048" s="2">
        <f>IFERROR(__xludf.DUMMYFUNCTION("""COMPUTED_VALUE"""),4.0)</f>
        <v>4</v>
      </c>
      <c r="Q1048" s="2">
        <f>IFERROR(__xludf.DUMMYFUNCTION("""COMPUTED_VALUE"""),9.0)</f>
        <v>9</v>
      </c>
      <c r="R1048" s="2">
        <f>IFERROR(__xludf.DUMMYFUNCTION("""COMPUTED_VALUE"""),2025.0)</f>
        <v>2025</v>
      </c>
      <c r="S1048" s="2" t="str">
        <f>IFERROR(__xludf.DUMMYFUNCTION("""COMPUTED_VALUE"""),"Digizag")</f>
        <v>Digizag</v>
      </c>
      <c r="T1048" s="2" t="str">
        <f>IFERROR(__xludf.DUMMYFUNCTION("""COMPUTED_VALUE"""),"Digizag")</f>
        <v>Digizag</v>
      </c>
      <c r="U1048" s="5">
        <f>IFERROR(__xludf.DUMMYFUNCTION("""COMPUTED_VALUE"""),136.41345067314)</f>
        <v>136.4134507</v>
      </c>
      <c r="V1048" s="2"/>
      <c r="W1048" s="2"/>
      <c r="X1048" s="2"/>
      <c r="Y1048" s="2"/>
      <c r="Z1048" s="2"/>
    </row>
    <row r="1049">
      <c r="A1049" s="6">
        <f>IFERROR(__xludf.DUMMYFUNCTION("""COMPUTED_VALUE"""),45904.58237268518)</f>
        <v>45904.58237</v>
      </c>
      <c r="B1049" s="2" t="str">
        <f>IFERROR(__xludf.DUMMYFUNCTION("""COMPUTED_VALUE"""),"September")</f>
        <v>September</v>
      </c>
      <c r="C1049" s="3">
        <f>IFERROR(__xludf.DUMMYFUNCTION("""COMPUTED_VALUE"""),221542.0)</f>
        <v>221542</v>
      </c>
      <c r="D1049" s="2" t="str">
        <f>IFERROR(__xludf.DUMMYFUNCTION("""COMPUTED_VALUE"""),"MNN27")</f>
        <v>MNN27</v>
      </c>
      <c r="E1049" s="2" t="str">
        <f>IFERROR(__xludf.DUMMYFUNCTION("""COMPUTED_VALUE"""),"Imported from file DigiZag Bidding Codes.xlsx")</f>
        <v>Imported from file DigiZag Bidding Codes.xlsx</v>
      </c>
      <c r="F1049" s="2" t="str">
        <f>IFERROR(__xludf.DUMMYFUNCTION("""COMPUTED_VALUE"""),"ACA329439")</f>
        <v>ACA329439</v>
      </c>
      <c r="G1049" s="2" t="str">
        <f>IFERROR(__xludf.DUMMYFUNCTION("""COMPUTED_VALUE"""),"Kingdom of Saudi Arabia")</f>
        <v>Kingdom of Saudi Arabia</v>
      </c>
      <c r="H1049" s="4">
        <f>IFERROR(__xludf.DUMMYFUNCTION("""COMPUTED_VALUE"""),71.43)</f>
        <v>71.43</v>
      </c>
      <c r="I1049" s="3">
        <f>IFERROR(__xludf.DUMMYFUNCTION("""COMPUTED_VALUE"""),0.0)</f>
        <v>0</v>
      </c>
      <c r="J1049" s="4">
        <f>IFERROR(__xludf.DUMMYFUNCTION("""COMPUTED_VALUE"""),17.85)</f>
        <v>17.85</v>
      </c>
      <c r="K1049" s="2"/>
      <c r="L1049" s="2" t="str">
        <f>IFERROR(__xludf.DUMMYFUNCTION("""COMPUTED_VALUE"""),"Delivered")</f>
        <v>Delivered</v>
      </c>
      <c r="M1049" s="2" t="str">
        <f>IFERROR(__xludf.DUMMYFUNCTION("""COMPUTED_VALUE"""),"")</f>
        <v></v>
      </c>
      <c r="N1049" s="2" t="str">
        <f>IFERROR(__xludf.DUMMYFUNCTION("""COMPUTED_VALUE"""),"Pay in 4. No interest, no fees")</f>
        <v>Pay in 4. No interest, no fees</v>
      </c>
      <c r="O1049" s="4">
        <f>IFERROR(__xludf.DUMMYFUNCTION("""COMPUTED_VALUE"""),0.0)</f>
        <v>0</v>
      </c>
      <c r="P1049" s="2">
        <f>IFERROR(__xludf.DUMMYFUNCTION("""COMPUTED_VALUE"""),4.0)</f>
        <v>4</v>
      </c>
      <c r="Q1049" s="2">
        <f>IFERROR(__xludf.DUMMYFUNCTION("""COMPUTED_VALUE"""),9.0)</f>
        <v>9</v>
      </c>
      <c r="R1049" s="2">
        <f>IFERROR(__xludf.DUMMYFUNCTION("""COMPUTED_VALUE"""),2025.0)</f>
        <v>2025</v>
      </c>
      <c r="S1049" s="2" t="str">
        <f>IFERROR(__xludf.DUMMYFUNCTION("""COMPUTED_VALUE"""),"Digizag")</f>
        <v>Digizag</v>
      </c>
      <c r="T1049" s="2" t="str">
        <f>IFERROR(__xludf.DUMMYFUNCTION("""COMPUTED_VALUE"""),"Digizag")</f>
        <v>Digizag</v>
      </c>
      <c r="U1049" s="5">
        <f>IFERROR(__xludf.DUMMYFUNCTION("""COMPUTED_VALUE"""),19.046527065780005)</f>
        <v>19.04652707</v>
      </c>
      <c r="V1049" s="2"/>
      <c r="W1049" s="2"/>
      <c r="X1049" s="2"/>
      <c r="Y1049" s="2"/>
      <c r="Z1049" s="2"/>
    </row>
    <row r="1050">
      <c r="A1050" s="6">
        <f>IFERROR(__xludf.DUMMYFUNCTION("""COMPUTED_VALUE"""),45904.66313657407)</f>
        <v>45904.66314</v>
      </c>
      <c r="B1050" s="2" t="str">
        <f>IFERROR(__xludf.DUMMYFUNCTION("""COMPUTED_VALUE"""),"September")</f>
        <v>September</v>
      </c>
      <c r="C1050" s="3">
        <f>IFERROR(__xludf.DUMMYFUNCTION("""COMPUTED_VALUE"""),735009.0)</f>
        <v>735009</v>
      </c>
      <c r="D1050" s="2" t="str">
        <f>IFERROR(__xludf.DUMMYFUNCTION("""COMPUTED_VALUE"""),"ZM22")</f>
        <v>ZM22</v>
      </c>
      <c r="E1050" s="2" t="str">
        <f>IFERROR(__xludf.DUMMYFUNCTION("""COMPUTED_VALUE"""),"Imported from file Digizag.xlsx")</f>
        <v>Imported from file Digizag.xlsx</v>
      </c>
      <c r="F1050" s="2" t="str">
        <f>IFERROR(__xludf.DUMMYFUNCTION("""COMPUTED_VALUE"""),"DAA248194")</f>
        <v>DAA248194</v>
      </c>
      <c r="G1050" s="2" t="str">
        <f>IFERROR(__xludf.DUMMYFUNCTION("""COMPUTED_VALUE"""),"Kingdom of Saudi Arabia")</f>
        <v>Kingdom of Saudi Arabia</v>
      </c>
      <c r="H1050" s="4">
        <f>IFERROR(__xludf.DUMMYFUNCTION("""COMPUTED_VALUE"""),149.0)</f>
        <v>149</v>
      </c>
      <c r="I1050" s="3">
        <f>IFERROR(__xludf.DUMMYFUNCTION("""COMPUTED_VALUE"""),0.0)</f>
        <v>0</v>
      </c>
      <c r="J1050" s="4">
        <f>IFERROR(__xludf.DUMMYFUNCTION("""COMPUTED_VALUE"""),30.0)</f>
        <v>30</v>
      </c>
      <c r="K1050" s="2"/>
      <c r="L1050" s="2" t="str">
        <f>IFERROR(__xludf.DUMMYFUNCTION("""COMPUTED_VALUE"""),"Delivered")</f>
        <v>Delivered</v>
      </c>
      <c r="M1050" s="2" t="str">
        <f>IFERROR(__xludf.DUMMYFUNCTION("""COMPUTED_VALUE"""),"")</f>
        <v></v>
      </c>
      <c r="N1050" s="2" t="str">
        <f>IFERROR(__xludf.DUMMYFUNCTION("""COMPUTED_VALUE"""),"Credit, Debit, Apple Pay")</f>
        <v>Credit, Debit, Apple Pay</v>
      </c>
      <c r="O1050" s="4">
        <f>IFERROR(__xludf.DUMMYFUNCTION("""COMPUTED_VALUE"""),0.0)</f>
        <v>0</v>
      </c>
      <c r="P1050" s="2">
        <f>IFERROR(__xludf.DUMMYFUNCTION("""COMPUTED_VALUE"""),4.0)</f>
        <v>4</v>
      </c>
      <c r="Q1050" s="2">
        <f>IFERROR(__xludf.DUMMYFUNCTION("""COMPUTED_VALUE"""),9.0)</f>
        <v>9</v>
      </c>
      <c r="R1050" s="2">
        <f>IFERROR(__xludf.DUMMYFUNCTION("""COMPUTED_VALUE"""),2025.0)</f>
        <v>2025</v>
      </c>
      <c r="S1050" s="2" t="str">
        <f>IFERROR(__xludf.DUMMYFUNCTION("""COMPUTED_VALUE"""),"Digizag")</f>
        <v>Digizag</v>
      </c>
      <c r="T1050" s="2" t="str">
        <f>IFERROR(__xludf.DUMMYFUNCTION("""COMPUTED_VALUE"""),"Digizag")</f>
        <v>Digizag</v>
      </c>
      <c r="U1050" s="5">
        <f>IFERROR(__xludf.DUMMYFUNCTION("""COMPUTED_VALUE"""),39.730260854)</f>
        <v>39.73026085</v>
      </c>
      <c r="V1050" s="2"/>
      <c r="W1050" s="2"/>
      <c r="X1050" s="2"/>
      <c r="Y1050" s="2"/>
      <c r="Z1050" s="2"/>
    </row>
    <row r="1051">
      <c r="A1051" s="6">
        <f>IFERROR(__xludf.DUMMYFUNCTION("""COMPUTED_VALUE"""),45904.695497685185)</f>
        <v>45904.6955</v>
      </c>
      <c r="B1051" s="2" t="str">
        <f>IFERROR(__xludf.DUMMYFUNCTION("""COMPUTED_VALUE"""),"September")</f>
        <v>September</v>
      </c>
      <c r="C1051" s="3">
        <f>IFERROR(__xludf.DUMMYFUNCTION("""COMPUTED_VALUE"""),796024.0)</f>
        <v>796024</v>
      </c>
      <c r="D1051" s="2" t="str">
        <f>IFERROR(__xludf.DUMMYFUNCTION("""COMPUTED_VALUE"""),"MNN27")</f>
        <v>MNN27</v>
      </c>
      <c r="E1051" s="2" t="str">
        <f>IFERROR(__xludf.DUMMYFUNCTION("""COMPUTED_VALUE"""),"Imported from file DigiZag Bidding Codes.xlsx")</f>
        <v>Imported from file DigiZag Bidding Codes.xlsx</v>
      </c>
      <c r="F1051" s="2" t="str">
        <f>IFERROR(__xludf.DUMMYFUNCTION("""COMPUTED_VALUE"""),"BQW844392")</f>
        <v>BQW844392</v>
      </c>
      <c r="G1051" s="2" t="str">
        <f>IFERROR(__xludf.DUMMYFUNCTION("""COMPUTED_VALUE"""),"Kingdom of Saudi Arabia")</f>
        <v>Kingdom of Saudi Arabia</v>
      </c>
      <c r="H1051" s="4">
        <f>IFERROR(__xludf.DUMMYFUNCTION("""COMPUTED_VALUE"""),138.0)</f>
        <v>138</v>
      </c>
      <c r="I1051" s="3">
        <f>IFERROR(__xludf.DUMMYFUNCTION("""COMPUTED_VALUE"""),0.0)</f>
        <v>0</v>
      </c>
      <c r="J1051" s="4">
        <f>IFERROR(__xludf.DUMMYFUNCTION("""COMPUTED_VALUE"""),30.0)</f>
        <v>30</v>
      </c>
      <c r="K1051" s="2"/>
      <c r="L1051" s="2" t="str">
        <f>IFERROR(__xludf.DUMMYFUNCTION("""COMPUTED_VALUE"""),"Delivered")</f>
        <v>Delivered</v>
      </c>
      <c r="M1051" s="2" t="str">
        <f>IFERROR(__xludf.DUMMYFUNCTION("""COMPUTED_VALUE"""),"")</f>
        <v></v>
      </c>
      <c r="N1051" s="2" t="str">
        <f>IFERROR(__xludf.DUMMYFUNCTION("""COMPUTED_VALUE"""),"Credit, Debit, Apple Pay")</f>
        <v>Credit, Debit, Apple Pay</v>
      </c>
      <c r="O1051" s="4">
        <f>IFERROR(__xludf.DUMMYFUNCTION("""COMPUTED_VALUE"""),0.0)</f>
        <v>0</v>
      </c>
      <c r="P1051" s="2">
        <f>IFERROR(__xludf.DUMMYFUNCTION("""COMPUTED_VALUE"""),4.0)</f>
        <v>4</v>
      </c>
      <c r="Q1051" s="2">
        <f>IFERROR(__xludf.DUMMYFUNCTION("""COMPUTED_VALUE"""),9.0)</f>
        <v>9</v>
      </c>
      <c r="R1051" s="2">
        <f>IFERROR(__xludf.DUMMYFUNCTION("""COMPUTED_VALUE"""),2025.0)</f>
        <v>2025</v>
      </c>
      <c r="S1051" s="2" t="str">
        <f>IFERROR(__xludf.DUMMYFUNCTION("""COMPUTED_VALUE"""),"Digizag")</f>
        <v>Digizag</v>
      </c>
      <c r="T1051" s="2" t="str">
        <f>IFERROR(__xludf.DUMMYFUNCTION("""COMPUTED_VALUE"""),"Digizag")</f>
        <v>Digizag</v>
      </c>
      <c r="U1051" s="5">
        <f>IFERROR(__xludf.DUMMYFUNCTION("""COMPUTED_VALUE"""),36.79715434800001)</f>
        <v>36.79715435</v>
      </c>
      <c r="V1051" s="2"/>
      <c r="W1051" s="2"/>
      <c r="X1051" s="2"/>
      <c r="Y1051" s="2"/>
      <c r="Z1051" s="2"/>
    </row>
    <row r="1052">
      <c r="A1052" s="6">
        <f>IFERROR(__xludf.DUMMYFUNCTION("""COMPUTED_VALUE"""),45904.763032407405)</f>
        <v>45904.76303</v>
      </c>
      <c r="B1052" s="2" t="str">
        <f>IFERROR(__xludf.DUMMYFUNCTION("""COMPUTED_VALUE"""),"September")</f>
        <v>September</v>
      </c>
      <c r="C1052" s="3">
        <f>IFERROR(__xludf.DUMMYFUNCTION("""COMPUTED_VALUE"""),796075.0)</f>
        <v>796075</v>
      </c>
      <c r="D1052" s="2" t="str">
        <f>IFERROR(__xludf.DUMMYFUNCTION("""COMPUTED_VALUE"""),"DB6")</f>
        <v>DB6</v>
      </c>
      <c r="E1052" s="2" t="str">
        <f>IFERROR(__xludf.DUMMYFUNCTION("""COMPUTED_VALUE"""),"Digizag")</f>
        <v>Digizag</v>
      </c>
      <c r="F1052" s="2" t="str">
        <f>IFERROR(__xludf.DUMMYFUNCTION("""COMPUTED_VALUE"""),"LDH775751")</f>
        <v>LDH775751</v>
      </c>
      <c r="G1052" s="2" t="str">
        <f>IFERROR(__xludf.DUMMYFUNCTION("""COMPUTED_VALUE"""),"UAE")</f>
        <v>UAE</v>
      </c>
      <c r="H1052" s="4">
        <f>IFERROR(__xludf.DUMMYFUNCTION("""COMPUTED_VALUE"""),99.05)</f>
        <v>99.05</v>
      </c>
      <c r="I1052" s="3">
        <f>IFERROR(__xludf.DUMMYFUNCTION("""COMPUTED_VALUE"""),0.0)</f>
        <v>0</v>
      </c>
      <c r="J1052" s="4">
        <f>IFERROR(__xludf.DUMMYFUNCTION("""COMPUTED_VALUE"""),9.9)</f>
        <v>9.9</v>
      </c>
      <c r="K1052" s="2"/>
      <c r="L1052" s="2" t="str">
        <f>IFERROR(__xludf.DUMMYFUNCTION("""COMPUTED_VALUE"""),"Delivered")</f>
        <v>Delivered</v>
      </c>
      <c r="M1052" s="2" t="str">
        <f>IFERROR(__xludf.DUMMYFUNCTION("""COMPUTED_VALUE"""),"")</f>
        <v></v>
      </c>
      <c r="N1052" s="2" t="str">
        <f>IFERROR(__xludf.DUMMYFUNCTION("""COMPUTED_VALUE"""),"Credit, Debit , Apple Pay")</f>
        <v>Credit, Debit , Apple Pay</v>
      </c>
      <c r="O1052" s="4">
        <f>IFERROR(__xludf.DUMMYFUNCTION("""COMPUTED_VALUE"""),0.0)</f>
        <v>0</v>
      </c>
      <c r="P1052" s="2">
        <f>IFERROR(__xludf.DUMMYFUNCTION("""COMPUTED_VALUE"""),4.0)</f>
        <v>4</v>
      </c>
      <c r="Q1052" s="2">
        <f>IFERROR(__xludf.DUMMYFUNCTION("""COMPUTED_VALUE"""),9.0)</f>
        <v>9</v>
      </c>
      <c r="R1052" s="2">
        <f>IFERROR(__xludf.DUMMYFUNCTION("""COMPUTED_VALUE"""),2025.0)</f>
        <v>2025</v>
      </c>
      <c r="S1052" s="2" t="str">
        <f>IFERROR(__xludf.DUMMYFUNCTION("""COMPUTED_VALUE"""),"Digizag")</f>
        <v>Digizag</v>
      </c>
      <c r="T1052" s="2" t="str">
        <f>IFERROR(__xludf.DUMMYFUNCTION("""COMPUTED_VALUE"""),"Digizag")</f>
        <v>Digizag</v>
      </c>
      <c r="U1052" s="5">
        <f>IFERROR(__xludf.DUMMYFUNCTION("""COMPUTED_VALUE"""),26.9707284259)</f>
        <v>26.97072843</v>
      </c>
      <c r="V1052" s="2"/>
      <c r="W1052" s="2"/>
      <c r="X1052" s="2"/>
      <c r="Y1052" s="2"/>
      <c r="Z1052" s="2"/>
    </row>
    <row r="1053">
      <c r="A1053" s="6">
        <f>IFERROR(__xludf.DUMMYFUNCTION("""COMPUTED_VALUE"""),45905.16462962963)</f>
        <v>45905.16463</v>
      </c>
      <c r="B1053" s="2" t="str">
        <f>IFERROR(__xludf.DUMMYFUNCTION("""COMPUTED_VALUE"""),"September")</f>
        <v>September</v>
      </c>
      <c r="C1053" s="3">
        <f>IFERROR(__xludf.DUMMYFUNCTION("""COMPUTED_VALUE"""),233384.0)</f>
        <v>233384</v>
      </c>
      <c r="D1053" s="2" t="str">
        <f>IFERROR(__xludf.DUMMYFUNCTION("""COMPUTED_VALUE"""),"DB6")</f>
        <v>DB6</v>
      </c>
      <c r="E1053" s="2" t="str">
        <f>IFERROR(__xludf.DUMMYFUNCTION("""COMPUTED_VALUE"""),"Digizag")</f>
        <v>Digizag</v>
      </c>
      <c r="F1053" s="2" t="str">
        <f>IFERROR(__xludf.DUMMYFUNCTION("""COMPUTED_VALUE"""),"NAU524957")</f>
        <v>NAU524957</v>
      </c>
      <c r="G1053" s="2" t="str">
        <f>IFERROR(__xludf.DUMMYFUNCTION("""COMPUTED_VALUE"""),"Kingdom of Saudi Arabia")</f>
        <v>Kingdom of Saudi Arabia</v>
      </c>
      <c r="H1053" s="4">
        <f>IFERROR(__xludf.DUMMYFUNCTION("""COMPUTED_VALUE"""),111.86)</f>
        <v>111.86</v>
      </c>
      <c r="I1053" s="3">
        <f>IFERROR(__xludf.DUMMYFUNCTION("""COMPUTED_VALUE"""),0.0)</f>
        <v>0</v>
      </c>
      <c r="J1053" s="4">
        <f>IFERROR(__xludf.DUMMYFUNCTION("""COMPUTED_VALUE"""),27.96)</f>
        <v>27.96</v>
      </c>
      <c r="K1053" s="2"/>
      <c r="L1053" s="2" t="str">
        <f>IFERROR(__xludf.DUMMYFUNCTION("""COMPUTED_VALUE"""),"Delivered")</f>
        <v>Delivered</v>
      </c>
      <c r="M1053" s="2" t="str">
        <f>IFERROR(__xludf.DUMMYFUNCTION("""COMPUTED_VALUE"""),"")</f>
        <v></v>
      </c>
      <c r="N1053" s="2" t="str">
        <f>IFERROR(__xludf.DUMMYFUNCTION("""COMPUTED_VALUE"""),"Credit, Debit, Apple Pay")</f>
        <v>Credit, Debit, Apple Pay</v>
      </c>
      <c r="O1053" s="4">
        <f>IFERROR(__xludf.DUMMYFUNCTION("""COMPUTED_VALUE"""),0.0)</f>
        <v>0</v>
      </c>
      <c r="P1053" s="2">
        <f>IFERROR(__xludf.DUMMYFUNCTION("""COMPUTED_VALUE"""),5.0)</f>
        <v>5</v>
      </c>
      <c r="Q1053" s="2">
        <f>IFERROR(__xludf.DUMMYFUNCTION("""COMPUTED_VALUE"""),9.0)</f>
        <v>9</v>
      </c>
      <c r="R1053" s="2">
        <f>IFERROR(__xludf.DUMMYFUNCTION("""COMPUTED_VALUE"""),2025.0)</f>
        <v>2025</v>
      </c>
      <c r="S1053" s="2" t="str">
        <f>IFERROR(__xludf.DUMMYFUNCTION("""COMPUTED_VALUE"""),"Digizag")</f>
        <v>Digizag</v>
      </c>
      <c r="T1053" s="2" t="str">
        <f>IFERROR(__xludf.DUMMYFUNCTION("""COMPUTED_VALUE"""),"Digizag")</f>
        <v>Digizag</v>
      </c>
      <c r="U1053" s="5">
        <f>IFERROR(__xludf.DUMMYFUNCTION("""COMPUTED_VALUE"""),29.82702670556)</f>
        <v>29.82702671</v>
      </c>
      <c r="V1053" s="2"/>
      <c r="W1053" s="2"/>
      <c r="X1053" s="2"/>
      <c r="Y1053" s="2"/>
      <c r="Z1053" s="2"/>
    </row>
    <row r="1054">
      <c r="A1054" s="6">
        <f>IFERROR(__xludf.DUMMYFUNCTION("""COMPUTED_VALUE"""),45905.63291666666)</f>
        <v>45905.63292</v>
      </c>
      <c r="B1054" s="2" t="str">
        <f>IFERROR(__xludf.DUMMYFUNCTION("""COMPUTED_VALUE"""),"September")</f>
        <v>September</v>
      </c>
      <c r="C1054" s="3">
        <f>IFERROR(__xludf.DUMMYFUNCTION("""COMPUTED_VALUE"""),796520.0)</f>
        <v>796520</v>
      </c>
      <c r="D1054" s="2" t="str">
        <f>IFERROR(__xludf.DUMMYFUNCTION("""COMPUTED_VALUE"""),"MNN37")</f>
        <v>MNN37</v>
      </c>
      <c r="E1054" s="2" t="str">
        <f>IFERROR(__xludf.DUMMYFUNCTION("""COMPUTED_VALUE"""),"Imported from file DigiZag Bidding Codes.xlsx")</f>
        <v>Imported from file DigiZag Bidding Codes.xlsx</v>
      </c>
      <c r="F1054" s="2" t="str">
        <f>IFERROR(__xludf.DUMMYFUNCTION("""COMPUTED_VALUE"""),"HBQ480336")</f>
        <v>HBQ480336</v>
      </c>
      <c r="G1054" s="2" t="str">
        <f>IFERROR(__xludf.DUMMYFUNCTION("""COMPUTED_VALUE"""),"Kingdom of Saudi Arabia")</f>
        <v>Kingdom of Saudi Arabia</v>
      </c>
      <c r="H1054" s="4">
        <f>IFERROR(__xludf.DUMMYFUNCTION("""COMPUTED_VALUE"""),129.0)</f>
        <v>129</v>
      </c>
      <c r="I1054" s="3">
        <f>IFERROR(__xludf.DUMMYFUNCTION("""COMPUTED_VALUE"""),0.0)</f>
        <v>0</v>
      </c>
      <c r="J1054" s="4">
        <f>IFERROR(__xludf.DUMMYFUNCTION("""COMPUTED_VALUE"""),30.0)</f>
        <v>30</v>
      </c>
      <c r="K1054" s="2"/>
      <c r="L1054" s="2" t="str">
        <f>IFERROR(__xludf.DUMMYFUNCTION("""COMPUTED_VALUE"""),"Delivered")</f>
        <v>Delivered</v>
      </c>
      <c r="M1054" s="2" t="str">
        <f>IFERROR(__xludf.DUMMYFUNCTION("""COMPUTED_VALUE"""),"")</f>
        <v></v>
      </c>
      <c r="N1054" s="2" t="str">
        <f>IFERROR(__xludf.DUMMYFUNCTION("""COMPUTED_VALUE"""),"Credit, Debit, Apple Pay")</f>
        <v>Credit, Debit, Apple Pay</v>
      </c>
      <c r="O1054" s="4">
        <f>IFERROR(__xludf.DUMMYFUNCTION("""COMPUTED_VALUE"""),0.0)</f>
        <v>0</v>
      </c>
      <c r="P1054" s="2">
        <f>IFERROR(__xludf.DUMMYFUNCTION("""COMPUTED_VALUE"""),5.0)</f>
        <v>5</v>
      </c>
      <c r="Q1054" s="2">
        <f>IFERROR(__xludf.DUMMYFUNCTION("""COMPUTED_VALUE"""),9.0)</f>
        <v>9</v>
      </c>
      <c r="R1054" s="2">
        <f>IFERROR(__xludf.DUMMYFUNCTION("""COMPUTED_VALUE"""),2025.0)</f>
        <v>2025</v>
      </c>
      <c r="S1054" s="2" t="str">
        <f>IFERROR(__xludf.DUMMYFUNCTION("""COMPUTED_VALUE"""),"Digizag")</f>
        <v>Digizag</v>
      </c>
      <c r="T1054" s="2" t="str">
        <f>IFERROR(__xludf.DUMMYFUNCTION("""COMPUTED_VALUE"""),"Digizag")</f>
        <v>Digizag</v>
      </c>
      <c r="U1054" s="5">
        <f>IFERROR(__xludf.DUMMYFUNCTION("""COMPUTED_VALUE"""),34.397339934)</f>
        <v>34.39733993</v>
      </c>
      <c r="V1054" s="2"/>
      <c r="W1054" s="2"/>
      <c r="X1054" s="2"/>
      <c r="Y1054" s="2"/>
      <c r="Z1054" s="2"/>
    </row>
    <row r="1055">
      <c r="A1055" s="6">
        <f>IFERROR(__xludf.DUMMYFUNCTION("""COMPUTED_VALUE"""),45905.67912037037)</f>
        <v>45905.67912</v>
      </c>
      <c r="B1055" s="2" t="str">
        <f>IFERROR(__xludf.DUMMYFUNCTION("""COMPUTED_VALUE"""),"September")</f>
        <v>September</v>
      </c>
      <c r="C1055" s="3">
        <f>IFERROR(__xludf.DUMMYFUNCTION("""COMPUTED_VALUE"""),796564.0)</f>
        <v>796564</v>
      </c>
      <c r="D1055" s="2" t="str">
        <f>IFERROR(__xludf.DUMMYFUNCTION("""COMPUTED_VALUE"""),"MNN16")</f>
        <v>MNN16</v>
      </c>
      <c r="E1055" s="2" t="str">
        <f>IFERROR(__xludf.DUMMYFUNCTION("""COMPUTED_VALUE"""),"Imported from file DigiZag Codes 25Feb25.xlsx")</f>
        <v>Imported from file DigiZag Codes 25Feb25.xlsx</v>
      </c>
      <c r="F1055" s="2" t="str">
        <f>IFERROR(__xludf.DUMMYFUNCTION("""COMPUTED_VALUE"""),"XVH297356")</f>
        <v>XVH297356</v>
      </c>
      <c r="G1055" s="2" t="str">
        <f>IFERROR(__xludf.DUMMYFUNCTION("""COMPUTED_VALUE"""),"UAE")</f>
        <v>UAE</v>
      </c>
      <c r="H1055" s="4">
        <f>IFERROR(__xludf.DUMMYFUNCTION("""COMPUTED_VALUE"""),299.0)</f>
        <v>299</v>
      </c>
      <c r="I1055" s="3">
        <f>IFERROR(__xludf.DUMMYFUNCTION("""COMPUTED_VALUE"""),0.0)</f>
        <v>0</v>
      </c>
      <c r="J1055" s="4">
        <f>IFERROR(__xludf.DUMMYFUNCTION("""COMPUTED_VALUE"""),29.9)</f>
        <v>29.9</v>
      </c>
      <c r="K1055" s="2"/>
      <c r="L1055" s="2" t="str">
        <f>IFERROR(__xludf.DUMMYFUNCTION("""COMPUTED_VALUE"""),"Delivered")</f>
        <v>Delivered</v>
      </c>
      <c r="M1055" s="2" t="str">
        <f>IFERROR(__xludf.DUMMYFUNCTION("""COMPUTED_VALUE"""),"")</f>
        <v></v>
      </c>
      <c r="N1055" s="2" t="str">
        <f>IFERROR(__xludf.DUMMYFUNCTION("""COMPUTED_VALUE"""),"Credit, Debit , Apple Pay")</f>
        <v>Credit, Debit , Apple Pay</v>
      </c>
      <c r="O1055" s="4">
        <f>IFERROR(__xludf.DUMMYFUNCTION("""COMPUTED_VALUE"""),0.0)</f>
        <v>0</v>
      </c>
      <c r="P1055" s="2">
        <f>IFERROR(__xludf.DUMMYFUNCTION("""COMPUTED_VALUE"""),5.0)</f>
        <v>5</v>
      </c>
      <c r="Q1055" s="2">
        <f>IFERROR(__xludf.DUMMYFUNCTION("""COMPUTED_VALUE"""),9.0)</f>
        <v>9</v>
      </c>
      <c r="R1055" s="2">
        <f>IFERROR(__xludf.DUMMYFUNCTION("""COMPUTED_VALUE"""),2025.0)</f>
        <v>2025</v>
      </c>
      <c r="S1055" s="2" t="str">
        <f>IFERROR(__xludf.DUMMYFUNCTION("""COMPUTED_VALUE"""),"Digizag")</f>
        <v>Digizag</v>
      </c>
      <c r="T1055" s="2" t="str">
        <f>IFERROR(__xludf.DUMMYFUNCTION("""COMPUTED_VALUE"""),"Digizag")</f>
        <v>Digizag</v>
      </c>
      <c r="U1055" s="5">
        <f>IFERROR(__xludf.DUMMYFUNCTION("""COMPUTED_VALUE"""),81.415929322)</f>
        <v>81.41592932</v>
      </c>
      <c r="V1055" s="2"/>
      <c r="W1055" s="2"/>
      <c r="X1055" s="2"/>
      <c r="Y1055" s="2"/>
      <c r="Z1055" s="2"/>
    </row>
    <row r="1056">
      <c r="A1056" s="6">
        <f>IFERROR(__xludf.DUMMYFUNCTION("""COMPUTED_VALUE"""),45905.83709490741)</f>
        <v>45905.83709</v>
      </c>
      <c r="B1056" s="2" t="str">
        <f>IFERROR(__xludf.DUMMYFUNCTION("""COMPUTED_VALUE"""),"September")</f>
        <v>September</v>
      </c>
      <c r="C1056" s="3">
        <f>IFERROR(__xludf.DUMMYFUNCTION("""COMPUTED_VALUE"""),560947.0)</f>
        <v>560947</v>
      </c>
      <c r="D1056" s="2" t="str">
        <f>IFERROR(__xludf.DUMMYFUNCTION("""COMPUTED_VALUE"""),"CC22")</f>
        <v>CC22</v>
      </c>
      <c r="E1056" s="2" t="str">
        <f>IFERROR(__xludf.DUMMYFUNCTION("""COMPUTED_VALUE"""),"Imported from file Digizag.xlsx")</f>
        <v>Imported from file Digizag.xlsx</v>
      </c>
      <c r="F1056" s="2" t="str">
        <f>IFERROR(__xludf.DUMMYFUNCTION("""COMPUTED_VALUE"""),"ZQN442343")</f>
        <v>ZQN442343</v>
      </c>
      <c r="G1056" s="2" t="str">
        <f>IFERROR(__xludf.DUMMYFUNCTION("""COMPUTED_VALUE"""),"Kuwait")</f>
        <v>Kuwait</v>
      </c>
      <c r="H1056" s="4">
        <f>IFERROR(__xludf.DUMMYFUNCTION("""COMPUTED_VALUE"""),8.15)</f>
        <v>8.15</v>
      </c>
      <c r="I1056" s="3">
        <f>IFERROR(__xludf.DUMMYFUNCTION("""COMPUTED_VALUE"""),0.0)</f>
        <v>0</v>
      </c>
      <c r="J1056" s="4">
        <f>IFERROR(__xludf.DUMMYFUNCTION("""COMPUTED_VALUE"""),0.815)</f>
        <v>0.815</v>
      </c>
      <c r="K1056" s="2"/>
      <c r="L1056" s="2" t="str">
        <f>IFERROR(__xludf.DUMMYFUNCTION("""COMPUTED_VALUE"""),"Delivered")</f>
        <v>Delivered</v>
      </c>
      <c r="M1056" s="2" t="str">
        <f>IFERROR(__xludf.DUMMYFUNCTION("""COMPUTED_VALUE"""),"KD")</f>
        <v>KD</v>
      </c>
      <c r="N1056" s="2" t="str">
        <f>IFERROR(__xludf.DUMMYFUNCTION("""COMPUTED_VALUE"""),"Credit, Debit, Knet")</f>
        <v>Credit, Debit, Knet</v>
      </c>
      <c r="O1056" s="4">
        <f>IFERROR(__xludf.DUMMYFUNCTION("""COMPUTED_VALUE"""),0.0)</f>
        <v>0</v>
      </c>
      <c r="P1056" s="2">
        <f>IFERROR(__xludf.DUMMYFUNCTION("""COMPUTED_VALUE"""),5.0)</f>
        <v>5</v>
      </c>
      <c r="Q1056" s="2">
        <f>IFERROR(__xludf.DUMMYFUNCTION("""COMPUTED_VALUE"""),9.0)</f>
        <v>9</v>
      </c>
      <c r="R1056" s="2">
        <f>IFERROR(__xludf.DUMMYFUNCTION("""COMPUTED_VALUE"""),2025.0)</f>
        <v>2025</v>
      </c>
      <c r="S1056" s="2" t="str">
        <f>IFERROR(__xludf.DUMMYFUNCTION("""COMPUTED_VALUE"""),"Digizag")</f>
        <v>Digizag</v>
      </c>
      <c r="T1056" s="2" t="str">
        <f>IFERROR(__xludf.DUMMYFUNCTION("""COMPUTED_VALUE"""),"Digizag")</f>
        <v>Digizag</v>
      </c>
      <c r="U1056" s="5">
        <f>IFERROR(__xludf.DUMMYFUNCTION("""COMPUTED_VALUE"""),26.574053)</f>
        <v>26.574053</v>
      </c>
      <c r="V1056" s="2"/>
      <c r="W1056" s="2"/>
      <c r="X1056" s="2"/>
      <c r="Y1056" s="2"/>
      <c r="Z1056" s="2"/>
    </row>
    <row r="1057">
      <c r="A1057" s="6">
        <f>IFERROR(__xludf.DUMMYFUNCTION("""COMPUTED_VALUE"""),45906.0180787037)</f>
        <v>45906.01808</v>
      </c>
      <c r="B1057" s="2" t="str">
        <f>IFERROR(__xludf.DUMMYFUNCTION("""COMPUTED_VALUE"""),"September")</f>
        <v>September</v>
      </c>
      <c r="C1057" s="3">
        <f>IFERROR(__xludf.DUMMYFUNCTION("""COMPUTED_VALUE"""),796714.0)</f>
        <v>796714</v>
      </c>
      <c r="D1057" s="2" t="str">
        <f>IFERROR(__xludf.DUMMYFUNCTION("""COMPUTED_VALUE"""),"RR22")</f>
        <v>RR22</v>
      </c>
      <c r="E1057" s="2" t="str">
        <f>IFERROR(__xludf.DUMMYFUNCTION("""COMPUTED_VALUE"""),"Imported from file Digizag.xlsx")</f>
        <v>Imported from file Digizag.xlsx</v>
      </c>
      <c r="F1057" s="2" t="str">
        <f>IFERROR(__xludf.DUMMYFUNCTION("""COMPUTED_VALUE"""),"PDG961473")</f>
        <v>PDG961473</v>
      </c>
      <c r="G1057" s="2" t="str">
        <f>IFERROR(__xludf.DUMMYFUNCTION("""COMPUTED_VALUE"""),"UAE")</f>
        <v>UAE</v>
      </c>
      <c r="H1057" s="4">
        <f>IFERROR(__xludf.DUMMYFUNCTION("""COMPUTED_VALUE"""),249.0)</f>
        <v>249</v>
      </c>
      <c r="I1057" s="3">
        <f>IFERROR(__xludf.DUMMYFUNCTION("""COMPUTED_VALUE"""),0.0)</f>
        <v>0</v>
      </c>
      <c r="J1057" s="4">
        <f>IFERROR(__xludf.DUMMYFUNCTION("""COMPUTED_VALUE"""),24.9)</f>
        <v>24.9</v>
      </c>
      <c r="K1057" s="2"/>
      <c r="L1057" s="2" t="str">
        <f>IFERROR(__xludf.DUMMYFUNCTION("""COMPUTED_VALUE"""),"Delivered")</f>
        <v>Delivered</v>
      </c>
      <c r="M1057" s="2" t="str">
        <f>IFERROR(__xludf.DUMMYFUNCTION("""COMPUTED_VALUE"""),"")</f>
        <v></v>
      </c>
      <c r="N1057" s="2" t="str">
        <f>IFERROR(__xludf.DUMMYFUNCTION("""COMPUTED_VALUE"""),"Tamara: split in 3, interest-free")</f>
        <v>Tamara: split in 3, interest-free</v>
      </c>
      <c r="O1057" s="4">
        <f>IFERROR(__xludf.DUMMYFUNCTION("""COMPUTED_VALUE"""),0.0)</f>
        <v>0</v>
      </c>
      <c r="P1057" s="2">
        <f>IFERROR(__xludf.DUMMYFUNCTION("""COMPUTED_VALUE"""),6.0)</f>
        <v>6</v>
      </c>
      <c r="Q1057" s="2">
        <f>IFERROR(__xludf.DUMMYFUNCTION("""COMPUTED_VALUE"""),9.0)</f>
        <v>9</v>
      </c>
      <c r="R1057" s="2">
        <f>IFERROR(__xludf.DUMMYFUNCTION("""COMPUTED_VALUE"""),2025.0)</f>
        <v>2025</v>
      </c>
      <c r="S1057" s="2" t="str">
        <f>IFERROR(__xludf.DUMMYFUNCTION("""COMPUTED_VALUE"""),"Digizag")</f>
        <v>Digizag</v>
      </c>
      <c r="T1057" s="2" t="str">
        <f>IFERROR(__xludf.DUMMYFUNCTION("""COMPUTED_VALUE"""),"Digizag")</f>
        <v>Digizag</v>
      </c>
      <c r="U1057" s="5">
        <f>IFERROR(__xludf.DUMMYFUNCTION("""COMPUTED_VALUE"""),67.801225422)</f>
        <v>67.80122542</v>
      </c>
      <c r="V1057" s="2"/>
      <c r="W1057" s="2"/>
      <c r="X1057" s="2"/>
      <c r="Y1057" s="2"/>
      <c r="Z1057" s="2"/>
    </row>
    <row r="1058">
      <c r="A1058" s="6">
        <f>IFERROR(__xludf.DUMMYFUNCTION("""COMPUTED_VALUE"""),45906.239953703705)</f>
        <v>45906.23995</v>
      </c>
      <c r="B1058" s="2" t="str">
        <f>IFERROR(__xludf.DUMMYFUNCTION("""COMPUTED_VALUE"""),"September")</f>
        <v>September</v>
      </c>
      <c r="C1058" s="3">
        <f>IFERROR(__xludf.DUMMYFUNCTION("""COMPUTED_VALUE"""),163177.0)</f>
        <v>163177</v>
      </c>
      <c r="D1058" s="2" t="str">
        <f>IFERROR(__xludf.DUMMYFUNCTION("""COMPUTED_VALUE"""),"DB6")</f>
        <v>DB6</v>
      </c>
      <c r="E1058" s="2" t="str">
        <f>IFERROR(__xludf.DUMMYFUNCTION("""COMPUTED_VALUE"""),"Digizag")</f>
        <v>Digizag</v>
      </c>
      <c r="F1058" s="2" t="str">
        <f>IFERROR(__xludf.DUMMYFUNCTION("""COMPUTED_VALUE"""),"GLP460255")</f>
        <v>GLP460255</v>
      </c>
      <c r="G1058" s="2" t="str">
        <f>IFERROR(__xludf.DUMMYFUNCTION("""COMPUTED_VALUE"""),"Kingdom of Saudi Arabia")</f>
        <v>Kingdom of Saudi Arabia</v>
      </c>
      <c r="H1058" s="4">
        <f>IFERROR(__xludf.DUMMYFUNCTION("""COMPUTED_VALUE"""),94.78)</f>
        <v>94.78</v>
      </c>
      <c r="I1058" s="3">
        <f>IFERROR(__xludf.DUMMYFUNCTION("""COMPUTED_VALUE"""),0.0)</f>
        <v>0</v>
      </c>
      <c r="J1058" s="4">
        <f>IFERROR(__xludf.DUMMYFUNCTION("""COMPUTED_VALUE"""),23.69)</f>
        <v>23.69</v>
      </c>
      <c r="K1058" s="2"/>
      <c r="L1058" s="2" t="str">
        <f>IFERROR(__xludf.DUMMYFUNCTION("""COMPUTED_VALUE"""),"Delivered")</f>
        <v>Delivered</v>
      </c>
      <c r="M1058" s="2" t="str">
        <f>IFERROR(__xludf.DUMMYFUNCTION("""COMPUTED_VALUE"""),"")</f>
        <v></v>
      </c>
      <c r="N1058" s="2" t="str">
        <f>IFERROR(__xludf.DUMMYFUNCTION("""COMPUTED_VALUE"""),"Credit, Debit, Apple Pay")</f>
        <v>Credit, Debit, Apple Pay</v>
      </c>
      <c r="O1058" s="4">
        <f>IFERROR(__xludf.DUMMYFUNCTION("""COMPUTED_VALUE"""),0.0)</f>
        <v>0</v>
      </c>
      <c r="P1058" s="2">
        <f>IFERROR(__xludf.DUMMYFUNCTION("""COMPUTED_VALUE"""),6.0)</f>
        <v>6</v>
      </c>
      <c r="Q1058" s="2">
        <f>IFERROR(__xludf.DUMMYFUNCTION("""COMPUTED_VALUE"""),9.0)</f>
        <v>9</v>
      </c>
      <c r="R1058" s="2">
        <f>IFERROR(__xludf.DUMMYFUNCTION("""COMPUTED_VALUE"""),2025.0)</f>
        <v>2025</v>
      </c>
      <c r="S1058" s="2" t="str">
        <f>IFERROR(__xludf.DUMMYFUNCTION("""COMPUTED_VALUE"""),"Digizag")</f>
        <v>Digizag</v>
      </c>
      <c r="T1058" s="2" t="str">
        <f>IFERROR(__xludf.DUMMYFUNCTION("""COMPUTED_VALUE"""),"Digizag")</f>
        <v>Digizag</v>
      </c>
      <c r="U1058" s="5">
        <f>IFERROR(__xludf.DUMMYFUNCTION("""COMPUTED_VALUE"""),25.272712239880004)</f>
        <v>25.27271224</v>
      </c>
      <c r="V1058" s="2"/>
      <c r="W1058" s="2"/>
      <c r="X1058" s="2"/>
      <c r="Y1058" s="2"/>
      <c r="Z1058" s="2"/>
    </row>
    <row r="1059">
      <c r="A1059" s="6">
        <f>IFERROR(__xludf.DUMMYFUNCTION("""COMPUTED_VALUE"""),45906.27002314814)</f>
        <v>45906.27002</v>
      </c>
      <c r="B1059" s="2" t="str">
        <f>IFERROR(__xludf.DUMMYFUNCTION("""COMPUTED_VALUE"""),"September")</f>
        <v>September</v>
      </c>
      <c r="C1059" s="3">
        <f>IFERROR(__xludf.DUMMYFUNCTION("""COMPUTED_VALUE"""),536946.0)</f>
        <v>536946</v>
      </c>
      <c r="D1059" s="2" t="str">
        <f>IFERROR(__xludf.DUMMYFUNCTION("""COMPUTED_VALUE"""),"ZM22")</f>
        <v>ZM22</v>
      </c>
      <c r="E1059" s="2" t="str">
        <f>IFERROR(__xludf.DUMMYFUNCTION("""COMPUTED_VALUE"""),"Imported from file Digizag.xlsx")</f>
        <v>Imported from file Digizag.xlsx</v>
      </c>
      <c r="F1059" s="2" t="str">
        <f>IFERROR(__xludf.DUMMYFUNCTION("""COMPUTED_VALUE"""),"RYQ939449")</f>
        <v>RYQ939449</v>
      </c>
      <c r="G1059" s="2" t="str">
        <f>IFERROR(__xludf.DUMMYFUNCTION("""COMPUTED_VALUE"""),"Kingdom of Saudi Arabia")</f>
        <v>Kingdom of Saudi Arabia</v>
      </c>
      <c r="H1059" s="4">
        <f>IFERROR(__xludf.DUMMYFUNCTION("""COMPUTED_VALUE"""),265.0)</f>
        <v>265</v>
      </c>
      <c r="I1059" s="3">
        <f>IFERROR(__xludf.DUMMYFUNCTION("""COMPUTED_VALUE"""),0.0)</f>
        <v>0</v>
      </c>
      <c r="J1059" s="4">
        <f>IFERROR(__xludf.DUMMYFUNCTION("""COMPUTED_VALUE"""),30.0)</f>
        <v>30</v>
      </c>
      <c r="K1059" s="2"/>
      <c r="L1059" s="2" t="str">
        <f>IFERROR(__xludf.DUMMYFUNCTION("""COMPUTED_VALUE"""),"Delivered")</f>
        <v>Delivered</v>
      </c>
      <c r="M1059" s="2" t="str">
        <f>IFERROR(__xludf.DUMMYFUNCTION("""COMPUTED_VALUE"""),"")</f>
        <v></v>
      </c>
      <c r="N1059" s="2" t="str">
        <f>IFERROR(__xludf.DUMMYFUNCTION("""COMPUTED_VALUE"""),"Credit, Debit, Apple Pay")</f>
        <v>Credit, Debit, Apple Pay</v>
      </c>
      <c r="O1059" s="4">
        <f>IFERROR(__xludf.DUMMYFUNCTION("""COMPUTED_VALUE"""),0.0)</f>
        <v>0</v>
      </c>
      <c r="P1059" s="2">
        <f>IFERROR(__xludf.DUMMYFUNCTION("""COMPUTED_VALUE"""),6.0)</f>
        <v>6</v>
      </c>
      <c r="Q1059" s="2">
        <f>IFERROR(__xludf.DUMMYFUNCTION("""COMPUTED_VALUE"""),9.0)</f>
        <v>9</v>
      </c>
      <c r="R1059" s="2">
        <f>IFERROR(__xludf.DUMMYFUNCTION("""COMPUTED_VALUE"""),2025.0)</f>
        <v>2025</v>
      </c>
      <c r="S1059" s="2" t="str">
        <f>IFERROR(__xludf.DUMMYFUNCTION("""COMPUTED_VALUE"""),"Digizag")</f>
        <v>Digizag</v>
      </c>
      <c r="T1059" s="2" t="str">
        <f>IFERROR(__xludf.DUMMYFUNCTION("""COMPUTED_VALUE"""),"Digizag")</f>
        <v>Digizag</v>
      </c>
      <c r="U1059" s="5">
        <f>IFERROR(__xludf.DUMMYFUNCTION("""COMPUTED_VALUE"""),70.66120219000001)</f>
        <v>70.66120219</v>
      </c>
      <c r="V1059" s="2"/>
      <c r="W1059" s="2"/>
      <c r="X1059" s="2"/>
      <c r="Y1059" s="2"/>
      <c r="Z1059" s="2"/>
    </row>
    <row r="1060">
      <c r="A1060" s="6">
        <f>IFERROR(__xludf.DUMMYFUNCTION("""COMPUTED_VALUE"""),45906.40275462963)</f>
        <v>45906.40275</v>
      </c>
      <c r="B1060" s="2" t="str">
        <f>IFERROR(__xludf.DUMMYFUNCTION("""COMPUTED_VALUE"""),"September")</f>
        <v>September</v>
      </c>
      <c r="C1060" s="3">
        <f>IFERROR(__xludf.DUMMYFUNCTION("""COMPUTED_VALUE"""),249322.0)</f>
        <v>249322</v>
      </c>
      <c r="D1060" s="2" t="str">
        <f>IFERROR(__xludf.DUMMYFUNCTION("""COMPUTED_VALUE"""),"ZM22")</f>
        <v>ZM22</v>
      </c>
      <c r="E1060" s="2" t="str">
        <f>IFERROR(__xludf.DUMMYFUNCTION("""COMPUTED_VALUE"""),"Imported from file Digizag.xlsx")</f>
        <v>Imported from file Digizag.xlsx</v>
      </c>
      <c r="F1060" s="2" t="str">
        <f>IFERROR(__xludf.DUMMYFUNCTION("""COMPUTED_VALUE"""),"VWM275857")</f>
        <v>VWM275857</v>
      </c>
      <c r="G1060" s="2" t="str">
        <f>IFERROR(__xludf.DUMMYFUNCTION("""COMPUTED_VALUE"""),"UAE")</f>
        <v>UAE</v>
      </c>
      <c r="H1060" s="4">
        <f>IFERROR(__xludf.DUMMYFUNCTION("""COMPUTED_VALUE"""),380.29)</f>
        <v>380.29</v>
      </c>
      <c r="I1060" s="3">
        <f>IFERROR(__xludf.DUMMYFUNCTION("""COMPUTED_VALUE"""),0.0)</f>
        <v>0</v>
      </c>
      <c r="J1060" s="4">
        <f>IFERROR(__xludf.DUMMYFUNCTION("""COMPUTED_VALUE"""),38.02)</f>
        <v>38.02</v>
      </c>
      <c r="K1060" s="2"/>
      <c r="L1060" s="2" t="str">
        <f>IFERROR(__xludf.DUMMYFUNCTION("""COMPUTED_VALUE"""),"Delivered")</f>
        <v>Delivered</v>
      </c>
      <c r="M1060" s="2" t="str">
        <f>IFERROR(__xludf.DUMMYFUNCTION("""COMPUTED_VALUE"""),"")</f>
        <v></v>
      </c>
      <c r="N1060" s="2" t="str">
        <f>IFERROR(__xludf.DUMMYFUNCTION("""COMPUTED_VALUE"""),"Credit, Debit , Apple Pay")</f>
        <v>Credit, Debit , Apple Pay</v>
      </c>
      <c r="O1060" s="4">
        <f>IFERROR(__xludf.DUMMYFUNCTION("""COMPUTED_VALUE"""),0.0)</f>
        <v>0</v>
      </c>
      <c r="P1060" s="2">
        <f>IFERROR(__xludf.DUMMYFUNCTION("""COMPUTED_VALUE"""),6.0)</f>
        <v>6</v>
      </c>
      <c r="Q1060" s="2">
        <f>IFERROR(__xludf.DUMMYFUNCTION("""COMPUTED_VALUE"""),9.0)</f>
        <v>9</v>
      </c>
      <c r="R1060" s="2">
        <f>IFERROR(__xludf.DUMMYFUNCTION("""COMPUTED_VALUE"""),2025.0)</f>
        <v>2025</v>
      </c>
      <c r="S1060" s="2" t="str">
        <f>IFERROR(__xludf.DUMMYFUNCTION("""COMPUTED_VALUE"""),"Digizag")</f>
        <v>Digizag</v>
      </c>
      <c r="T1060" s="2" t="str">
        <f>IFERROR(__xludf.DUMMYFUNCTION("""COMPUTED_VALUE"""),"Digizag")</f>
        <v>Digizag</v>
      </c>
      <c r="U1060" s="5">
        <f>IFERROR(__xludf.DUMMYFUNCTION("""COMPUTED_VALUE"""),103.55071492262)</f>
        <v>103.5507149</v>
      </c>
      <c r="V1060" s="2"/>
      <c r="W1060" s="2"/>
      <c r="X1060" s="2"/>
      <c r="Y1060" s="2"/>
      <c r="Z1060" s="2"/>
    </row>
    <row r="1061">
      <c r="A1061" s="6">
        <f>IFERROR(__xludf.DUMMYFUNCTION("""COMPUTED_VALUE"""),45906.53315972222)</f>
        <v>45906.53316</v>
      </c>
      <c r="B1061" s="2" t="str">
        <f>IFERROR(__xludf.DUMMYFUNCTION("""COMPUTED_VALUE"""),"September")</f>
        <v>September</v>
      </c>
      <c r="C1061" s="3">
        <f>IFERROR(__xludf.DUMMYFUNCTION("""COMPUTED_VALUE"""),159023.0)</f>
        <v>159023</v>
      </c>
      <c r="D1061" s="2" t="str">
        <f>IFERROR(__xludf.DUMMYFUNCTION("""COMPUTED_VALUE"""),"ZM22")</f>
        <v>ZM22</v>
      </c>
      <c r="E1061" s="2" t="str">
        <f>IFERROR(__xludf.DUMMYFUNCTION("""COMPUTED_VALUE"""),"Imported from file Digizag.xlsx")</f>
        <v>Imported from file Digizag.xlsx</v>
      </c>
      <c r="F1061" s="2" t="str">
        <f>IFERROR(__xludf.DUMMYFUNCTION("""COMPUTED_VALUE"""),"HMM196930")</f>
        <v>HMM196930</v>
      </c>
      <c r="G1061" s="2" t="str">
        <f>IFERROR(__xludf.DUMMYFUNCTION("""COMPUTED_VALUE"""),"Kuwait")</f>
        <v>Kuwait</v>
      </c>
      <c r="H1061" s="4">
        <f>IFERROR(__xludf.DUMMYFUNCTION("""COMPUTED_VALUE"""),6.45)</f>
        <v>6.45</v>
      </c>
      <c r="I1061" s="3">
        <f>IFERROR(__xludf.DUMMYFUNCTION("""COMPUTED_VALUE"""),0.0)</f>
        <v>0</v>
      </c>
      <c r="J1061" s="4">
        <f>IFERROR(__xludf.DUMMYFUNCTION("""COMPUTED_VALUE"""),0.645)</f>
        <v>0.645</v>
      </c>
      <c r="K1061" s="2"/>
      <c r="L1061" s="2" t="str">
        <f>IFERROR(__xludf.DUMMYFUNCTION("""COMPUTED_VALUE"""),"Delivered")</f>
        <v>Delivered</v>
      </c>
      <c r="M1061" s="2" t="str">
        <f>IFERROR(__xludf.DUMMYFUNCTION("""COMPUTED_VALUE"""),"KD")</f>
        <v>KD</v>
      </c>
      <c r="N1061" s="2" t="str">
        <f>IFERROR(__xludf.DUMMYFUNCTION("""COMPUTED_VALUE"""),"Credit, Debit, Knet")</f>
        <v>Credit, Debit, Knet</v>
      </c>
      <c r="O1061" s="4">
        <f>IFERROR(__xludf.DUMMYFUNCTION("""COMPUTED_VALUE"""),0.0)</f>
        <v>0</v>
      </c>
      <c r="P1061" s="2">
        <f>IFERROR(__xludf.DUMMYFUNCTION("""COMPUTED_VALUE"""),6.0)</f>
        <v>6</v>
      </c>
      <c r="Q1061" s="2">
        <f>IFERROR(__xludf.DUMMYFUNCTION("""COMPUTED_VALUE"""),9.0)</f>
        <v>9</v>
      </c>
      <c r="R1061" s="2">
        <f>IFERROR(__xludf.DUMMYFUNCTION("""COMPUTED_VALUE"""),2025.0)</f>
        <v>2025</v>
      </c>
      <c r="S1061" s="2" t="str">
        <f>IFERROR(__xludf.DUMMYFUNCTION("""COMPUTED_VALUE"""),"Digizag")</f>
        <v>Digizag</v>
      </c>
      <c r="T1061" s="2" t="str">
        <f>IFERROR(__xludf.DUMMYFUNCTION("""COMPUTED_VALUE"""),"Digizag")</f>
        <v>Digizag</v>
      </c>
      <c r="U1061" s="5">
        <f>IFERROR(__xludf.DUMMYFUNCTION("""COMPUTED_VALUE"""),21.030999)</f>
        <v>21.030999</v>
      </c>
      <c r="V1061" s="2"/>
      <c r="W1061" s="2"/>
      <c r="X1061" s="2"/>
      <c r="Y1061" s="2"/>
      <c r="Z1061" s="2"/>
    </row>
    <row r="1062">
      <c r="A1062" s="6">
        <f>IFERROR(__xludf.DUMMYFUNCTION("""COMPUTED_VALUE"""),45906.58688657407)</f>
        <v>45906.58689</v>
      </c>
      <c r="B1062" s="2" t="str">
        <f>IFERROR(__xludf.DUMMYFUNCTION("""COMPUTED_VALUE"""),"September")</f>
        <v>September</v>
      </c>
      <c r="C1062" s="3">
        <f>IFERROR(__xludf.DUMMYFUNCTION("""COMPUTED_VALUE"""),692797.0)</f>
        <v>692797</v>
      </c>
      <c r="D1062" s="2" t="str">
        <f>IFERROR(__xludf.DUMMYFUNCTION("""COMPUTED_VALUE"""),"CC22")</f>
        <v>CC22</v>
      </c>
      <c r="E1062" s="2" t="str">
        <f>IFERROR(__xludf.DUMMYFUNCTION("""COMPUTED_VALUE"""),"Imported from file Digizag.xlsx")</f>
        <v>Imported from file Digizag.xlsx</v>
      </c>
      <c r="F1062" s="2" t="str">
        <f>IFERROR(__xludf.DUMMYFUNCTION("""COMPUTED_VALUE"""),"PKQ532656")</f>
        <v>PKQ532656</v>
      </c>
      <c r="G1062" s="2" t="str">
        <f>IFERROR(__xludf.DUMMYFUNCTION("""COMPUTED_VALUE"""),"UAE")</f>
        <v>UAE</v>
      </c>
      <c r="H1062" s="4">
        <f>IFERROR(__xludf.DUMMYFUNCTION("""COMPUTED_VALUE"""),140.0)</f>
        <v>140</v>
      </c>
      <c r="I1062" s="3">
        <f>IFERROR(__xludf.DUMMYFUNCTION("""COMPUTED_VALUE"""),0.0)</f>
        <v>0</v>
      </c>
      <c r="J1062" s="4">
        <f>IFERROR(__xludf.DUMMYFUNCTION("""COMPUTED_VALUE"""),14.0)</f>
        <v>14</v>
      </c>
      <c r="K1062" s="2"/>
      <c r="L1062" s="2" t="str">
        <f>IFERROR(__xludf.DUMMYFUNCTION("""COMPUTED_VALUE"""),"Delivered")</f>
        <v>Delivered</v>
      </c>
      <c r="M1062" s="2" t="str">
        <f>IFERROR(__xludf.DUMMYFUNCTION("""COMPUTED_VALUE"""),"")</f>
        <v></v>
      </c>
      <c r="N1062" s="2" t="str">
        <f>IFERROR(__xludf.DUMMYFUNCTION("""COMPUTED_VALUE"""),"Credit, Debit , Apple Pay")</f>
        <v>Credit, Debit , Apple Pay</v>
      </c>
      <c r="O1062" s="4">
        <f>IFERROR(__xludf.DUMMYFUNCTION("""COMPUTED_VALUE"""),0.0)</f>
        <v>0</v>
      </c>
      <c r="P1062" s="2">
        <f>IFERROR(__xludf.DUMMYFUNCTION("""COMPUTED_VALUE"""),6.0)</f>
        <v>6</v>
      </c>
      <c r="Q1062" s="2">
        <f>IFERROR(__xludf.DUMMYFUNCTION("""COMPUTED_VALUE"""),9.0)</f>
        <v>9</v>
      </c>
      <c r="R1062" s="2">
        <f>IFERROR(__xludf.DUMMYFUNCTION("""COMPUTED_VALUE"""),2025.0)</f>
        <v>2025</v>
      </c>
      <c r="S1062" s="2" t="str">
        <f>IFERROR(__xludf.DUMMYFUNCTION("""COMPUTED_VALUE"""),"Digizag")</f>
        <v>Digizag</v>
      </c>
      <c r="T1062" s="2" t="str">
        <f>IFERROR(__xludf.DUMMYFUNCTION("""COMPUTED_VALUE"""),"Digizag")</f>
        <v>Digizag</v>
      </c>
      <c r="U1062" s="5">
        <f>IFERROR(__xludf.DUMMYFUNCTION("""COMPUTED_VALUE"""),38.12117092)</f>
        <v>38.12117092</v>
      </c>
      <c r="V1062" s="2"/>
      <c r="W1062" s="2"/>
      <c r="X1062" s="2"/>
      <c r="Y1062" s="2"/>
      <c r="Z1062" s="2"/>
    </row>
    <row r="1063">
      <c r="A1063" s="6">
        <f>IFERROR(__xludf.DUMMYFUNCTION("""COMPUTED_VALUE"""),45906.862442129626)</f>
        <v>45906.86244</v>
      </c>
      <c r="B1063" s="2" t="str">
        <f>IFERROR(__xludf.DUMMYFUNCTION("""COMPUTED_VALUE"""),"September")</f>
        <v>September</v>
      </c>
      <c r="C1063" s="3">
        <f>IFERROR(__xludf.DUMMYFUNCTION("""COMPUTED_VALUE"""),797082.0)</f>
        <v>797082</v>
      </c>
      <c r="D1063" s="2" t="str">
        <f>IFERROR(__xludf.DUMMYFUNCTION("""COMPUTED_VALUE"""),"DB6")</f>
        <v>DB6</v>
      </c>
      <c r="E1063" s="2" t="str">
        <f>IFERROR(__xludf.DUMMYFUNCTION("""COMPUTED_VALUE"""),"Digizag")</f>
        <v>Digizag</v>
      </c>
      <c r="F1063" s="2" t="str">
        <f>IFERROR(__xludf.DUMMYFUNCTION("""COMPUTED_VALUE"""),"CUS946396")</f>
        <v>CUS946396</v>
      </c>
      <c r="G1063" s="2" t="str">
        <f>IFERROR(__xludf.DUMMYFUNCTION("""COMPUTED_VALUE"""),"UAE")</f>
        <v>UAE</v>
      </c>
      <c r="H1063" s="4">
        <f>IFERROR(__xludf.DUMMYFUNCTION("""COMPUTED_VALUE"""),165.0)</f>
        <v>165</v>
      </c>
      <c r="I1063" s="3">
        <f>IFERROR(__xludf.DUMMYFUNCTION("""COMPUTED_VALUE"""),0.0)</f>
        <v>0</v>
      </c>
      <c r="J1063" s="4">
        <f>IFERROR(__xludf.DUMMYFUNCTION("""COMPUTED_VALUE"""),16.5)</f>
        <v>16.5</v>
      </c>
      <c r="K1063" s="2"/>
      <c r="L1063" s="2" t="str">
        <f>IFERROR(__xludf.DUMMYFUNCTION("""COMPUTED_VALUE"""),"Delivered")</f>
        <v>Delivered</v>
      </c>
      <c r="M1063" s="2" t="str">
        <f>IFERROR(__xludf.DUMMYFUNCTION("""COMPUTED_VALUE"""),"")</f>
        <v></v>
      </c>
      <c r="N1063" s="2" t="str">
        <f>IFERROR(__xludf.DUMMYFUNCTION("""COMPUTED_VALUE"""),"Credit, Debit , Apple Pay")</f>
        <v>Credit, Debit , Apple Pay</v>
      </c>
      <c r="O1063" s="4">
        <f>IFERROR(__xludf.DUMMYFUNCTION("""COMPUTED_VALUE"""),0.0)</f>
        <v>0</v>
      </c>
      <c r="P1063" s="2">
        <f>IFERROR(__xludf.DUMMYFUNCTION("""COMPUTED_VALUE"""),6.0)</f>
        <v>6</v>
      </c>
      <c r="Q1063" s="2">
        <f>IFERROR(__xludf.DUMMYFUNCTION("""COMPUTED_VALUE"""),9.0)</f>
        <v>9</v>
      </c>
      <c r="R1063" s="2">
        <f>IFERROR(__xludf.DUMMYFUNCTION("""COMPUTED_VALUE"""),2025.0)</f>
        <v>2025</v>
      </c>
      <c r="S1063" s="2" t="str">
        <f>IFERROR(__xludf.DUMMYFUNCTION("""COMPUTED_VALUE"""),"Digizag")</f>
        <v>Digizag</v>
      </c>
      <c r="T1063" s="2" t="str">
        <f>IFERROR(__xludf.DUMMYFUNCTION("""COMPUTED_VALUE"""),"Digizag")</f>
        <v>Digizag</v>
      </c>
      <c r="U1063" s="5">
        <f>IFERROR(__xludf.DUMMYFUNCTION("""COMPUTED_VALUE"""),44.92852287)</f>
        <v>44.92852287</v>
      </c>
      <c r="V1063" s="2"/>
      <c r="W1063" s="2"/>
      <c r="X1063" s="2"/>
      <c r="Y1063" s="2"/>
      <c r="Z1063" s="2"/>
    </row>
    <row r="1064">
      <c r="A1064" s="6">
        <f>IFERROR(__xludf.DUMMYFUNCTION("""COMPUTED_VALUE"""),45907.377858796295)</f>
        <v>45907.37786</v>
      </c>
      <c r="B1064" s="2" t="str">
        <f>IFERROR(__xludf.DUMMYFUNCTION("""COMPUTED_VALUE"""),"September")</f>
        <v>September</v>
      </c>
      <c r="C1064" s="3">
        <f>IFERROR(__xludf.DUMMYFUNCTION("""COMPUTED_VALUE"""),589632.0)</f>
        <v>589632</v>
      </c>
      <c r="D1064" s="2" t="str">
        <f>IFERROR(__xludf.DUMMYFUNCTION("""COMPUTED_VALUE"""),"RR22")</f>
        <v>RR22</v>
      </c>
      <c r="E1064" s="2" t="str">
        <f>IFERROR(__xludf.DUMMYFUNCTION("""COMPUTED_VALUE"""),"Imported from file Digizag.xlsx")</f>
        <v>Imported from file Digizag.xlsx</v>
      </c>
      <c r="F1064" s="2" t="str">
        <f>IFERROR(__xludf.DUMMYFUNCTION("""COMPUTED_VALUE"""),"HQV390198")</f>
        <v>HQV390198</v>
      </c>
      <c r="G1064" s="2" t="str">
        <f>IFERROR(__xludf.DUMMYFUNCTION("""COMPUTED_VALUE"""),"UAE")</f>
        <v>UAE</v>
      </c>
      <c r="H1064" s="4">
        <f>IFERROR(__xludf.DUMMYFUNCTION("""COMPUTED_VALUE"""),84.0)</f>
        <v>84</v>
      </c>
      <c r="I1064" s="3">
        <f>IFERROR(__xludf.DUMMYFUNCTION("""COMPUTED_VALUE"""),0.0)</f>
        <v>0</v>
      </c>
      <c r="J1064" s="4">
        <f>IFERROR(__xludf.DUMMYFUNCTION("""COMPUTED_VALUE"""),8.4)</f>
        <v>8.4</v>
      </c>
      <c r="K1064" s="2"/>
      <c r="L1064" s="2" t="str">
        <f>IFERROR(__xludf.DUMMYFUNCTION("""COMPUTED_VALUE"""),"Delivered")</f>
        <v>Delivered</v>
      </c>
      <c r="M1064" s="2" t="str">
        <f>IFERROR(__xludf.DUMMYFUNCTION("""COMPUTED_VALUE"""),"")</f>
        <v></v>
      </c>
      <c r="N1064" s="2" t="str">
        <f>IFERROR(__xludf.DUMMYFUNCTION("""COMPUTED_VALUE"""),"Credit, Debit , Apple Pay")</f>
        <v>Credit, Debit , Apple Pay</v>
      </c>
      <c r="O1064" s="4">
        <f>IFERROR(__xludf.DUMMYFUNCTION("""COMPUTED_VALUE"""),0.0)</f>
        <v>0</v>
      </c>
      <c r="P1064" s="2">
        <f>IFERROR(__xludf.DUMMYFUNCTION("""COMPUTED_VALUE"""),7.0)</f>
        <v>7</v>
      </c>
      <c r="Q1064" s="2">
        <f>IFERROR(__xludf.DUMMYFUNCTION("""COMPUTED_VALUE"""),9.0)</f>
        <v>9</v>
      </c>
      <c r="R1064" s="2">
        <f>IFERROR(__xludf.DUMMYFUNCTION("""COMPUTED_VALUE"""),2025.0)</f>
        <v>2025</v>
      </c>
      <c r="S1064" s="2" t="str">
        <f>IFERROR(__xludf.DUMMYFUNCTION("""COMPUTED_VALUE"""),"Digizag")</f>
        <v>Digizag</v>
      </c>
      <c r="T1064" s="2" t="str">
        <f>IFERROR(__xludf.DUMMYFUNCTION("""COMPUTED_VALUE"""),"Digizag")</f>
        <v>Digizag</v>
      </c>
      <c r="U1064" s="5">
        <f>IFERROR(__xludf.DUMMYFUNCTION("""COMPUTED_VALUE"""),22.872702552)</f>
        <v>22.87270255</v>
      </c>
      <c r="V1064" s="2"/>
      <c r="W1064" s="2"/>
      <c r="X1064" s="2"/>
      <c r="Y1064" s="2"/>
      <c r="Z1064" s="2"/>
    </row>
    <row r="1065">
      <c r="A1065" s="6">
        <f>IFERROR(__xludf.DUMMYFUNCTION("""COMPUTED_VALUE"""),45907.52575231481)</f>
        <v>45907.52575</v>
      </c>
      <c r="B1065" s="2" t="str">
        <f>IFERROR(__xludf.DUMMYFUNCTION("""COMPUTED_VALUE"""),"September")</f>
        <v>September</v>
      </c>
      <c r="C1065" s="3">
        <f>IFERROR(__xludf.DUMMYFUNCTION("""COMPUTED_VALUE"""),540033.0)</f>
        <v>540033</v>
      </c>
      <c r="D1065" s="2" t="str">
        <f>IFERROR(__xludf.DUMMYFUNCTION("""COMPUTED_VALUE"""),"RR22")</f>
        <v>RR22</v>
      </c>
      <c r="E1065" s="2" t="str">
        <f>IFERROR(__xludf.DUMMYFUNCTION("""COMPUTED_VALUE"""),"Imported from file Digizag.xlsx")</f>
        <v>Imported from file Digizag.xlsx</v>
      </c>
      <c r="F1065" s="2" t="str">
        <f>IFERROR(__xludf.DUMMYFUNCTION("""COMPUTED_VALUE"""),"EAA887469")</f>
        <v>EAA887469</v>
      </c>
      <c r="G1065" s="2" t="str">
        <f>IFERROR(__xludf.DUMMYFUNCTION("""COMPUTED_VALUE"""),"UAE")</f>
        <v>UAE</v>
      </c>
      <c r="H1065" s="4">
        <f>IFERROR(__xludf.DUMMYFUNCTION("""COMPUTED_VALUE"""),142.0)</f>
        <v>142</v>
      </c>
      <c r="I1065" s="3">
        <f>IFERROR(__xludf.DUMMYFUNCTION("""COMPUTED_VALUE"""),0.0)</f>
        <v>0</v>
      </c>
      <c r="J1065" s="4">
        <f>IFERROR(__xludf.DUMMYFUNCTION("""COMPUTED_VALUE"""),14.2)</f>
        <v>14.2</v>
      </c>
      <c r="K1065" s="2"/>
      <c r="L1065" s="2" t="str">
        <f>IFERROR(__xludf.DUMMYFUNCTION("""COMPUTED_VALUE"""),"Delivered")</f>
        <v>Delivered</v>
      </c>
      <c r="M1065" s="2" t="str">
        <f>IFERROR(__xludf.DUMMYFUNCTION("""COMPUTED_VALUE"""),"")</f>
        <v></v>
      </c>
      <c r="N1065" s="2" t="str">
        <f>IFERROR(__xludf.DUMMYFUNCTION("""COMPUTED_VALUE"""),"Credit, Debit , Apple Pay")</f>
        <v>Credit, Debit , Apple Pay</v>
      </c>
      <c r="O1065" s="4">
        <f>IFERROR(__xludf.DUMMYFUNCTION("""COMPUTED_VALUE"""),0.0)</f>
        <v>0</v>
      </c>
      <c r="P1065" s="2">
        <f>IFERROR(__xludf.DUMMYFUNCTION("""COMPUTED_VALUE"""),7.0)</f>
        <v>7</v>
      </c>
      <c r="Q1065" s="2">
        <f>IFERROR(__xludf.DUMMYFUNCTION("""COMPUTED_VALUE"""),9.0)</f>
        <v>9</v>
      </c>
      <c r="R1065" s="2">
        <f>IFERROR(__xludf.DUMMYFUNCTION("""COMPUTED_VALUE"""),2025.0)</f>
        <v>2025</v>
      </c>
      <c r="S1065" s="2" t="str">
        <f>IFERROR(__xludf.DUMMYFUNCTION("""COMPUTED_VALUE"""),"Digizag")</f>
        <v>Digizag</v>
      </c>
      <c r="T1065" s="2" t="str">
        <f>IFERROR(__xludf.DUMMYFUNCTION("""COMPUTED_VALUE"""),"Digizag")</f>
        <v>Digizag</v>
      </c>
      <c r="U1065" s="5">
        <f>IFERROR(__xludf.DUMMYFUNCTION("""COMPUTED_VALUE"""),38.665759076)</f>
        <v>38.66575908</v>
      </c>
      <c r="V1065" s="2"/>
      <c r="W1065" s="2"/>
      <c r="X1065" s="2"/>
      <c r="Y1065" s="2"/>
      <c r="Z1065" s="2"/>
    </row>
    <row r="1066">
      <c r="A1066" s="6">
        <f>IFERROR(__xludf.DUMMYFUNCTION("""COMPUTED_VALUE"""),45907.59643518518)</f>
        <v>45907.59644</v>
      </c>
      <c r="B1066" s="2" t="str">
        <f>IFERROR(__xludf.DUMMYFUNCTION("""COMPUTED_VALUE"""),"September")</f>
        <v>September</v>
      </c>
      <c r="C1066" s="3">
        <f>IFERROR(__xludf.DUMMYFUNCTION("""COMPUTED_VALUE"""),797261.0)</f>
        <v>797261</v>
      </c>
      <c r="D1066" s="2" t="str">
        <f>IFERROR(__xludf.DUMMYFUNCTION("""COMPUTED_VALUE"""),"RR22")</f>
        <v>RR22</v>
      </c>
      <c r="E1066" s="2" t="str">
        <f>IFERROR(__xludf.DUMMYFUNCTION("""COMPUTED_VALUE"""),"Imported from file Digizag.xlsx")</f>
        <v>Imported from file Digizag.xlsx</v>
      </c>
      <c r="F1066" s="2" t="str">
        <f>IFERROR(__xludf.DUMMYFUNCTION("""COMPUTED_VALUE"""),"SHA287482")</f>
        <v>SHA287482</v>
      </c>
      <c r="G1066" s="2" t="str">
        <f>IFERROR(__xludf.DUMMYFUNCTION("""COMPUTED_VALUE"""),"UAE")</f>
        <v>UAE</v>
      </c>
      <c r="H1066" s="4">
        <f>IFERROR(__xludf.DUMMYFUNCTION("""COMPUTED_VALUE"""),276.78)</f>
        <v>276.78</v>
      </c>
      <c r="I1066" s="3">
        <f>IFERROR(__xludf.DUMMYFUNCTION("""COMPUTED_VALUE"""),0.0)</f>
        <v>0</v>
      </c>
      <c r="J1066" s="4">
        <f>IFERROR(__xludf.DUMMYFUNCTION("""COMPUTED_VALUE"""),27.66)</f>
        <v>27.66</v>
      </c>
      <c r="K1066" s="2"/>
      <c r="L1066" s="2" t="str">
        <f>IFERROR(__xludf.DUMMYFUNCTION("""COMPUTED_VALUE"""),"Delivered")</f>
        <v>Delivered</v>
      </c>
      <c r="M1066" s="2" t="str">
        <f>IFERROR(__xludf.DUMMYFUNCTION("""COMPUTED_VALUE"""),"")</f>
        <v></v>
      </c>
      <c r="N1066" s="2" t="str">
        <f>IFERROR(__xludf.DUMMYFUNCTION("""COMPUTED_VALUE"""),"Credit, Debit , Apple Pay")</f>
        <v>Credit, Debit , Apple Pay</v>
      </c>
      <c r="O1066" s="4">
        <f>IFERROR(__xludf.DUMMYFUNCTION("""COMPUTED_VALUE"""),0.0)</f>
        <v>0</v>
      </c>
      <c r="P1066" s="2">
        <f>IFERROR(__xludf.DUMMYFUNCTION("""COMPUTED_VALUE"""),7.0)</f>
        <v>7</v>
      </c>
      <c r="Q1066" s="2">
        <f>IFERROR(__xludf.DUMMYFUNCTION("""COMPUTED_VALUE"""),9.0)</f>
        <v>9</v>
      </c>
      <c r="R1066" s="2">
        <f>IFERROR(__xludf.DUMMYFUNCTION("""COMPUTED_VALUE"""),2025.0)</f>
        <v>2025</v>
      </c>
      <c r="S1066" s="2" t="str">
        <f>IFERROR(__xludf.DUMMYFUNCTION("""COMPUTED_VALUE"""),"Digizag")</f>
        <v>Digizag</v>
      </c>
      <c r="T1066" s="2" t="str">
        <f>IFERROR(__xludf.DUMMYFUNCTION("""COMPUTED_VALUE"""),"Digizag")</f>
        <v>Digizag</v>
      </c>
      <c r="U1066" s="5">
        <f>IFERROR(__xludf.DUMMYFUNCTION("""COMPUTED_VALUE"""),75.36555490884)</f>
        <v>75.36555491</v>
      </c>
      <c r="V1066" s="2"/>
      <c r="W1066" s="2"/>
      <c r="X1066" s="2"/>
      <c r="Y1066" s="2"/>
      <c r="Z1066" s="2"/>
    </row>
    <row r="1067">
      <c r="A1067" s="6">
        <f>IFERROR(__xludf.DUMMYFUNCTION("""COMPUTED_VALUE"""),45907.71634259259)</f>
        <v>45907.71634</v>
      </c>
      <c r="B1067" s="2" t="str">
        <f>IFERROR(__xludf.DUMMYFUNCTION("""COMPUTED_VALUE"""),"September")</f>
        <v>September</v>
      </c>
      <c r="C1067" s="3">
        <f>IFERROR(__xludf.DUMMYFUNCTION("""COMPUTED_VALUE"""),160015.0)</f>
        <v>160015</v>
      </c>
      <c r="D1067" s="2" t="str">
        <f>IFERROR(__xludf.DUMMYFUNCTION("""COMPUTED_VALUE"""),"DG3")</f>
        <v>DG3</v>
      </c>
      <c r="E1067" s="2" t="str">
        <f>IFERROR(__xludf.DUMMYFUNCTION("""COMPUTED_VALUE"""),"Imported from file Digizag.xlsx")</f>
        <v>Imported from file Digizag.xlsx</v>
      </c>
      <c r="F1067" s="2" t="str">
        <f>IFERROR(__xludf.DUMMYFUNCTION("""COMPUTED_VALUE"""),"SKM787805")</f>
        <v>SKM787805</v>
      </c>
      <c r="G1067" s="2" t="str">
        <f>IFERROR(__xludf.DUMMYFUNCTION("""COMPUTED_VALUE"""),"UAE")</f>
        <v>UAE</v>
      </c>
      <c r="H1067" s="4">
        <f>IFERROR(__xludf.DUMMYFUNCTION("""COMPUTED_VALUE"""),309.0)</f>
        <v>309</v>
      </c>
      <c r="I1067" s="3">
        <f>IFERROR(__xludf.DUMMYFUNCTION("""COMPUTED_VALUE"""),0.0)</f>
        <v>0</v>
      </c>
      <c r="J1067" s="4">
        <f>IFERROR(__xludf.DUMMYFUNCTION("""COMPUTED_VALUE"""),30.9)</f>
        <v>30.9</v>
      </c>
      <c r="K1067" s="2"/>
      <c r="L1067" s="2" t="str">
        <f>IFERROR(__xludf.DUMMYFUNCTION("""COMPUTED_VALUE"""),"Delivered")</f>
        <v>Delivered</v>
      </c>
      <c r="M1067" s="2" t="str">
        <f>IFERROR(__xludf.DUMMYFUNCTION("""COMPUTED_VALUE"""),"")</f>
        <v></v>
      </c>
      <c r="N1067" s="2" t="str">
        <f>IFERROR(__xludf.DUMMYFUNCTION("""COMPUTED_VALUE"""),"Credit, Debit , Apple Pay")</f>
        <v>Credit, Debit , Apple Pay</v>
      </c>
      <c r="O1067" s="4">
        <f>IFERROR(__xludf.DUMMYFUNCTION("""COMPUTED_VALUE"""),0.0)</f>
        <v>0</v>
      </c>
      <c r="P1067" s="2">
        <f>IFERROR(__xludf.DUMMYFUNCTION("""COMPUTED_VALUE"""),7.0)</f>
        <v>7</v>
      </c>
      <c r="Q1067" s="2">
        <f>IFERROR(__xludf.DUMMYFUNCTION("""COMPUTED_VALUE"""),9.0)</f>
        <v>9</v>
      </c>
      <c r="R1067" s="2">
        <f>IFERROR(__xludf.DUMMYFUNCTION("""COMPUTED_VALUE"""),2025.0)</f>
        <v>2025</v>
      </c>
      <c r="S1067" s="2" t="str">
        <f>IFERROR(__xludf.DUMMYFUNCTION("""COMPUTED_VALUE"""),"Digizag")</f>
        <v>Digizag</v>
      </c>
      <c r="T1067" s="2" t="str">
        <f>IFERROR(__xludf.DUMMYFUNCTION("""COMPUTED_VALUE"""),"Digizag")</f>
        <v>Digizag</v>
      </c>
      <c r="U1067" s="5">
        <f>IFERROR(__xludf.DUMMYFUNCTION("""COMPUTED_VALUE"""),84.138870102)</f>
        <v>84.1388701</v>
      </c>
      <c r="V1067" s="2"/>
      <c r="W1067" s="2"/>
      <c r="X1067" s="2"/>
      <c r="Y1067" s="2"/>
      <c r="Z1067" s="2"/>
    </row>
    <row r="1068">
      <c r="A1068" s="6">
        <f>IFERROR(__xludf.DUMMYFUNCTION("""COMPUTED_VALUE"""),45908.382523148146)</f>
        <v>45908.38252</v>
      </c>
      <c r="B1068" s="2" t="str">
        <f>IFERROR(__xludf.DUMMYFUNCTION("""COMPUTED_VALUE"""),"September")</f>
        <v>September</v>
      </c>
      <c r="C1068" s="3">
        <f>IFERROR(__xludf.DUMMYFUNCTION("""COMPUTED_VALUE"""),797796.0)</f>
        <v>797796</v>
      </c>
      <c r="D1068" s="2" t="str">
        <f>IFERROR(__xludf.DUMMYFUNCTION("""COMPUTED_VALUE"""),"MNN27")</f>
        <v>MNN27</v>
      </c>
      <c r="E1068" s="2" t="str">
        <f>IFERROR(__xludf.DUMMYFUNCTION("""COMPUTED_VALUE"""),"Imported from file DigiZag Bidding Codes.xlsx")</f>
        <v>Imported from file DigiZag Bidding Codes.xlsx</v>
      </c>
      <c r="F1068" s="2" t="str">
        <f>IFERROR(__xludf.DUMMYFUNCTION("""COMPUTED_VALUE"""),"KGP736490")</f>
        <v>KGP736490</v>
      </c>
      <c r="G1068" s="2" t="str">
        <f>IFERROR(__xludf.DUMMYFUNCTION("""COMPUTED_VALUE"""),"Kingdom of Saudi Arabia")</f>
        <v>Kingdom of Saudi Arabia</v>
      </c>
      <c r="H1068" s="4">
        <f>IFERROR(__xludf.DUMMYFUNCTION("""COMPUTED_VALUE"""),148.5)</f>
        <v>148.5</v>
      </c>
      <c r="I1068" s="3">
        <f>IFERROR(__xludf.DUMMYFUNCTION("""COMPUTED_VALUE"""),1.0)</f>
        <v>1</v>
      </c>
      <c r="J1068" s="4">
        <f>IFERROR(__xludf.DUMMYFUNCTION("""COMPUTED_VALUE"""),30.0)</f>
        <v>30</v>
      </c>
      <c r="K1068" s="2"/>
      <c r="L1068" s="2" t="str">
        <f>IFERROR(__xludf.DUMMYFUNCTION("""COMPUTED_VALUE"""),"Cancelled")</f>
        <v>Cancelled</v>
      </c>
      <c r="M1068" s="2" t="str">
        <f>IFERROR(__xludf.DUMMYFUNCTION("""COMPUTED_VALUE"""),"")</f>
        <v></v>
      </c>
      <c r="N1068" s="2" t="str">
        <f>IFERROR(__xludf.DUMMYFUNCTION("""COMPUTED_VALUE"""),"Cash")</f>
        <v>Cash</v>
      </c>
      <c r="O1068" s="4">
        <f>IFERROR(__xludf.DUMMYFUNCTION("""COMPUTED_VALUE"""),118.5)</f>
        <v>118.5</v>
      </c>
      <c r="P1068" s="2">
        <f>IFERROR(__xludf.DUMMYFUNCTION("""COMPUTED_VALUE"""),8.0)</f>
        <v>8</v>
      </c>
      <c r="Q1068" s="2">
        <f>IFERROR(__xludf.DUMMYFUNCTION("""COMPUTED_VALUE"""),9.0)</f>
        <v>9</v>
      </c>
      <c r="R1068" s="2">
        <f>IFERROR(__xludf.DUMMYFUNCTION("""COMPUTED_VALUE"""),2025.0)</f>
        <v>2025</v>
      </c>
      <c r="S1068" s="2" t="str">
        <f>IFERROR(__xludf.DUMMYFUNCTION("""COMPUTED_VALUE"""),"Digizag")</f>
        <v>Digizag</v>
      </c>
      <c r="T1068" s="2" t="str">
        <f>IFERROR(__xludf.DUMMYFUNCTION("""COMPUTED_VALUE"""),"Digizag")</f>
        <v>Digizag</v>
      </c>
      <c r="U1068" s="5">
        <f>IFERROR(__xludf.DUMMYFUNCTION("""COMPUTED_VALUE"""),39.596937831000005)</f>
        <v>39.59693783</v>
      </c>
      <c r="V1068" s="2"/>
      <c r="W1068" s="2"/>
      <c r="X1068" s="2"/>
      <c r="Y1068" s="2"/>
      <c r="Z1068" s="2"/>
    </row>
    <row r="1069">
      <c r="A1069" s="6">
        <f>IFERROR(__xludf.DUMMYFUNCTION("""COMPUTED_VALUE"""),45908.698645833334)</f>
        <v>45908.69865</v>
      </c>
      <c r="B1069" s="2" t="str">
        <f>IFERROR(__xludf.DUMMYFUNCTION("""COMPUTED_VALUE"""),"September")</f>
        <v>September</v>
      </c>
      <c r="C1069" s="3">
        <f>IFERROR(__xludf.DUMMYFUNCTION("""COMPUTED_VALUE"""),798015.0)</f>
        <v>798015</v>
      </c>
      <c r="D1069" s="2" t="str">
        <f>IFERROR(__xludf.DUMMYFUNCTION("""COMPUTED_VALUE"""),"MNN27")</f>
        <v>MNN27</v>
      </c>
      <c r="E1069" s="2" t="str">
        <f>IFERROR(__xludf.DUMMYFUNCTION("""COMPUTED_VALUE"""),"Imported from file DigiZag Codes 25Feb25.xlsx")</f>
        <v>Imported from file DigiZag Codes 25Feb25.xlsx</v>
      </c>
      <c r="F1069" s="2" t="str">
        <f>IFERROR(__xludf.DUMMYFUNCTION("""COMPUTED_VALUE"""),"WRD944317")</f>
        <v>WRD944317</v>
      </c>
      <c r="G1069" s="2" t="str">
        <f>IFERROR(__xludf.DUMMYFUNCTION("""COMPUTED_VALUE"""),"Kuwait")</f>
        <v>Kuwait</v>
      </c>
      <c r="H1069" s="4">
        <f>IFERROR(__xludf.DUMMYFUNCTION("""COMPUTED_VALUE"""),6.8)</f>
        <v>6.8</v>
      </c>
      <c r="I1069" s="3">
        <f>IFERROR(__xludf.DUMMYFUNCTION("""COMPUTED_VALUE"""),0.0)</f>
        <v>0</v>
      </c>
      <c r="J1069" s="4">
        <f>IFERROR(__xludf.DUMMYFUNCTION("""COMPUTED_VALUE"""),0.68)</f>
        <v>0.68</v>
      </c>
      <c r="K1069" s="2"/>
      <c r="L1069" s="2" t="str">
        <f>IFERROR(__xludf.DUMMYFUNCTION("""COMPUTED_VALUE"""),"Delivered")</f>
        <v>Delivered</v>
      </c>
      <c r="M1069" s="2" t="str">
        <f>IFERROR(__xludf.DUMMYFUNCTION("""COMPUTED_VALUE"""),"KD")</f>
        <v>KD</v>
      </c>
      <c r="N1069" s="2" t="str">
        <f>IFERROR(__xludf.DUMMYFUNCTION("""COMPUTED_VALUE"""),"Credit, Debit, Knet")</f>
        <v>Credit, Debit, Knet</v>
      </c>
      <c r="O1069" s="4">
        <f>IFERROR(__xludf.DUMMYFUNCTION("""COMPUTED_VALUE"""),0.0)</f>
        <v>0</v>
      </c>
      <c r="P1069" s="2">
        <f>IFERROR(__xludf.DUMMYFUNCTION("""COMPUTED_VALUE"""),8.0)</f>
        <v>8</v>
      </c>
      <c r="Q1069" s="2">
        <f>IFERROR(__xludf.DUMMYFUNCTION("""COMPUTED_VALUE"""),9.0)</f>
        <v>9</v>
      </c>
      <c r="R1069" s="2">
        <f>IFERROR(__xludf.DUMMYFUNCTION("""COMPUTED_VALUE"""),2025.0)</f>
        <v>2025</v>
      </c>
      <c r="S1069" s="2" t="str">
        <f>IFERROR(__xludf.DUMMYFUNCTION("""COMPUTED_VALUE"""),"Digizag")</f>
        <v>Digizag</v>
      </c>
      <c r="T1069" s="2" t="str">
        <f>IFERROR(__xludf.DUMMYFUNCTION("""COMPUTED_VALUE"""),"Digizag")</f>
        <v>Digizag</v>
      </c>
      <c r="U1069" s="5">
        <f>IFERROR(__xludf.DUMMYFUNCTION("""COMPUTED_VALUE"""),22.172216)</f>
        <v>22.172216</v>
      </c>
      <c r="V1069" s="2"/>
      <c r="W1069" s="2"/>
      <c r="X1069" s="2"/>
      <c r="Y1069" s="2"/>
      <c r="Z1069" s="2"/>
    </row>
    <row r="1070">
      <c r="A1070" s="6">
        <f>IFERROR(__xludf.DUMMYFUNCTION("""COMPUTED_VALUE"""),45908.80927083333)</f>
        <v>45908.80927</v>
      </c>
      <c r="B1070" s="2" t="str">
        <f>IFERROR(__xludf.DUMMYFUNCTION("""COMPUTED_VALUE"""),"September")</f>
        <v>September</v>
      </c>
      <c r="C1070" s="3">
        <f>IFERROR(__xludf.DUMMYFUNCTION("""COMPUTED_VALUE"""),299601.0)</f>
        <v>299601</v>
      </c>
      <c r="D1070" s="2" t="str">
        <f>IFERROR(__xludf.DUMMYFUNCTION("""COMPUTED_VALUE"""),"MNN19")</f>
        <v>MNN19</v>
      </c>
      <c r="E1070" s="2" t="str">
        <f>IFERROR(__xludf.DUMMYFUNCTION("""COMPUTED_VALUE"""),"Imported from file DigiZag Codes 25Feb25.xlsx")</f>
        <v>Imported from file DigiZag Codes 25Feb25.xlsx</v>
      </c>
      <c r="F1070" s="2" t="str">
        <f>IFERROR(__xludf.DUMMYFUNCTION("""COMPUTED_VALUE"""),"CZC522720")</f>
        <v>CZC522720</v>
      </c>
      <c r="G1070" s="2" t="str">
        <f>IFERROR(__xludf.DUMMYFUNCTION("""COMPUTED_VALUE"""),"Kuwait")</f>
        <v>Kuwait</v>
      </c>
      <c r="H1070" s="4">
        <f>IFERROR(__xludf.DUMMYFUNCTION("""COMPUTED_VALUE"""),9.2)</f>
        <v>9.2</v>
      </c>
      <c r="I1070" s="3">
        <f>IFERROR(__xludf.DUMMYFUNCTION("""COMPUTED_VALUE"""),0.0)</f>
        <v>0</v>
      </c>
      <c r="J1070" s="4">
        <f>IFERROR(__xludf.DUMMYFUNCTION("""COMPUTED_VALUE"""),0.92)</f>
        <v>0.92</v>
      </c>
      <c r="K1070" s="2"/>
      <c r="L1070" s="2" t="str">
        <f>IFERROR(__xludf.DUMMYFUNCTION("""COMPUTED_VALUE"""),"Delivered")</f>
        <v>Delivered</v>
      </c>
      <c r="M1070" s="2" t="str">
        <f>IFERROR(__xludf.DUMMYFUNCTION("""COMPUTED_VALUE"""),"KD")</f>
        <v>KD</v>
      </c>
      <c r="N1070" s="2" t="str">
        <f>IFERROR(__xludf.DUMMYFUNCTION("""COMPUTED_VALUE"""),"Credit, Debit, Knet")</f>
        <v>Credit, Debit, Knet</v>
      </c>
      <c r="O1070" s="4">
        <f>IFERROR(__xludf.DUMMYFUNCTION("""COMPUTED_VALUE"""),0.0)</f>
        <v>0</v>
      </c>
      <c r="P1070" s="2">
        <f>IFERROR(__xludf.DUMMYFUNCTION("""COMPUTED_VALUE"""),8.0)</f>
        <v>8</v>
      </c>
      <c r="Q1070" s="2">
        <f>IFERROR(__xludf.DUMMYFUNCTION("""COMPUTED_VALUE"""),9.0)</f>
        <v>9</v>
      </c>
      <c r="R1070" s="2">
        <f>IFERROR(__xludf.DUMMYFUNCTION("""COMPUTED_VALUE"""),2025.0)</f>
        <v>2025</v>
      </c>
      <c r="S1070" s="2" t="str">
        <f>IFERROR(__xludf.DUMMYFUNCTION("""COMPUTED_VALUE"""),"Digizag")</f>
        <v>Digizag</v>
      </c>
      <c r="T1070" s="2" t="str">
        <f>IFERROR(__xludf.DUMMYFUNCTION("""COMPUTED_VALUE"""),"Digizag")</f>
        <v>Digizag</v>
      </c>
      <c r="U1070" s="5">
        <f>IFERROR(__xludf.DUMMYFUNCTION("""COMPUTED_VALUE"""),29.997703999999995)</f>
        <v>29.997704</v>
      </c>
      <c r="V1070" s="2"/>
      <c r="W1070" s="2"/>
      <c r="X1070" s="2"/>
      <c r="Y1070" s="2"/>
      <c r="Z1070" s="2"/>
    </row>
    <row r="1071">
      <c r="A1071" s="6">
        <f>IFERROR(__xludf.DUMMYFUNCTION("""COMPUTED_VALUE"""),45908.83773148148)</f>
        <v>45908.83773</v>
      </c>
      <c r="B1071" s="2" t="str">
        <f>IFERROR(__xludf.DUMMYFUNCTION("""COMPUTED_VALUE"""),"September")</f>
        <v>September</v>
      </c>
      <c r="C1071" s="3">
        <f>IFERROR(__xludf.DUMMYFUNCTION("""COMPUTED_VALUE"""),610662.0)</f>
        <v>610662</v>
      </c>
      <c r="D1071" s="2" t="str">
        <f>IFERROR(__xludf.DUMMYFUNCTION("""COMPUTED_VALUE"""),"NAA10")</f>
        <v>NAA10</v>
      </c>
      <c r="E1071" s="2" t="str">
        <f>IFERROR(__xludf.DUMMYFUNCTION("""COMPUTED_VALUE"""),"Imported from file DigiZag Bidding Codes.xlsx")</f>
        <v>Imported from file DigiZag Bidding Codes.xlsx</v>
      </c>
      <c r="F1071" s="2" t="str">
        <f>IFERROR(__xludf.DUMMYFUNCTION("""COMPUTED_VALUE"""),"BXV210862")</f>
        <v>BXV210862</v>
      </c>
      <c r="G1071" s="2" t="str">
        <f>IFERROR(__xludf.DUMMYFUNCTION("""COMPUTED_VALUE"""),"Kingdom of Saudi Arabia")</f>
        <v>Kingdom of Saudi Arabia</v>
      </c>
      <c r="H1071" s="4">
        <f>IFERROR(__xludf.DUMMYFUNCTION("""COMPUTED_VALUE"""),51.6)</f>
        <v>51.6</v>
      </c>
      <c r="I1071" s="3">
        <f>IFERROR(__xludf.DUMMYFUNCTION("""COMPUTED_VALUE"""),0.0)</f>
        <v>0</v>
      </c>
      <c r="J1071" s="4">
        <f>IFERROR(__xludf.DUMMYFUNCTION("""COMPUTED_VALUE"""),12.9)</f>
        <v>12.9</v>
      </c>
      <c r="K1071" s="2"/>
      <c r="L1071" s="2" t="str">
        <f>IFERROR(__xludf.DUMMYFUNCTION("""COMPUTED_VALUE"""),"Delivered")</f>
        <v>Delivered</v>
      </c>
      <c r="M1071" s="2" t="str">
        <f>IFERROR(__xludf.DUMMYFUNCTION("""COMPUTED_VALUE"""),"")</f>
        <v></v>
      </c>
      <c r="N1071" s="2" t="str">
        <f>IFERROR(__xludf.DUMMYFUNCTION("""COMPUTED_VALUE"""),"Credit, Debit, Apple Pay")</f>
        <v>Credit, Debit, Apple Pay</v>
      </c>
      <c r="O1071" s="4">
        <f>IFERROR(__xludf.DUMMYFUNCTION("""COMPUTED_VALUE"""),0.0)</f>
        <v>0</v>
      </c>
      <c r="P1071" s="2">
        <f>IFERROR(__xludf.DUMMYFUNCTION("""COMPUTED_VALUE"""),8.0)</f>
        <v>8</v>
      </c>
      <c r="Q1071" s="2">
        <f>IFERROR(__xludf.DUMMYFUNCTION("""COMPUTED_VALUE"""),9.0)</f>
        <v>9</v>
      </c>
      <c r="R1071" s="2">
        <f>IFERROR(__xludf.DUMMYFUNCTION("""COMPUTED_VALUE"""),2025.0)</f>
        <v>2025</v>
      </c>
      <c r="S1071" s="2" t="str">
        <f>IFERROR(__xludf.DUMMYFUNCTION("""COMPUTED_VALUE"""),"Digizag")</f>
        <v>Digizag</v>
      </c>
      <c r="T1071" s="2" t="str">
        <f>IFERROR(__xludf.DUMMYFUNCTION("""COMPUTED_VALUE"""),"Digizag")</f>
        <v>Digizag</v>
      </c>
      <c r="U1071" s="5">
        <f>IFERROR(__xludf.DUMMYFUNCTION("""COMPUTED_VALUE"""),13.758935973600002)</f>
        <v>13.75893597</v>
      </c>
      <c r="V1071" s="2"/>
      <c r="W1071" s="2"/>
      <c r="X1071" s="2"/>
      <c r="Y1071" s="2"/>
      <c r="Z1071" s="2"/>
    </row>
    <row r="1072">
      <c r="A1072" s="6">
        <f>IFERROR(__xludf.DUMMYFUNCTION("""COMPUTED_VALUE"""),45909.23134259259)</f>
        <v>45909.23134</v>
      </c>
      <c r="B1072" s="2" t="str">
        <f>IFERROR(__xludf.DUMMYFUNCTION("""COMPUTED_VALUE"""),"September")</f>
        <v>September</v>
      </c>
      <c r="C1072" s="3">
        <f>IFERROR(__xludf.DUMMYFUNCTION("""COMPUTED_VALUE"""),157885.0)</f>
        <v>157885</v>
      </c>
      <c r="D1072" s="2" t="str">
        <f>IFERROR(__xludf.DUMMYFUNCTION("""COMPUTED_VALUE"""),"DB7")</f>
        <v>DB7</v>
      </c>
      <c r="E1072" s="2" t="str">
        <f>IFERROR(__xludf.DUMMYFUNCTION("""COMPUTED_VALUE"""),"Digizag")</f>
        <v>Digizag</v>
      </c>
      <c r="F1072" s="2" t="str">
        <f>IFERROR(__xludf.DUMMYFUNCTION("""COMPUTED_VALUE"""),"TEG436050")</f>
        <v>TEG436050</v>
      </c>
      <c r="G1072" s="2" t="str">
        <f>IFERROR(__xludf.DUMMYFUNCTION("""COMPUTED_VALUE"""),"Kuwait")</f>
        <v>Kuwait</v>
      </c>
      <c r="H1072" s="4">
        <f>IFERROR(__xludf.DUMMYFUNCTION("""COMPUTED_VALUE"""),20.85)</f>
        <v>20.85</v>
      </c>
      <c r="I1072" s="3">
        <f>IFERROR(__xludf.DUMMYFUNCTION("""COMPUTED_VALUE"""),0.0)</f>
        <v>0</v>
      </c>
      <c r="J1072" s="4">
        <f>IFERROR(__xludf.DUMMYFUNCTION("""COMPUTED_VALUE"""),2.085)</f>
        <v>2.085</v>
      </c>
      <c r="K1072" s="2"/>
      <c r="L1072" s="2" t="str">
        <f>IFERROR(__xludf.DUMMYFUNCTION("""COMPUTED_VALUE"""),"Delivered")</f>
        <v>Delivered</v>
      </c>
      <c r="M1072" s="2" t="str">
        <f>IFERROR(__xludf.DUMMYFUNCTION("""COMPUTED_VALUE"""),"KD")</f>
        <v>KD</v>
      </c>
      <c r="N1072" s="2" t="str">
        <f>IFERROR(__xludf.DUMMYFUNCTION("""COMPUTED_VALUE"""),"Credit, Debit, Knet")</f>
        <v>Credit, Debit, Knet</v>
      </c>
      <c r="O1072" s="4">
        <f>IFERROR(__xludf.DUMMYFUNCTION("""COMPUTED_VALUE"""),0.0)</f>
        <v>0</v>
      </c>
      <c r="P1072" s="2">
        <f>IFERROR(__xludf.DUMMYFUNCTION("""COMPUTED_VALUE"""),9.0)</f>
        <v>9</v>
      </c>
      <c r="Q1072" s="2">
        <f>IFERROR(__xludf.DUMMYFUNCTION("""COMPUTED_VALUE"""),9.0)</f>
        <v>9</v>
      </c>
      <c r="R1072" s="2">
        <f>IFERROR(__xludf.DUMMYFUNCTION("""COMPUTED_VALUE"""),2025.0)</f>
        <v>2025</v>
      </c>
      <c r="S1072" s="2" t="str">
        <f>IFERROR(__xludf.DUMMYFUNCTION("""COMPUTED_VALUE"""),"Digizag")</f>
        <v>Digizag</v>
      </c>
      <c r="T1072" s="2" t="str">
        <f>IFERROR(__xludf.DUMMYFUNCTION("""COMPUTED_VALUE"""),"Digizag")</f>
        <v>Digizag</v>
      </c>
      <c r="U1072" s="5">
        <f>IFERROR(__xludf.DUMMYFUNCTION("""COMPUTED_VALUE"""),67.98392700000001)</f>
        <v>67.983927</v>
      </c>
      <c r="V1072" s="2"/>
      <c r="W1072" s="2"/>
      <c r="X1072" s="2"/>
      <c r="Y1072" s="2"/>
      <c r="Z1072" s="2"/>
    </row>
    <row r="1073">
      <c r="A1073" s="6">
        <f>IFERROR(__xludf.DUMMYFUNCTION("""COMPUTED_VALUE"""),45909.359131944446)</f>
        <v>45909.35913</v>
      </c>
      <c r="B1073" s="2" t="str">
        <f>IFERROR(__xludf.DUMMYFUNCTION("""COMPUTED_VALUE"""),"September")</f>
        <v>September</v>
      </c>
      <c r="C1073" s="3">
        <f>IFERROR(__xludf.DUMMYFUNCTION("""COMPUTED_VALUE"""),229727.0)</f>
        <v>229727</v>
      </c>
      <c r="D1073" s="2" t="str">
        <f>IFERROR(__xludf.DUMMYFUNCTION("""COMPUTED_VALUE"""),"MNN27")</f>
        <v>MNN27</v>
      </c>
      <c r="E1073" s="2" t="str">
        <f>IFERROR(__xludf.DUMMYFUNCTION("""COMPUTED_VALUE"""),"Imported from file DigiZag Codes 25Feb25.xlsx")</f>
        <v>Imported from file DigiZag Codes 25Feb25.xlsx</v>
      </c>
      <c r="F1073" s="2" t="str">
        <f>IFERROR(__xludf.DUMMYFUNCTION("""COMPUTED_VALUE"""),"YLA573834")</f>
        <v>YLA573834</v>
      </c>
      <c r="G1073" s="2" t="str">
        <f>IFERROR(__xludf.DUMMYFUNCTION("""COMPUTED_VALUE"""),"UAE")</f>
        <v>UAE</v>
      </c>
      <c r="H1073" s="4">
        <f>IFERROR(__xludf.DUMMYFUNCTION("""COMPUTED_VALUE"""),317.37)</f>
        <v>317.37</v>
      </c>
      <c r="I1073" s="3">
        <f>IFERROR(__xludf.DUMMYFUNCTION("""COMPUTED_VALUE"""),0.0)</f>
        <v>0</v>
      </c>
      <c r="J1073" s="4">
        <f>IFERROR(__xludf.DUMMYFUNCTION("""COMPUTED_VALUE"""),31.73)</f>
        <v>31.73</v>
      </c>
      <c r="K1073" s="2"/>
      <c r="L1073" s="2" t="str">
        <f>IFERROR(__xludf.DUMMYFUNCTION("""COMPUTED_VALUE"""),"Delivered")</f>
        <v>Delivered</v>
      </c>
      <c r="M1073" s="2" t="str">
        <f>IFERROR(__xludf.DUMMYFUNCTION("""COMPUTED_VALUE"""),"")</f>
        <v></v>
      </c>
      <c r="N1073" s="2" t="str">
        <f>IFERROR(__xludf.DUMMYFUNCTION("""COMPUTED_VALUE"""),"Credit, Debit , Apple Pay")</f>
        <v>Credit, Debit , Apple Pay</v>
      </c>
      <c r="O1073" s="4">
        <f>IFERROR(__xludf.DUMMYFUNCTION("""COMPUTED_VALUE"""),0.0)</f>
        <v>0</v>
      </c>
      <c r="P1073" s="2">
        <f>IFERROR(__xludf.DUMMYFUNCTION("""COMPUTED_VALUE"""),9.0)</f>
        <v>9</v>
      </c>
      <c r="Q1073" s="2">
        <f>IFERROR(__xludf.DUMMYFUNCTION("""COMPUTED_VALUE"""),9.0)</f>
        <v>9</v>
      </c>
      <c r="R1073" s="2">
        <f>IFERROR(__xludf.DUMMYFUNCTION("""COMPUTED_VALUE"""),2025.0)</f>
        <v>2025</v>
      </c>
      <c r="S1073" s="2" t="str">
        <f>IFERROR(__xludf.DUMMYFUNCTION("""COMPUTED_VALUE"""),"Digizag")</f>
        <v>Digizag</v>
      </c>
      <c r="T1073" s="2" t="str">
        <f>IFERROR(__xludf.DUMMYFUNCTION("""COMPUTED_VALUE"""),"Digizag")</f>
        <v>Digizag</v>
      </c>
      <c r="U1073" s="5">
        <f>IFERROR(__xludf.DUMMYFUNCTION("""COMPUTED_VALUE"""),86.41797153486)</f>
        <v>86.41797153</v>
      </c>
      <c r="V1073" s="2"/>
      <c r="W1073" s="2"/>
      <c r="X1073" s="2"/>
      <c r="Y1073" s="2"/>
      <c r="Z1073" s="2"/>
    </row>
    <row r="1074">
      <c r="A1074" s="6">
        <f>IFERROR(__xludf.DUMMYFUNCTION("""COMPUTED_VALUE"""),45909.37542824074)</f>
        <v>45909.37543</v>
      </c>
      <c r="B1074" s="2" t="str">
        <f>IFERROR(__xludf.DUMMYFUNCTION("""COMPUTED_VALUE"""),"September")</f>
        <v>September</v>
      </c>
      <c r="C1074" s="3">
        <f>IFERROR(__xludf.DUMMYFUNCTION("""COMPUTED_VALUE"""),299601.0)</f>
        <v>299601</v>
      </c>
      <c r="D1074" s="2" t="str">
        <f>IFERROR(__xludf.DUMMYFUNCTION("""COMPUTED_VALUE"""),"MNN19")</f>
        <v>MNN19</v>
      </c>
      <c r="E1074" s="2" t="str">
        <f>IFERROR(__xludf.DUMMYFUNCTION("""COMPUTED_VALUE"""),"Imported from file DigiZag Codes 25Feb25.xlsx")</f>
        <v>Imported from file DigiZag Codes 25Feb25.xlsx</v>
      </c>
      <c r="F1074" s="2" t="str">
        <f>IFERROR(__xludf.DUMMYFUNCTION("""COMPUTED_VALUE"""),"PEC128520")</f>
        <v>PEC128520</v>
      </c>
      <c r="G1074" s="2" t="str">
        <f>IFERROR(__xludf.DUMMYFUNCTION("""COMPUTED_VALUE"""),"Kuwait")</f>
        <v>Kuwait</v>
      </c>
      <c r="H1074" s="4">
        <f>IFERROR(__xludf.DUMMYFUNCTION("""COMPUTED_VALUE"""),5.2)</f>
        <v>5.2</v>
      </c>
      <c r="I1074" s="3">
        <f>IFERROR(__xludf.DUMMYFUNCTION("""COMPUTED_VALUE"""),0.0)</f>
        <v>0</v>
      </c>
      <c r="J1074" s="4">
        <f>IFERROR(__xludf.DUMMYFUNCTION("""COMPUTED_VALUE"""),0.52)</f>
        <v>0.52</v>
      </c>
      <c r="K1074" s="2"/>
      <c r="L1074" s="2" t="str">
        <f>IFERROR(__xludf.DUMMYFUNCTION("""COMPUTED_VALUE"""),"Delivered")</f>
        <v>Delivered</v>
      </c>
      <c r="M1074" s="2" t="str">
        <f>IFERROR(__xludf.DUMMYFUNCTION("""COMPUTED_VALUE"""),"KD")</f>
        <v>KD</v>
      </c>
      <c r="N1074" s="2" t="str">
        <f>IFERROR(__xludf.DUMMYFUNCTION("""COMPUTED_VALUE"""),"Credit, Debit, Knet")</f>
        <v>Credit, Debit, Knet</v>
      </c>
      <c r="O1074" s="4">
        <f>IFERROR(__xludf.DUMMYFUNCTION("""COMPUTED_VALUE"""),0.0)</f>
        <v>0</v>
      </c>
      <c r="P1074" s="2">
        <f>IFERROR(__xludf.DUMMYFUNCTION("""COMPUTED_VALUE"""),9.0)</f>
        <v>9</v>
      </c>
      <c r="Q1074" s="2">
        <f>IFERROR(__xludf.DUMMYFUNCTION("""COMPUTED_VALUE"""),9.0)</f>
        <v>9</v>
      </c>
      <c r="R1074" s="2">
        <f>IFERROR(__xludf.DUMMYFUNCTION("""COMPUTED_VALUE"""),2025.0)</f>
        <v>2025</v>
      </c>
      <c r="S1074" s="2" t="str">
        <f>IFERROR(__xludf.DUMMYFUNCTION("""COMPUTED_VALUE"""),"Digizag")</f>
        <v>Digizag</v>
      </c>
      <c r="T1074" s="2" t="str">
        <f>IFERROR(__xludf.DUMMYFUNCTION("""COMPUTED_VALUE"""),"Digizag")</f>
        <v>Digizag</v>
      </c>
      <c r="U1074" s="5">
        <f>IFERROR(__xludf.DUMMYFUNCTION("""COMPUTED_VALUE"""),16.955224)</f>
        <v>16.955224</v>
      </c>
      <c r="V1074" s="2"/>
      <c r="W1074" s="2"/>
      <c r="X1074" s="2"/>
      <c r="Y1074" s="2"/>
      <c r="Z1074" s="2"/>
    </row>
    <row r="1075">
      <c r="A1075" s="6">
        <f>IFERROR(__xludf.DUMMYFUNCTION("""COMPUTED_VALUE"""),45909.542291666665)</f>
        <v>45909.54229</v>
      </c>
      <c r="B1075" s="2" t="str">
        <f>IFERROR(__xludf.DUMMYFUNCTION("""COMPUTED_VALUE"""),"September")</f>
        <v>September</v>
      </c>
      <c r="C1075" s="3">
        <f>IFERROR(__xludf.DUMMYFUNCTION("""COMPUTED_VALUE"""),71292.0)</f>
        <v>71292</v>
      </c>
      <c r="D1075" s="2" t="str">
        <f>IFERROR(__xludf.DUMMYFUNCTION("""COMPUTED_VALUE"""),"ZM22")</f>
        <v>ZM22</v>
      </c>
      <c r="E1075" s="2" t="str">
        <f>IFERROR(__xludf.DUMMYFUNCTION("""COMPUTED_VALUE"""),"Imported from file Digizag.xlsx")</f>
        <v>Imported from file Digizag.xlsx</v>
      </c>
      <c r="F1075" s="2" t="str">
        <f>IFERROR(__xludf.DUMMYFUNCTION("""COMPUTED_VALUE"""),"TWT891153")</f>
        <v>TWT891153</v>
      </c>
      <c r="G1075" s="2" t="str">
        <f>IFERROR(__xludf.DUMMYFUNCTION("""COMPUTED_VALUE"""),"UAE")</f>
        <v>UAE</v>
      </c>
      <c r="H1075" s="4">
        <f>IFERROR(__xludf.DUMMYFUNCTION("""COMPUTED_VALUE"""),358.52)</f>
        <v>358.52</v>
      </c>
      <c r="I1075" s="3">
        <f>IFERROR(__xludf.DUMMYFUNCTION("""COMPUTED_VALUE"""),0.0)</f>
        <v>0</v>
      </c>
      <c r="J1075" s="4">
        <f>IFERROR(__xludf.DUMMYFUNCTION("""COMPUTED_VALUE"""),35.85)</f>
        <v>35.85</v>
      </c>
      <c r="K1075" s="2"/>
      <c r="L1075" s="2" t="str">
        <f>IFERROR(__xludf.DUMMYFUNCTION("""COMPUTED_VALUE"""),"Delivered")</f>
        <v>Delivered</v>
      </c>
      <c r="M1075" s="2" t="str">
        <f>IFERROR(__xludf.DUMMYFUNCTION("""COMPUTED_VALUE"""),"")</f>
        <v></v>
      </c>
      <c r="N1075" s="2" t="str">
        <f>IFERROR(__xludf.DUMMYFUNCTION("""COMPUTED_VALUE"""),"Credit, Debit , Apple Pay")</f>
        <v>Credit, Debit , Apple Pay</v>
      </c>
      <c r="O1075" s="4">
        <f>IFERROR(__xludf.DUMMYFUNCTION("""COMPUTED_VALUE"""),0.0)</f>
        <v>0</v>
      </c>
      <c r="P1075" s="2">
        <f>IFERROR(__xludf.DUMMYFUNCTION("""COMPUTED_VALUE"""),9.0)</f>
        <v>9</v>
      </c>
      <c r="Q1075" s="2">
        <f>IFERROR(__xludf.DUMMYFUNCTION("""COMPUTED_VALUE"""),9.0)</f>
        <v>9</v>
      </c>
      <c r="R1075" s="2">
        <f>IFERROR(__xludf.DUMMYFUNCTION("""COMPUTED_VALUE"""),2025.0)</f>
        <v>2025</v>
      </c>
      <c r="S1075" s="2" t="str">
        <f>IFERROR(__xludf.DUMMYFUNCTION("""COMPUTED_VALUE"""),"Digizag")</f>
        <v>Digizag</v>
      </c>
      <c r="T1075" s="2" t="str">
        <f>IFERROR(__xludf.DUMMYFUNCTION("""COMPUTED_VALUE"""),"Digizag")</f>
        <v>Digizag</v>
      </c>
      <c r="U1075" s="5">
        <f>IFERROR(__xludf.DUMMYFUNCTION("""COMPUTED_VALUE"""),97.62287284455999)</f>
        <v>97.62287284</v>
      </c>
      <c r="V1075" s="2"/>
      <c r="W1075" s="2"/>
      <c r="X1075" s="2"/>
      <c r="Y1075" s="2"/>
      <c r="Z1075" s="2"/>
    </row>
    <row r="1076">
      <c r="A1076" s="6">
        <f>IFERROR(__xludf.DUMMYFUNCTION("""COMPUTED_VALUE"""),45909.614074074074)</f>
        <v>45909.61407</v>
      </c>
      <c r="B1076" s="2" t="str">
        <f>IFERROR(__xludf.DUMMYFUNCTION("""COMPUTED_VALUE"""),"September")</f>
        <v>September</v>
      </c>
      <c r="C1076" s="3">
        <f>IFERROR(__xludf.DUMMYFUNCTION("""COMPUTED_VALUE"""),121041.0)</f>
        <v>121041</v>
      </c>
      <c r="D1076" s="2" t="str">
        <f>IFERROR(__xludf.DUMMYFUNCTION("""COMPUTED_VALUE"""),"DB7")</f>
        <v>DB7</v>
      </c>
      <c r="E1076" s="2" t="str">
        <f>IFERROR(__xludf.DUMMYFUNCTION("""COMPUTED_VALUE"""),"Digizag")</f>
        <v>Digizag</v>
      </c>
      <c r="F1076" s="2" t="str">
        <f>IFERROR(__xludf.DUMMYFUNCTION("""COMPUTED_VALUE"""),"NJH488451")</f>
        <v>NJH488451</v>
      </c>
      <c r="G1076" s="2" t="str">
        <f>IFERROR(__xludf.DUMMYFUNCTION("""COMPUTED_VALUE"""),"Kuwait")</f>
        <v>Kuwait</v>
      </c>
      <c r="H1076" s="4">
        <f>IFERROR(__xludf.DUMMYFUNCTION("""COMPUTED_VALUE"""),17.955)</f>
        <v>17.955</v>
      </c>
      <c r="I1076" s="3">
        <f>IFERROR(__xludf.DUMMYFUNCTION("""COMPUTED_VALUE"""),0.0)</f>
        <v>0</v>
      </c>
      <c r="J1076" s="4">
        <f>IFERROR(__xludf.DUMMYFUNCTION("""COMPUTED_VALUE"""),1.795)</f>
        <v>1.795</v>
      </c>
      <c r="K1076" s="2"/>
      <c r="L1076" s="2" t="str">
        <f>IFERROR(__xludf.DUMMYFUNCTION("""COMPUTED_VALUE"""),"Delivered")</f>
        <v>Delivered</v>
      </c>
      <c r="M1076" s="2" t="str">
        <f>IFERROR(__xludf.DUMMYFUNCTION("""COMPUTED_VALUE"""),"KD")</f>
        <v>KD</v>
      </c>
      <c r="N1076" s="2" t="str">
        <f>IFERROR(__xludf.DUMMYFUNCTION("""COMPUTED_VALUE"""),"Credit, Debit, Knet")</f>
        <v>Credit, Debit, Knet</v>
      </c>
      <c r="O1076" s="4">
        <f>IFERROR(__xludf.DUMMYFUNCTION("""COMPUTED_VALUE"""),0.0)</f>
        <v>0</v>
      </c>
      <c r="P1076" s="2">
        <f>IFERROR(__xludf.DUMMYFUNCTION("""COMPUTED_VALUE"""),9.0)</f>
        <v>9</v>
      </c>
      <c r="Q1076" s="2">
        <f>IFERROR(__xludf.DUMMYFUNCTION("""COMPUTED_VALUE"""),9.0)</f>
        <v>9</v>
      </c>
      <c r="R1076" s="2">
        <f>IFERROR(__xludf.DUMMYFUNCTION("""COMPUTED_VALUE"""),2025.0)</f>
        <v>2025</v>
      </c>
      <c r="S1076" s="2" t="str">
        <f>IFERROR(__xludf.DUMMYFUNCTION("""COMPUTED_VALUE"""),"Digizag")</f>
        <v>Digizag</v>
      </c>
      <c r="T1076" s="2" t="str">
        <f>IFERROR(__xludf.DUMMYFUNCTION("""COMPUTED_VALUE"""),"Digizag")</f>
        <v>Digizag</v>
      </c>
      <c r="U1076" s="5">
        <f>IFERROR(__xludf.DUMMYFUNCTION("""COMPUTED_VALUE"""),58.544432099999995)</f>
        <v>58.5444321</v>
      </c>
      <c r="V1076" s="2"/>
      <c r="W1076" s="2"/>
      <c r="X1076" s="2"/>
      <c r="Y1076" s="2"/>
      <c r="Z1076" s="2"/>
    </row>
    <row r="1077">
      <c r="A1077" s="6">
        <f>IFERROR(__xludf.DUMMYFUNCTION("""COMPUTED_VALUE"""),45909.70179398148)</f>
        <v>45909.70179</v>
      </c>
      <c r="B1077" s="2" t="str">
        <f>IFERROR(__xludf.DUMMYFUNCTION("""COMPUTED_VALUE"""),"September")</f>
        <v>September</v>
      </c>
      <c r="C1077" s="3">
        <f>IFERROR(__xludf.DUMMYFUNCTION("""COMPUTED_VALUE"""),695878.0)</f>
        <v>695878</v>
      </c>
      <c r="D1077" s="2" t="str">
        <f>IFERROR(__xludf.DUMMYFUNCTION("""COMPUTED_VALUE"""),"DG3")</f>
        <v>DG3</v>
      </c>
      <c r="E1077" s="2" t="str">
        <f>IFERROR(__xludf.DUMMYFUNCTION("""COMPUTED_VALUE"""),"Imported from file Digizag.xlsx")</f>
        <v>Imported from file Digizag.xlsx</v>
      </c>
      <c r="F1077" s="2" t="str">
        <f>IFERROR(__xludf.DUMMYFUNCTION("""COMPUTED_VALUE"""),"ZQC713796")</f>
        <v>ZQC713796</v>
      </c>
      <c r="G1077" s="2" t="str">
        <f>IFERROR(__xludf.DUMMYFUNCTION("""COMPUTED_VALUE"""),"Kuwait")</f>
        <v>Kuwait</v>
      </c>
      <c r="H1077" s="4">
        <f>IFERROR(__xludf.DUMMYFUNCTION("""COMPUTED_VALUE"""),7.2)</f>
        <v>7.2</v>
      </c>
      <c r="I1077" s="3">
        <f>IFERROR(__xludf.DUMMYFUNCTION("""COMPUTED_VALUE"""),0.0)</f>
        <v>0</v>
      </c>
      <c r="J1077" s="4">
        <f>IFERROR(__xludf.DUMMYFUNCTION("""COMPUTED_VALUE"""),0.72)</f>
        <v>0.72</v>
      </c>
      <c r="K1077" s="2"/>
      <c r="L1077" s="2" t="str">
        <f>IFERROR(__xludf.DUMMYFUNCTION("""COMPUTED_VALUE"""),"Delivered")</f>
        <v>Delivered</v>
      </c>
      <c r="M1077" s="2" t="str">
        <f>IFERROR(__xludf.DUMMYFUNCTION("""COMPUTED_VALUE"""),"KD")</f>
        <v>KD</v>
      </c>
      <c r="N1077" s="2" t="str">
        <f>IFERROR(__xludf.DUMMYFUNCTION("""COMPUTED_VALUE"""),"Credit, Debit, Knet")</f>
        <v>Credit, Debit, Knet</v>
      </c>
      <c r="O1077" s="4">
        <f>IFERROR(__xludf.DUMMYFUNCTION("""COMPUTED_VALUE"""),0.0)</f>
        <v>0</v>
      </c>
      <c r="P1077" s="2">
        <f>IFERROR(__xludf.DUMMYFUNCTION("""COMPUTED_VALUE"""),9.0)</f>
        <v>9</v>
      </c>
      <c r="Q1077" s="2">
        <f>IFERROR(__xludf.DUMMYFUNCTION("""COMPUTED_VALUE"""),9.0)</f>
        <v>9</v>
      </c>
      <c r="R1077" s="2">
        <f>IFERROR(__xludf.DUMMYFUNCTION("""COMPUTED_VALUE"""),2025.0)</f>
        <v>2025</v>
      </c>
      <c r="S1077" s="2" t="str">
        <f>IFERROR(__xludf.DUMMYFUNCTION("""COMPUTED_VALUE"""),"Digizag")</f>
        <v>Digizag</v>
      </c>
      <c r="T1077" s="2" t="str">
        <f>IFERROR(__xludf.DUMMYFUNCTION("""COMPUTED_VALUE"""),"Digizag")</f>
        <v>Digizag</v>
      </c>
      <c r="U1077" s="5">
        <f>IFERROR(__xludf.DUMMYFUNCTION("""COMPUTED_VALUE"""),23.476464)</f>
        <v>23.476464</v>
      </c>
      <c r="V1077" s="2"/>
      <c r="W1077" s="2"/>
      <c r="X1077" s="2"/>
      <c r="Y1077" s="2"/>
      <c r="Z1077" s="2"/>
    </row>
    <row r="1078">
      <c r="A1078" s="6">
        <f>IFERROR(__xludf.DUMMYFUNCTION("""COMPUTED_VALUE"""),45909.84872685185)</f>
        <v>45909.84873</v>
      </c>
      <c r="B1078" s="2" t="str">
        <f>IFERROR(__xludf.DUMMYFUNCTION("""COMPUTED_VALUE"""),"September")</f>
        <v>September</v>
      </c>
      <c r="C1078" s="3">
        <f>IFERROR(__xludf.DUMMYFUNCTION("""COMPUTED_VALUE"""),121041.0)</f>
        <v>121041</v>
      </c>
      <c r="D1078" s="2" t="str">
        <f>IFERROR(__xludf.DUMMYFUNCTION("""COMPUTED_VALUE"""),"DB7")</f>
        <v>DB7</v>
      </c>
      <c r="E1078" s="2" t="str">
        <f>IFERROR(__xludf.DUMMYFUNCTION("""COMPUTED_VALUE"""),"Digizag")</f>
        <v>Digizag</v>
      </c>
      <c r="F1078" s="2" t="str">
        <f>IFERROR(__xludf.DUMMYFUNCTION("""COMPUTED_VALUE"""),"VTY700419")</f>
        <v>VTY700419</v>
      </c>
      <c r="G1078" s="2" t="str">
        <f>IFERROR(__xludf.DUMMYFUNCTION("""COMPUTED_VALUE"""),"Kuwait")</f>
        <v>Kuwait</v>
      </c>
      <c r="H1078" s="4">
        <f>IFERROR(__xludf.DUMMYFUNCTION("""COMPUTED_VALUE"""),19.75)</f>
        <v>19.75</v>
      </c>
      <c r="I1078" s="3">
        <f>IFERROR(__xludf.DUMMYFUNCTION("""COMPUTED_VALUE"""),0.0)</f>
        <v>0</v>
      </c>
      <c r="J1078" s="4">
        <f>IFERROR(__xludf.DUMMYFUNCTION("""COMPUTED_VALUE"""),1.975)</f>
        <v>1.975</v>
      </c>
      <c r="K1078" s="2"/>
      <c r="L1078" s="2" t="str">
        <f>IFERROR(__xludf.DUMMYFUNCTION("""COMPUTED_VALUE"""),"Delivered")</f>
        <v>Delivered</v>
      </c>
      <c r="M1078" s="2" t="str">
        <f>IFERROR(__xludf.DUMMYFUNCTION("""COMPUTED_VALUE"""),"KD")</f>
        <v>KD</v>
      </c>
      <c r="N1078" s="2" t="str">
        <f>IFERROR(__xludf.DUMMYFUNCTION("""COMPUTED_VALUE"""),"Credit, Debit, Knet")</f>
        <v>Credit, Debit, Knet</v>
      </c>
      <c r="O1078" s="4">
        <f>IFERROR(__xludf.DUMMYFUNCTION("""COMPUTED_VALUE"""),0.0)</f>
        <v>0</v>
      </c>
      <c r="P1078" s="2">
        <f>IFERROR(__xludf.DUMMYFUNCTION("""COMPUTED_VALUE"""),9.0)</f>
        <v>9</v>
      </c>
      <c r="Q1078" s="2">
        <f>IFERROR(__xludf.DUMMYFUNCTION("""COMPUTED_VALUE"""),9.0)</f>
        <v>9</v>
      </c>
      <c r="R1078" s="2">
        <f>IFERROR(__xludf.DUMMYFUNCTION("""COMPUTED_VALUE"""),2025.0)</f>
        <v>2025</v>
      </c>
      <c r="S1078" s="2" t="str">
        <f>IFERROR(__xludf.DUMMYFUNCTION("""COMPUTED_VALUE"""),"Digizag")</f>
        <v>Digizag</v>
      </c>
      <c r="T1078" s="2" t="str">
        <f>IFERROR(__xludf.DUMMYFUNCTION("""COMPUTED_VALUE"""),"Digizag")</f>
        <v>Digizag</v>
      </c>
      <c r="U1078" s="5">
        <f>IFERROR(__xludf.DUMMYFUNCTION("""COMPUTED_VALUE"""),64.397245)</f>
        <v>64.397245</v>
      </c>
      <c r="V1078" s="2"/>
      <c r="W1078" s="2"/>
      <c r="X1078" s="2"/>
      <c r="Y1078" s="2"/>
      <c r="Z1078" s="2"/>
    </row>
    <row r="1079">
      <c r="A1079" s="6">
        <f>IFERROR(__xludf.DUMMYFUNCTION("""COMPUTED_VALUE"""),45909.87231481481)</f>
        <v>45909.87231</v>
      </c>
      <c r="B1079" s="2" t="str">
        <f>IFERROR(__xludf.DUMMYFUNCTION("""COMPUTED_VALUE"""),"September")</f>
        <v>September</v>
      </c>
      <c r="C1079" s="3">
        <f>IFERROR(__xludf.DUMMYFUNCTION("""COMPUTED_VALUE"""),703034.0)</f>
        <v>703034</v>
      </c>
      <c r="D1079" s="2" t="str">
        <f>IFERROR(__xludf.DUMMYFUNCTION("""COMPUTED_VALUE"""),"JM")</f>
        <v>JM</v>
      </c>
      <c r="E1079" s="2" t="str">
        <f>IFERROR(__xludf.DUMMYFUNCTION("""COMPUTED_VALUE"""),"DigiZag")</f>
        <v>DigiZag</v>
      </c>
      <c r="F1079" s="2" t="str">
        <f>IFERROR(__xludf.DUMMYFUNCTION("""COMPUTED_VALUE"""),"YJA412850")</f>
        <v>YJA412850</v>
      </c>
      <c r="G1079" s="2" t="str">
        <f>IFERROR(__xludf.DUMMYFUNCTION("""COMPUTED_VALUE"""),"Kingdom of Saudi Arabia")</f>
        <v>Kingdom of Saudi Arabia</v>
      </c>
      <c r="H1079" s="4">
        <f>IFERROR(__xludf.DUMMYFUNCTION("""COMPUTED_VALUE"""),224.34)</f>
        <v>224.34</v>
      </c>
      <c r="I1079" s="3">
        <f>IFERROR(__xludf.DUMMYFUNCTION("""COMPUTED_VALUE"""),0.0)</f>
        <v>0</v>
      </c>
      <c r="J1079" s="4">
        <f>IFERROR(__xludf.DUMMYFUNCTION("""COMPUTED_VALUE"""),30.0)</f>
        <v>30</v>
      </c>
      <c r="K1079" s="2"/>
      <c r="L1079" s="2" t="str">
        <f>IFERROR(__xludf.DUMMYFUNCTION("""COMPUTED_VALUE"""),"Delivered")</f>
        <v>Delivered</v>
      </c>
      <c r="M1079" s="2" t="str">
        <f>IFERROR(__xludf.DUMMYFUNCTION("""COMPUTED_VALUE"""),"")</f>
        <v></v>
      </c>
      <c r="N1079" s="2" t="str">
        <f>IFERROR(__xludf.DUMMYFUNCTION("""COMPUTED_VALUE"""),"Credit, Debit, Apple Pay")</f>
        <v>Credit, Debit, Apple Pay</v>
      </c>
      <c r="O1079" s="4">
        <f>IFERROR(__xludf.DUMMYFUNCTION("""COMPUTED_VALUE"""),0.0)</f>
        <v>0</v>
      </c>
      <c r="P1079" s="2">
        <f>IFERROR(__xludf.DUMMYFUNCTION("""COMPUTED_VALUE"""),9.0)</f>
        <v>9</v>
      </c>
      <c r="Q1079" s="2">
        <f>IFERROR(__xludf.DUMMYFUNCTION("""COMPUTED_VALUE"""),9.0)</f>
        <v>9</v>
      </c>
      <c r="R1079" s="2">
        <f>IFERROR(__xludf.DUMMYFUNCTION("""COMPUTED_VALUE"""),2025.0)</f>
        <v>2025</v>
      </c>
      <c r="S1079" s="2" t="str">
        <f>IFERROR(__xludf.DUMMYFUNCTION("""COMPUTED_VALUE"""),"Digizag")</f>
        <v>Digizag</v>
      </c>
      <c r="T1079" s="2" t="str">
        <f>IFERROR(__xludf.DUMMYFUNCTION("""COMPUTED_VALUE"""),"Digizag")</f>
        <v>Digizag</v>
      </c>
      <c r="U1079" s="5">
        <f>IFERROR(__xludf.DUMMYFUNCTION("""COMPUTED_VALUE"""),59.819373959640004)</f>
        <v>59.81937396</v>
      </c>
      <c r="V1079" s="2"/>
      <c r="W1079" s="2"/>
      <c r="X1079" s="2"/>
      <c r="Y1079" s="2"/>
      <c r="Z1079" s="2"/>
    </row>
    <row r="1080">
      <c r="A1080" s="6">
        <f>IFERROR(__xludf.DUMMYFUNCTION("""COMPUTED_VALUE"""),45910.36614583333)</f>
        <v>45910.36615</v>
      </c>
      <c r="B1080" s="2" t="str">
        <f>IFERROR(__xludf.DUMMYFUNCTION("""COMPUTED_VALUE"""),"September")</f>
        <v>September</v>
      </c>
      <c r="C1080" s="3">
        <f>IFERROR(__xludf.DUMMYFUNCTION("""COMPUTED_VALUE"""),92714.0)</f>
        <v>92714</v>
      </c>
      <c r="D1080" s="2" t="str">
        <f>IFERROR(__xludf.DUMMYFUNCTION("""COMPUTED_VALUE"""),"ZM22")</f>
        <v>ZM22</v>
      </c>
      <c r="E1080" s="2" t="str">
        <f>IFERROR(__xludf.DUMMYFUNCTION("""COMPUTED_VALUE"""),"Imported from file Digizag.xlsx")</f>
        <v>Imported from file Digizag.xlsx</v>
      </c>
      <c r="F1080" s="2" t="str">
        <f>IFERROR(__xludf.DUMMYFUNCTION("""COMPUTED_VALUE"""),"STC470571")</f>
        <v>STC470571</v>
      </c>
      <c r="G1080" s="2" t="str">
        <f>IFERROR(__xludf.DUMMYFUNCTION("""COMPUTED_VALUE"""),"Kuwait")</f>
        <v>Kuwait</v>
      </c>
      <c r="H1080" s="4">
        <f>IFERROR(__xludf.DUMMYFUNCTION("""COMPUTED_VALUE"""),12.95)</f>
        <v>12.95</v>
      </c>
      <c r="I1080" s="3">
        <f>IFERROR(__xludf.DUMMYFUNCTION("""COMPUTED_VALUE"""),0.0)</f>
        <v>0</v>
      </c>
      <c r="J1080" s="4">
        <f>IFERROR(__xludf.DUMMYFUNCTION("""COMPUTED_VALUE"""),1.295)</f>
        <v>1.295</v>
      </c>
      <c r="K1080" s="2"/>
      <c r="L1080" s="2" t="str">
        <f>IFERROR(__xludf.DUMMYFUNCTION("""COMPUTED_VALUE"""),"Delivered")</f>
        <v>Delivered</v>
      </c>
      <c r="M1080" s="2" t="str">
        <f>IFERROR(__xludf.DUMMYFUNCTION("""COMPUTED_VALUE"""),"KD")</f>
        <v>KD</v>
      </c>
      <c r="N1080" s="2" t="str">
        <f>IFERROR(__xludf.DUMMYFUNCTION("""COMPUTED_VALUE"""),"Credit, Debit, Knet")</f>
        <v>Credit, Debit, Knet</v>
      </c>
      <c r="O1080" s="4">
        <f>IFERROR(__xludf.DUMMYFUNCTION("""COMPUTED_VALUE"""),0.0)</f>
        <v>0</v>
      </c>
      <c r="P1080" s="2">
        <f>IFERROR(__xludf.DUMMYFUNCTION("""COMPUTED_VALUE"""),10.0)</f>
        <v>10</v>
      </c>
      <c r="Q1080" s="2">
        <f>IFERROR(__xludf.DUMMYFUNCTION("""COMPUTED_VALUE"""),9.0)</f>
        <v>9</v>
      </c>
      <c r="R1080" s="2">
        <f>IFERROR(__xludf.DUMMYFUNCTION("""COMPUTED_VALUE"""),2025.0)</f>
        <v>2025</v>
      </c>
      <c r="S1080" s="2" t="str">
        <f>IFERROR(__xludf.DUMMYFUNCTION("""COMPUTED_VALUE"""),"Digizag")</f>
        <v>Digizag</v>
      </c>
      <c r="T1080" s="2" t="str">
        <f>IFERROR(__xludf.DUMMYFUNCTION("""COMPUTED_VALUE"""),"Digizag")</f>
        <v>Digizag</v>
      </c>
      <c r="U1080" s="5">
        <f>IFERROR(__xludf.DUMMYFUNCTION("""COMPUTED_VALUE"""),42.225029)</f>
        <v>42.225029</v>
      </c>
      <c r="V1080" s="2"/>
      <c r="W1080" s="2"/>
      <c r="X1080" s="2"/>
      <c r="Y1080" s="2"/>
      <c r="Z1080" s="2"/>
    </row>
    <row r="1081">
      <c r="A1081" s="6">
        <f>IFERROR(__xludf.DUMMYFUNCTION("""COMPUTED_VALUE"""),45910.55326388888)</f>
        <v>45910.55326</v>
      </c>
      <c r="B1081" s="2" t="str">
        <f>IFERROR(__xludf.DUMMYFUNCTION("""COMPUTED_VALUE"""),"September")</f>
        <v>September</v>
      </c>
      <c r="C1081" s="3">
        <f>IFERROR(__xludf.DUMMYFUNCTION("""COMPUTED_VALUE"""),390891.0)</f>
        <v>390891</v>
      </c>
      <c r="D1081" s="2" t="str">
        <f>IFERROR(__xludf.DUMMYFUNCTION("""COMPUTED_VALUE"""),"DB7")</f>
        <v>DB7</v>
      </c>
      <c r="E1081" s="2" t="str">
        <f>IFERROR(__xludf.DUMMYFUNCTION("""COMPUTED_VALUE"""),"Digizag")</f>
        <v>Digizag</v>
      </c>
      <c r="F1081" s="2" t="str">
        <f>IFERROR(__xludf.DUMMYFUNCTION("""COMPUTED_VALUE"""),"VUQ163161")</f>
        <v>VUQ163161</v>
      </c>
      <c r="G1081" s="2" t="str">
        <f>IFERROR(__xludf.DUMMYFUNCTION("""COMPUTED_VALUE"""),"Kuwait")</f>
        <v>Kuwait</v>
      </c>
      <c r="H1081" s="4">
        <f>IFERROR(__xludf.DUMMYFUNCTION("""COMPUTED_VALUE"""),17.5)</f>
        <v>17.5</v>
      </c>
      <c r="I1081" s="3">
        <f>IFERROR(__xludf.DUMMYFUNCTION("""COMPUTED_VALUE"""),0.0)</f>
        <v>0</v>
      </c>
      <c r="J1081" s="4">
        <f>IFERROR(__xludf.DUMMYFUNCTION("""COMPUTED_VALUE"""),1.75)</f>
        <v>1.75</v>
      </c>
      <c r="K1081" s="2"/>
      <c r="L1081" s="2" t="str">
        <f>IFERROR(__xludf.DUMMYFUNCTION("""COMPUTED_VALUE"""),"Delivered")</f>
        <v>Delivered</v>
      </c>
      <c r="M1081" s="2" t="str">
        <f>IFERROR(__xludf.DUMMYFUNCTION("""COMPUTED_VALUE"""),"KD")</f>
        <v>KD</v>
      </c>
      <c r="N1081" s="2" t="str">
        <f>IFERROR(__xludf.DUMMYFUNCTION("""COMPUTED_VALUE"""),"Credit, Debit, Knet")</f>
        <v>Credit, Debit, Knet</v>
      </c>
      <c r="O1081" s="4">
        <f>IFERROR(__xludf.DUMMYFUNCTION("""COMPUTED_VALUE"""),0.0)</f>
        <v>0</v>
      </c>
      <c r="P1081" s="2">
        <f>IFERROR(__xludf.DUMMYFUNCTION("""COMPUTED_VALUE"""),10.0)</f>
        <v>10</v>
      </c>
      <c r="Q1081" s="2">
        <f>IFERROR(__xludf.DUMMYFUNCTION("""COMPUTED_VALUE"""),9.0)</f>
        <v>9</v>
      </c>
      <c r="R1081" s="2">
        <f>IFERROR(__xludf.DUMMYFUNCTION("""COMPUTED_VALUE"""),2025.0)</f>
        <v>2025</v>
      </c>
      <c r="S1081" s="2" t="str">
        <f>IFERROR(__xludf.DUMMYFUNCTION("""COMPUTED_VALUE"""),"Digizag")</f>
        <v>Digizag</v>
      </c>
      <c r="T1081" s="2" t="str">
        <f>IFERROR(__xludf.DUMMYFUNCTION("""COMPUTED_VALUE"""),"Digizag")</f>
        <v>Digizag</v>
      </c>
      <c r="U1081" s="5">
        <f>IFERROR(__xludf.DUMMYFUNCTION("""COMPUTED_VALUE"""),57.060849999999995)</f>
        <v>57.06085</v>
      </c>
      <c r="V1081" s="2"/>
      <c r="W1081" s="2"/>
      <c r="X1081" s="2"/>
      <c r="Y1081" s="2"/>
      <c r="Z1081" s="2"/>
    </row>
    <row r="1082">
      <c r="A1082" s="6">
        <f>IFERROR(__xludf.DUMMYFUNCTION("""COMPUTED_VALUE"""),45910.60538194444)</f>
        <v>45910.60538</v>
      </c>
      <c r="B1082" s="2" t="str">
        <f>IFERROR(__xludf.DUMMYFUNCTION("""COMPUTED_VALUE"""),"September")</f>
        <v>September</v>
      </c>
      <c r="C1082" s="3">
        <f>IFERROR(__xludf.DUMMYFUNCTION("""COMPUTED_VALUE"""),222208.0)</f>
        <v>222208</v>
      </c>
      <c r="D1082" s="2" t="str">
        <f>IFERROR(__xludf.DUMMYFUNCTION("""COMPUTED_VALUE"""),"DG3")</f>
        <v>DG3</v>
      </c>
      <c r="E1082" s="2" t="str">
        <f>IFERROR(__xludf.DUMMYFUNCTION("""COMPUTED_VALUE"""),"Imported from file Digizag.xlsx")</f>
        <v>Imported from file Digizag.xlsx</v>
      </c>
      <c r="F1082" s="2" t="str">
        <f>IFERROR(__xludf.DUMMYFUNCTION("""COMPUTED_VALUE"""),"QQY455191")</f>
        <v>QQY455191</v>
      </c>
      <c r="G1082" s="2" t="str">
        <f>IFERROR(__xludf.DUMMYFUNCTION("""COMPUTED_VALUE"""),"Kingdom of Saudi Arabia")</f>
        <v>Kingdom of Saudi Arabia</v>
      </c>
      <c r="H1082" s="4">
        <f>IFERROR(__xludf.DUMMYFUNCTION("""COMPUTED_VALUE"""),270.0)</f>
        <v>270</v>
      </c>
      <c r="I1082" s="3">
        <f>IFERROR(__xludf.DUMMYFUNCTION("""COMPUTED_VALUE"""),0.0)</f>
        <v>0</v>
      </c>
      <c r="J1082" s="4">
        <f>IFERROR(__xludf.DUMMYFUNCTION("""COMPUTED_VALUE"""),30.0)</f>
        <v>30</v>
      </c>
      <c r="K1082" s="2"/>
      <c r="L1082" s="2" t="str">
        <f>IFERROR(__xludf.DUMMYFUNCTION("""COMPUTED_VALUE"""),"Delivered")</f>
        <v>Delivered</v>
      </c>
      <c r="M1082" s="2" t="str">
        <f>IFERROR(__xludf.DUMMYFUNCTION("""COMPUTED_VALUE"""),"")</f>
        <v></v>
      </c>
      <c r="N1082" s="2" t="str">
        <f>IFERROR(__xludf.DUMMYFUNCTION("""COMPUTED_VALUE"""),"Credit, Debit, Apple Pay")</f>
        <v>Credit, Debit, Apple Pay</v>
      </c>
      <c r="O1082" s="4">
        <f>IFERROR(__xludf.DUMMYFUNCTION("""COMPUTED_VALUE"""),0.0)</f>
        <v>0</v>
      </c>
      <c r="P1082" s="2">
        <f>IFERROR(__xludf.DUMMYFUNCTION("""COMPUTED_VALUE"""),10.0)</f>
        <v>10</v>
      </c>
      <c r="Q1082" s="2">
        <f>IFERROR(__xludf.DUMMYFUNCTION("""COMPUTED_VALUE"""),9.0)</f>
        <v>9</v>
      </c>
      <c r="R1082" s="2">
        <f>IFERROR(__xludf.DUMMYFUNCTION("""COMPUTED_VALUE"""),2025.0)</f>
        <v>2025</v>
      </c>
      <c r="S1082" s="2" t="str">
        <f>IFERROR(__xludf.DUMMYFUNCTION("""COMPUTED_VALUE"""),"Digizag")</f>
        <v>Digizag</v>
      </c>
      <c r="T1082" s="2" t="str">
        <f>IFERROR(__xludf.DUMMYFUNCTION("""COMPUTED_VALUE"""),"Digizag")</f>
        <v>Digizag</v>
      </c>
      <c r="U1082" s="5">
        <f>IFERROR(__xludf.DUMMYFUNCTION("""COMPUTED_VALUE"""),71.99443242000001)</f>
        <v>71.99443242</v>
      </c>
      <c r="V1082" s="2"/>
      <c r="W1082" s="2"/>
      <c r="X1082" s="2"/>
      <c r="Y1082" s="2"/>
      <c r="Z1082" s="2"/>
    </row>
    <row r="1083">
      <c r="A1083" s="6">
        <f>IFERROR(__xludf.DUMMYFUNCTION("""COMPUTED_VALUE"""),45910.66199074074)</f>
        <v>45910.66199</v>
      </c>
      <c r="B1083" s="2" t="str">
        <f>IFERROR(__xludf.DUMMYFUNCTION("""COMPUTED_VALUE"""),"September")</f>
        <v>September</v>
      </c>
      <c r="C1083" s="3">
        <f>IFERROR(__xludf.DUMMYFUNCTION("""COMPUTED_VALUE"""),77336.0)</f>
        <v>77336</v>
      </c>
      <c r="D1083" s="2" t="str">
        <f>IFERROR(__xludf.DUMMYFUNCTION("""COMPUTED_VALUE"""),"DG3")</f>
        <v>DG3</v>
      </c>
      <c r="E1083" s="2" t="str">
        <f>IFERROR(__xludf.DUMMYFUNCTION("""COMPUTED_VALUE"""),"Imported from file Digizag.xlsx")</f>
        <v>Imported from file Digizag.xlsx</v>
      </c>
      <c r="F1083" s="2" t="str">
        <f>IFERROR(__xludf.DUMMYFUNCTION("""COMPUTED_VALUE"""),"TQL465232")</f>
        <v>TQL465232</v>
      </c>
      <c r="G1083" s="2" t="str">
        <f>IFERROR(__xludf.DUMMYFUNCTION("""COMPUTED_VALUE"""),"Kuwait")</f>
        <v>Kuwait</v>
      </c>
      <c r="H1083" s="4">
        <f>IFERROR(__xludf.DUMMYFUNCTION("""COMPUTED_VALUE"""),29.95)</f>
        <v>29.95</v>
      </c>
      <c r="I1083" s="3">
        <f>IFERROR(__xludf.DUMMYFUNCTION("""COMPUTED_VALUE"""),0.0)</f>
        <v>0</v>
      </c>
      <c r="J1083" s="4">
        <f>IFERROR(__xludf.DUMMYFUNCTION("""COMPUTED_VALUE"""),2.995)</f>
        <v>2.995</v>
      </c>
      <c r="K1083" s="2"/>
      <c r="L1083" s="2" t="str">
        <f>IFERROR(__xludf.DUMMYFUNCTION("""COMPUTED_VALUE"""),"Delivered")</f>
        <v>Delivered</v>
      </c>
      <c r="M1083" s="2" t="str">
        <f>IFERROR(__xludf.DUMMYFUNCTION("""COMPUTED_VALUE"""),"KD")</f>
        <v>KD</v>
      </c>
      <c r="N1083" s="2" t="str">
        <f>IFERROR(__xludf.DUMMYFUNCTION("""COMPUTED_VALUE"""),"Credit, Debit, Knet")</f>
        <v>Credit, Debit, Knet</v>
      </c>
      <c r="O1083" s="4">
        <f>IFERROR(__xludf.DUMMYFUNCTION("""COMPUTED_VALUE"""),0.0)</f>
        <v>0</v>
      </c>
      <c r="P1083" s="2">
        <f>IFERROR(__xludf.DUMMYFUNCTION("""COMPUTED_VALUE"""),10.0)</f>
        <v>10</v>
      </c>
      <c r="Q1083" s="2">
        <f>IFERROR(__xludf.DUMMYFUNCTION("""COMPUTED_VALUE"""),9.0)</f>
        <v>9</v>
      </c>
      <c r="R1083" s="2">
        <f>IFERROR(__xludf.DUMMYFUNCTION("""COMPUTED_VALUE"""),2025.0)</f>
        <v>2025</v>
      </c>
      <c r="S1083" s="2" t="str">
        <f>IFERROR(__xludf.DUMMYFUNCTION("""COMPUTED_VALUE"""),"Digizag")</f>
        <v>Digizag</v>
      </c>
      <c r="T1083" s="2" t="str">
        <f>IFERROR(__xludf.DUMMYFUNCTION("""COMPUTED_VALUE"""),"Digizag")</f>
        <v>Digizag</v>
      </c>
      <c r="U1083" s="5">
        <f>IFERROR(__xludf.DUMMYFUNCTION("""COMPUTED_VALUE"""),97.655569)</f>
        <v>97.655569</v>
      </c>
      <c r="V1083" s="2"/>
      <c r="W1083" s="2"/>
      <c r="X1083" s="2"/>
      <c r="Y1083" s="2"/>
      <c r="Z1083" s="2"/>
    </row>
    <row r="1084">
      <c r="A1084" s="6">
        <f>IFERROR(__xludf.DUMMYFUNCTION("""COMPUTED_VALUE"""),45911.011666666665)</f>
        <v>45911.01167</v>
      </c>
      <c r="B1084" s="2" t="str">
        <f>IFERROR(__xludf.DUMMYFUNCTION("""COMPUTED_VALUE"""),"September")</f>
        <v>September</v>
      </c>
      <c r="C1084" s="3">
        <f>IFERROR(__xludf.DUMMYFUNCTION("""COMPUTED_VALUE"""),682679.0)</f>
        <v>682679</v>
      </c>
      <c r="D1084" s="2" t="str">
        <f>IFERROR(__xludf.DUMMYFUNCTION("""COMPUTED_VALUE"""),"DB6")</f>
        <v>DB6</v>
      </c>
      <c r="E1084" s="2" t="str">
        <f>IFERROR(__xludf.DUMMYFUNCTION("""COMPUTED_VALUE"""),"Digizag")</f>
        <v>Digizag</v>
      </c>
      <c r="F1084" s="2" t="str">
        <f>IFERROR(__xludf.DUMMYFUNCTION("""COMPUTED_VALUE"""),"TJW928646")</f>
        <v>TJW928646</v>
      </c>
      <c r="G1084" s="2" t="str">
        <f>IFERROR(__xludf.DUMMYFUNCTION("""COMPUTED_VALUE"""),"Kuwait")</f>
        <v>Kuwait</v>
      </c>
      <c r="H1084" s="4">
        <f>IFERROR(__xludf.DUMMYFUNCTION("""COMPUTED_VALUE"""),13.95)</f>
        <v>13.95</v>
      </c>
      <c r="I1084" s="3">
        <f>IFERROR(__xludf.DUMMYFUNCTION("""COMPUTED_VALUE"""),0.0)</f>
        <v>0</v>
      </c>
      <c r="J1084" s="4">
        <f>IFERROR(__xludf.DUMMYFUNCTION("""COMPUTED_VALUE"""),1.395)</f>
        <v>1.395</v>
      </c>
      <c r="K1084" s="2"/>
      <c r="L1084" s="2" t="str">
        <f>IFERROR(__xludf.DUMMYFUNCTION("""COMPUTED_VALUE"""),"Delivered")</f>
        <v>Delivered</v>
      </c>
      <c r="M1084" s="2" t="str">
        <f>IFERROR(__xludf.DUMMYFUNCTION("""COMPUTED_VALUE"""),"KD")</f>
        <v>KD</v>
      </c>
      <c r="N1084" s="2" t="str">
        <f>IFERROR(__xludf.DUMMYFUNCTION("""COMPUTED_VALUE"""),"Credit, Debit, Knet")</f>
        <v>Credit, Debit, Knet</v>
      </c>
      <c r="O1084" s="4">
        <f>IFERROR(__xludf.DUMMYFUNCTION("""COMPUTED_VALUE"""),0.0)</f>
        <v>0</v>
      </c>
      <c r="P1084" s="2">
        <f>IFERROR(__xludf.DUMMYFUNCTION("""COMPUTED_VALUE"""),11.0)</f>
        <v>11</v>
      </c>
      <c r="Q1084" s="2">
        <f>IFERROR(__xludf.DUMMYFUNCTION("""COMPUTED_VALUE"""),9.0)</f>
        <v>9</v>
      </c>
      <c r="R1084" s="2">
        <f>IFERROR(__xludf.DUMMYFUNCTION("""COMPUTED_VALUE"""),2025.0)</f>
        <v>2025</v>
      </c>
      <c r="S1084" s="2" t="str">
        <f>IFERROR(__xludf.DUMMYFUNCTION("""COMPUTED_VALUE"""),"Digizag")</f>
        <v>Digizag</v>
      </c>
      <c r="T1084" s="2" t="str">
        <f>IFERROR(__xludf.DUMMYFUNCTION("""COMPUTED_VALUE"""),"Digizag")</f>
        <v>Digizag</v>
      </c>
      <c r="U1084" s="5">
        <f>IFERROR(__xludf.DUMMYFUNCTION("""COMPUTED_VALUE"""),45.485648999999995)</f>
        <v>45.485649</v>
      </c>
      <c r="V1084" s="2"/>
      <c r="W1084" s="2"/>
      <c r="X1084" s="2"/>
      <c r="Y1084" s="2"/>
      <c r="Z1084" s="2"/>
    </row>
    <row r="1085">
      <c r="A1085" s="6">
        <f>IFERROR(__xludf.DUMMYFUNCTION("""COMPUTED_VALUE"""),45911.09826388889)</f>
        <v>45911.09826</v>
      </c>
      <c r="B1085" s="2" t="str">
        <f>IFERROR(__xludf.DUMMYFUNCTION("""COMPUTED_VALUE"""),"September")</f>
        <v>September</v>
      </c>
      <c r="C1085" s="3">
        <f>IFERROR(__xludf.DUMMYFUNCTION("""COMPUTED_VALUE"""),524635.0)</f>
        <v>524635</v>
      </c>
      <c r="D1085" s="2" t="str">
        <f>IFERROR(__xludf.DUMMYFUNCTION("""COMPUTED_VALUE"""),"DG3")</f>
        <v>DG3</v>
      </c>
      <c r="E1085" s="2" t="str">
        <f>IFERROR(__xludf.DUMMYFUNCTION("""COMPUTED_VALUE"""),"Imported from file Digizag.xlsx")</f>
        <v>Imported from file Digizag.xlsx</v>
      </c>
      <c r="F1085" s="2" t="str">
        <f>IFERROR(__xludf.DUMMYFUNCTION("""COMPUTED_VALUE"""),"UBT807414")</f>
        <v>UBT807414</v>
      </c>
      <c r="G1085" s="2" t="str">
        <f>IFERROR(__xludf.DUMMYFUNCTION("""COMPUTED_VALUE"""),"Kingdom of Saudi Arabia")</f>
        <v>Kingdom of Saudi Arabia</v>
      </c>
      <c r="H1085" s="4">
        <f>IFERROR(__xludf.DUMMYFUNCTION("""COMPUTED_VALUE"""),228.28)</f>
        <v>228.28</v>
      </c>
      <c r="I1085" s="3">
        <f>IFERROR(__xludf.DUMMYFUNCTION("""COMPUTED_VALUE"""),0.0)</f>
        <v>0</v>
      </c>
      <c r="J1085" s="4">
        <f>IFERROR(__xludf.DUMMYFUNCTION("""COMPUTED_VALUE"""),30.0)</f>
        <v>30</v>
      </c>
      <c r="K1085" s="2"/>
      <c r="L1085" s="2" t="str">
        <f>IFERROR(__xludf.DUMMYFUNCTION("""COMPUTED_VALUE"""),"Delivered")</f>
        <v>Delivered</v>
      </c>
      <c r="M1085" s="2" t="str">
        <f>IFERROR(__xludf.DUMMYFUNCTION("""COMPUTED_VALUE"""),"")</f>
        <v></v>
      </c>
      <c r="N1085" s="2" t="str">
        <f>IFERROR(__xludf.DUMMYFUNCTION("""COMPUTED_VALUE"""),"Credit, Debit, Apple Pay")</f>
        <v>Credit, Debit, Apple Pay</v>
      </c>
      <c r="O1085" s="4">
        <f>IFERROR(__xludf.DUMMYFUNCTION("""COMPUTED_VALUE"""),0.0)</f>
        <v>0</v>
      </c>
      <c r="P1085" s="2">
        <f>IFERROR(__xludf.DUMMYFUNCTION("""COMPUTED_VALUE"""),11.0)</f>
        <v>11</v>
      </c>
      <c r="Q1085" s="2">
        <f>IFERROR(__xludf.DUMMYFUNCTION("""COMPUTED_VALUE"""),9.0)</f>
        <v>9</v>
      </c>
      <c r="R1085" s="2">
        <f>IFERROR(__xludf.DUMMYFUNCTION("""COMPUTED_VALUE"""),2025.0)</f>
        <v>2025</v>
      </c>
      <c r="S1085" s="2" t="str">
        <f>IFERROR(__xludf.DUMMYFUNCTION("""COMPUTED_VALUE"""),"Digizag")</f>
        <v>Digizag</v>
      </c>
      <c r="T1085" s="2" t="str">
        <f>IFERROR(__xludf.DUMMYFUNCTION("""COMPUTED_VALUE"""),"Digizag")</f>
        <v>Digizag</v>
      </c>
      <c r="U1085" s="5">
        <f>IFERROR(__xludf.DUMMYFUNCTION("""COMPUTED_VALUE"""),60.869959380880005)</f>
        <v>60.86995938</v>
      </c>
      <c r="V1085" s="2"/>
      <c r="W1085" s="2"/>
      <c r="X1085" s="2"/>
      <c r="Y1085" s="2"/>
      <c r="Z1085" s="2"/>
    </row>
    <row r="1086">
      <c r="A1086" s="6">
        <f>IFERROR(__xludf.DUMMYFUNCTION("""COMPUTED_VALUE"""),45911.327465277776)</f>
        <v>45911.32747</v>
      </c>
      <c r="B1086" s="2" t="str">
        <f>IFERROR(__xludf.DUMMYFUNCTION("""COMPUTED_VALUE"""),"September")</f>
        <v>September</v>
      </c>
      <c r="C1086" s="3">
        <f>IFERROR(__xludf.DUMMYFUNCTION("""COMPUTED_VALUE"""),598087.0)</f>
        <v>598087</v>
      </c>
      <c r="D1086" s="2" t="str">
        <f>IFERROR(__xludf.DUMMYFUNCTION("""COMPUTED_VALUE"""),"JM")</f>
        <v>JM</v>
      </c>
      <c r="E1086" s="2" t="str">
        <f>IFERROR(__xludf.DUMMYFUNCTION("""COMPUTED_VALUE"""),"DigiZag")</f>
        <v>DigiZag</v>
      </c>
      <c r="F1086" s="2" t="str">
        <f>IFERROR(__xludf.DUMMYFUNCTION("""COMPUTED_VALUE"""),"DYK783465")</f>
        <v>DYK783465</v>
      </c>
      <c r="G1086" s="2" t="str">
        <f>IFERROR(__xludf.DUMMYFUNCTION("""COMPUTED_VALUE"""),"Kingdom of Saudi Arabia")</f>
        <v>Kingdom of Saudi Arabia</v>
      </c>
      <c r="H1086" s="4">
        <f>IFERROR(__xludf.DUMMYFUNCTION("""COMPUTED_VALUE"""),30.43)</f>
        <v>30.43</v>
      </c>
      <c r="I1086" s="3">
        <f>IFERROR(__xludf.DUMMYFUNCTION("""COMPUTED_VALUE"""),0.0)</f>
        <v>0</v>
      </c>
      <c r="J1086" s="4">
        <f>IFERROR(__xludf.DUMMYFUNCTION("""COMPUTED_VALUE"""),7.6)</f>
        <v>7.6</v>
      </c>
      <c r="K1086" s="2"/>
      <c r="L1086" s="2" t="str">
        <f>IFERROR(__xludf.DUMMYFUNCTION("""COMPUTED_VALUE"""),"Delivered")</f>
        <v>Delivered</v>
      </c>
      <c r="M1086" s="2" t="str">
        <f>IFERROR(__xludf.DUMMYFUNCTION("""COMPUTED_VALUE"""),"")</f>
        <v></v>
      </c>
      <c r="N1086" s="2" t="str">
        <f>IFERROR(__xludf.DUMMYFUNCTION("""COMPUTED_VALUE"""),"Credit, Debit, Apple Pay")</f>
        <v>Credit, Debit, Apple Pay</v>
      </c>
      <c r="O1086" s="4">
        <f>IFERROR(__xludf.DUMMYFUNCTION("""COMPUTED_VALUE"""),0.0)</f>
        <v>0</v>
      </c>
      <c r="P1086" s="2">
        <f>IFERROR(__xludf.DUMMYFUNCTION("""COMPUTED_VALUE"""),11.0)</f>
        <v>11</v>
      </c>
      <c r="Q1086" s="2">
        <f>IFERROR(__xludf.DUMMYFUNCTION("""COMPUTED_VALUE"""),9.0)</f>
        <v>9</v>
      </c>
      <c r="R1086" s="2">
        <f>IFERROR(__xludf.DUMMYFUNCTION("""COMPUTED_VALUE"""),2025.0)</f>
        <v>2025</v>
      </c>
      <c r="S1086" s="2" t="str">
        <f>IFERROR(__xludf.DUMMYFUNCTION("""COMPUTED_VALUE"""),"Digizag")</f>
        <v>Digizag</v>
      </c>
      <c r="T1086" s="2" t="str">
        <f>IFERROR(__xludf.DUMMYFUNCTION("""COMPUTED_VALUE"""),"Digizag")</f>
        <v>Digizag</v>
      </c>
      <c r="U1086" s="5">
        <f>IFERROR(__xludf.DUMMYFUNCTION("""COMPUTED_VALUE"""),8.11403917978)</f>
        <v>8.11403918</v>
      </c>
      <c r="V1086" s="2"/>
      <c r="W1086" s="2"/>
      <c r="X1086" s="2"/>
      <c r="Y1086" s="2"/>
      <c r="Z1086" s="2"/>
    </row>
    <row r="1087">
      <c r="A1087" s="6">
        <f>IFERROR(__xludf.DUMMYFUNCTION("""COMPUTED_VALUE"""),45911.39487268518)</f>
        <v>45911.39487</v>
      </c>
      <c r="B1087" s="2" t="str">
        <f>IFERROR(__xludf.DUMMYFUNCTION("""COMPUTED_VALUE"""),"September")</f>
        <v>September</v>
      </c>
      <c r="C1087" s="3">
        <f>IFERROR(__xludf.DUMMYFUNCTION("""COMPUTED_VALUE"""),222433.0)</f>
        <v>222433</v>
      </c>
      <c r="D1087" s="2" t="str">
        <f>IFERROR(__xludf.DUMMYFUNCTION("""COMPUTED_VALUE"""),"DB6")</f>
        <v>DB6</v>
      </c>
      <c r="E1087" s="2" t="str">
        <f>IFERROR(__xludf.DUMMYFUNCTION("""COMPUTED_VALUE"""),"Digizag")</f>
        <v>Digizag</v>
      </c>
      <c r="F1087" s="2" t="str">
        <f>IFERROR(__xludf.DUMMYFUNCTION("""COMPUTED_VALUE"""),"EMA711531")</f>
        <v>EMA711531</v>
      </c>
      <c r="G1087" s="2" t="str">
        <f>IFERROR(__xludf.DUMMYFUNCTION("""COMPUTED_VALUE"""),"UAE")</f>
        <v>UAE</v>
      </c>
      <c r="H1087" s="4">
        <f>IFERROR(__xludf.DUMMYFUNCTION("""COMPUTED_VALUE"""),114.0)</f>
        <v>114</v>
      </c>
      <c r="I1087" s="3">
        <f>IFERROR(__xludf.DUMMYFUNCTION("""COMPUTED_VALUE"""),0.0)</f>
        <v>0</v>
      </c>
      <c r="J1087" s="4">
        <f>IFERROR(__xludf.DUMMYFUNCTION("""COMPUTED_VALUE"""),11.4)</f>
        <v>11.4</v>
      </c>
      <c r="K1087" s="2"/>
      <c r="L1087" s="2" t="str">
        <f>IFERROR(__xludf.DUMMYFUNCTION("""COMPUTED_VALUE"""),"Delivered")</f>
        <v>Delivered</v>
      </c>
      <c r="M1087" s="2" t="str">
        <f>IFERROR(__xludf.DUMMYFUNCTION("""COMPUTED_VALUE"""),"")</f>
        <v></v>
      </c>
      <c r="N1087" s="2" t="str">
        <f>IFERROR(__xludf.DUMMYFUNCTION("""COMPUTED_VALUE"""),"Credit, Debit , Apple Pay")</f>
        <v>Credit, Debit , Apple Pay</v>
      </c>
      <c r="O1087" s="4">
        <f>IFERROR(__xludf.DUMMYFUNCTION("""COMPUTED_VALUE"""),0.0)</f>
        <v>0</v>
      </c>
      <c r="P1087" s="2">
        <f>IFERROR(__xludf.DUMMYFUNCTION("""COMPUTED_VALUE"""),11.0)</f>
        <v>11</v>
      </c>
      <c r="Q1087" s="2">
        <f>IFERROR(__xludf.DUMMYFUNCTION("""COMPUTED_VALUE"""),9.0)</f>
        <v>9</v>
      </c>
      <c r="R1087" s="2">
        <f>IFERROR(__xludf.DUMMYFUNCTION("""COMPUTED_VALUE"""),2025.0)</f>
        <v>2025</v>
      </c>
      <c r="S1087" s="2" t="str">
        <f>IFERROR(__xludf.DUMMYFUNCTION("""COMPUTED_VALUE"""),"Digizag")</f>
        <v>Digizag</v>
      </c>
      <c r="T1087" s="2" t="str">
        <f>IFERROR(__xludf.DUMMYFUNCTION("""COMPUTED_VALUE"""),"Digizag")</f>
        <v>Digizag</v>
      </c>
      <c r="U1087" s="5">
        <f>IFERROR(__xludf.DUMMYFUNCTION("""COMPUTED_VALUE"""),31.041524891999998)</f>
        <v>31.04152489</v>
      </c>
      <c r="V1087" s="2"/>
      <c r="W1087" s="2"/>
      <c r="X1087" s="2"/>
      <c r="Y1087" s="2"/>
      <c r="Z1087" s="2"/>
    </row>
    <row r="1088">
      <c r="A1088" s="6">
        <f>IFERROR(__xludf.DUMMYFUNCTION("""COMPUTED_VALUE"""),45911.43540509259)</f>
        <v>45911.43541</v>
      </c>
      <c r="B1088" s="2" t="str">
        <f>IFERROR(__xludf.DUMMYFUNCTION("""COMPUTED_VALUE"""),"September")</f>
        <v>September</v>
      </c>
      <c r="C1088" s="3">
        <f>IFERROR(__xludf.DUMMYFUNCTION("""COMPUTED_VALUE"""),236317.0)</f>
        <v>236317</v>
      </c>
      <c r="D1088" s="2" t="str">
        <f>IFERROR(__xludf.DUMMYFUNCTION("""COMPUTED_VALUE"""),"DB7")</f>
        <v>DB7</v>
      </c>
      <c r="E1088" s="2" t="str">
        <f>IFERROR(__xludf.DUMMYFUNCTION("""COMPUTED_VALUE"""),"Digizag")</f>
        <v>Digizag</v>
      </c>
      <c r="F1088" s="2" t="str">
        <f>IFERROR(__xludf.DUMMYFUNCTION("""COMPUTED_VALUE"""),"JRK670393")</f>
        <v>JRK670393</v>
      </c>
      <c r="G1088" s="2" t="str">
        <f>IFERROR(__xludf.DUMMYFUNCTION("""COMPUTED_VALUE"""),"Kuwait")</f>
        <v>Kuwait</v>
      </c>
      <c r="H1088" s="4">
        <f>IFERROR(__xludf.DUMMYFUNCTION("""COMPUTED_VALUE"""),6.25)</f>
        <v>6.25</v>
      </c>
      <c r="I1088" s="3">
        <f>IFERROR(__xludf.DUMMYFUNCTION("""COMPUTED_VALUE"""),0.0)</f>
        <v>0</v>
      </c>
      <c r="J1088" s="4">
        <f>IFERROR(__xludf.DUMMYFUNCTION("""COMPUTED_VALUE"""),0.625)</f>
        <v>0.625</v>
      </c>
      <c r="K1088" s="2"/>
      <c r="L1088" s="2" t="str">
        <f>IFERROR(__xludf.DUMMYFUNCTION("""COMPUTED_VALUE"""),"Delivered")</f>
        <v>Delivered</v>
      </c>
      <c r="M1088" s="2" t="str">
        <f>IFERROR(__xludf.DUMMYFUNCTION("""COMPUTED_VALUE"""),"KD")</f>
        <v>KD</v>
      </c>
      <c r="N1088" s="2" t="str">
        <f>IFERROR(__xludf.DUMMYFUNCTION("""COMPUTED_VALUE"""),"Credit, Debit, Knet")</f>
        <v>Credit, Debit, Knet</v>
      </c>
      <c r="O1088" s="4">
        <f>IFERROR(__xludf.DUMMYFUNCTION("""COMPUTED_VALUE"""),0.0)</f>
        <v>0</v>
      </c>
      <c r="P1088" s="2">
        <f>IFERROR(__xludf.DUMMYFUNCTION("""COMPUTED_VALUE"""),11.0)</f>
        <v>11</v>
      </c>
      <c r="Q1088" s="2">
        <f>IFERROR(__xludf.DUMMYFUNCTION("""COMPUTED_VALUE"""),9.0)</f>
        <v>9</v>
      </c>
      <c r="R1088" s="2">
        <f>IFERROR(__xludf.DUMMYFUNCTION("""COMPUTED_VALUE"""),2025.0)</f>
        <v>2025</v>
      </c>
      <c r="S1088" s="2" t="str">
        <f>IFERROR(__xludf.DUMMYFUNCTION("""COMPUTED_VALUE"""),"Digizag")</f>
        <v>Digizag</v>
      </c>
      <c r="T1088" s="2" t="str">
        <f>IFERROR(__xludf.DUMMYFUNCTION("""COMPUTED_VALUE"""),"Digizag")</f>
        <v>Digizag</v>
      </c>
      <c r="U1088" s="5">
        <f>IFERROR(__xludf.DUMMYFUNCTION("""COMPUTED_VALUE"""),20.378875)</f>
        <v>20.378875</v>
      </c>
      <c r="V1088" s="2"/>
      <c r="W1088" s="2"/>
      <c r="X1088" s="2"/>
      <c r="Y1088" s="2"/>
      <c r="Z1088" s="2"/>
    </row>
    <row r="1089">
      <c r="A1089" s="6">
        <f>IFERROR(__xludf.DUMMYFUNCTION("""COMPUTED_VALUE"""),45911.48296296296)</f>
        <v>45911.48296</v>
      </c>
      <c r="B1089" s="2" t="str">
        <f>IFERROR(__xludf.DUMMYFUNCTION("""COMPUTED_VALUE"""),"September")</f>
        <v>September</v>
      </c>
      <c r="C1089" s="3">
        <f>IFERROR(__xludf.DUMMYFUNCTION("""COMPUTED_VALUE"""),71276.0)</f>
        <v>71276</v>
      </c>
      <c r="D1089" s="2" t="str">
        <f>IFERROR(__xludf.DUMMYFUNCTION("""COMPUTED_VALUE"""),"ZM22")</f>
        <v>ZM22</v>
      </c>
      <c r="E1089" s="2" t="str">
        <f>IFERROR(__xludf.DUMMYFUNCTION("""COMPUTED_VALUE"""),"Imported from file Digizag.xlsx")</f>
        <v>Imported from file Digizag.xlsx</v>
      </c>
      <c r="F1089" s="2" t="str">
        <f>IFERROR(__xludf.DUMMYFUNCTION("""COMPUTED_VALUE"""),"VWQ109510")</f>
        <v>VWQ109510</v>
      </c>
      <c r="G1089" s="2" t="str">
        <f>IFERROR(__xludf.DUMMYFUNCTION("""COMPUTED_VALUE"""),"Kingdom of Saudi Arabia")</f>
        <v>Kingdom of Saudi Arabia</v>
      </c>
      <c r="H1089" s="4">
        <f>IFERROR(__xludf.DUMMYFUNCTION("""COMPUTED_VALUE"""),74.71)</f>
        <v>74.71</v>
      </c>
      <c r="I1089" s="3">
        <f>IFERROR(__xludf.DUMMYFUNCTION("""COMPUTED_VALUE"""),0.0)</f>
        <v>0</v>
      </c>
      <c r="J1089" s="4">
        <f>IFERROR(__xludf.DUMMYFUNCTION("""COMPUTED_VALUE"""),18.67)</f>
        <v>18.67</v>
      </c>
      <c r="K1089" s="2"/>
      <c r="L1089" s="2" t="str">
        <f>IFERROR(__xludf.DUMMYFUNCTION("""COMPUTED_VALUE"""),"Delivered")</f>
        <v>Delivered</v>
      </c>
      <c r="M1089" s="2" t="str">
        <f>IFERROR(__xludf.DUMMYFUNCTION("""COMPUTED_VALUE"""),"")</f>
        <v></v>
      </c>
      <c r="N1089" s="2" t="str">
        <f>IFERROR(__xludf.DUMMYFUNCTION("""COMPUTED_VALUE"""),"Credit, Debit, Apple Pay")</f>
        <v>Credit, Debit, Apple Pay</v>
      </c>
      <c r="O1089" s="4">
        <f>IFERROR(__xludf.DUMMYFUNCTION("""COMPUTED_VALUE"""),0.0)</f>
        <v>0</v>
      </c>
      <c r="P1089" s="2">
        <f>IFERROR(__xludf.DUMMYFUNCTION("""COMPUTED_VALUE"""),11.0)</f>
        <v>11</v>
      </c>
      <c r="Q1089" s="2">
        <f>IFERROR(__xludf.DUMMYFUNCTION("""COMPUTED_VALUE"""),9.0)</f>
        <v>9</v>
      </c>
      <c r="R1089" s="2">
        <f>IFERROR(__xludf.DUMMYFUNCTION("""COMPUTED_VALUE"""),2025.0)</f>
        <v>2025</v>
      </c>
      <c r="S1089" s="2" t="str">
        <f>IFERROR(__xludf.DUMMYFUNCTION("""COMPUTED_VALUE"""),"Digizag")</f>
        <v>Digizag</v>
      </c>
      <c r="T1089" s="2" t="str">
        <f>IFERROR(__xludf.DUMMYFUNCTION("""COMPUTED_VALUE"""),"Digizag")</f>
        <v>Digizag</v>
      </c>
      <c r="U1089" s="5">
        <f>IFERROR(__xludf.DUMMYFUNCTION("""COMPUTED_VALUE"""),19.92112609666)</f>
        <v>19.9211261</v>
      </c>
      <c r="V1089" s="2"/>
      <c r="W1089" s="2"/>
      <c r="X1089" s="2"/>
      <c r="Y1089" s="2"/>
      <c r="Z1089" s="2"/>
    </row>
    <row r="1090">
      <c r="A1090" s="6">
        <f>IFERROR(__xludf.DUMMYFUNCTION("""COMPUTED_VALUE"""),45911.50038194444)</f>
        <v>45911.50038</v>
      </c>
      <c r="B1090" s="2" t="str">
        <f>IFERROR(__xludf.DUMMYFUNCTION("""COMPUTED_VALUE"""),"September")</f>
        <v>September</v>
      </c>
      <c r="C1090" s="3">
        <f>IFERROR(__xludf.DUMMYFUNCTION("""COMPUTED_VALUE"""),37298.0)</f>
        <v>37298</v>
      </c>
      <c r="D1090" s="2" t="str">
        <f>IFERROR(__xludf.DUMMYFUNCTION("""COMPUTED_VALUE"""),"DG3")</f>
        <v>DG3</v>
      </c>
      <c r="E1090" s="2" t="str">
        <f>IFERROR(__xludf.DUMMYFUNCTION("""COMPUTED_VALUE"""),"Imported from file Digizag.xlsx")</f>
        <v>Imported from file Digizag.xlsx</v>
      </c>
      <c r="F1090" s="2" t="str">
        <f>IFERROR(__xludf.DUMMYFUNCTION("""COMPUTED_VALUE"""),"JAW762045")</f>
        <v>JAW762045</v>
      </c>
      <c r="G1090" s="2" t="str">
        <f>IFERROR(__xludf.DUMMYFUNCTION("""COMPUTED_VALUE"""),"Kingdom of Saudi Arabia")</f>
        <v>Kingdom of Saudi Arabia</v>
      </c>
      <c r="H1090" s="4">
        <f>IFERROR(__xludf.DUMMYFUNCTION("""COMPUTED_VALUE"""),133.0)</f>
        <v>133</v>
      </c>
      <c r="I1090" s="3">
        <f>IFERROR(__xludf.DUMMYFUNCTION("""COMPUTED_VALUE"""),0.0)</f>
        <v>0</v>
      </c>
      <c r="J1090" s="4">
        <f>IFERROR(__xludf.DUMMYFUNCTION("""COMPUTED_VALUE"""),30.0)</f>
        <v>30</v>
      </c>
      <c r="K1090" s="2"/>
      <c r="L1090" s="2" t="str">
        <f>IFERROR(__xludf.DUMMYFUNCTION("""COMPUTED_VALUE"""),"Delivered")</f>
        <v>Delivered</v>
      </c>
      <c r="M1090" s="2" t="str">
        <f>IFERROR(__xludf.DUMMYFUNCTION("""COMPUTED_VALUE"""),"")</f>
        <v></v>
      </c>
      <c r="N1090" s="2" t="str">
        <f>IFERROR(__xludf.DUMMYFUNCTION("""COMPUTED_VALUE"""),"Credit, Debit, Apple Pay")</f>
        <v>Credit, Debit, Apple Pay</v>
      </c>
      <c r="O1090" s="4">
        <f>IFERROR(__xludf.DUMMYFUNCTION("""COMPUTED_VALUE"""),0.0)</f>
        <v>0</v>
      </c>
      <c r="P1090" s="2">
        <f>IFERROR(__xludf.DUMMYFUNCTION("""COMPUTED_VALUE"""),11.0)</f>
        <v>11</v>
      </c>
      <c r="Q1090" s="2">
        <f>IFERROR(__xludf.DUMMYFUNCTION("""COMPUTED_VALUE"""),9.0)</f>
        <v>9</v>
      </c>
      <c r="R1090" s="2">
        <f>IFERROR(__xludf.DUMMYFUNCTION("""COMPUTED_VALUE"""),2025.0)</f>
        <v>2025</v>
      </c>
      <c r="S1090" s="2" t="str">
        <f>IFERROR(__xludf.DUMMYFUNCTION("""COMPUTED_VALUE"""),"Digizag")</f>
        <v>Digizag</v>
      </c>
      <c r="T1090" s="2" t="str">
        <f>IFERROR(__xludf.DUMMYFUNCTION("""COMPUTED_VALUE"""),"Digizag")</f>
        <v>Digizag</v>
      </c>
      <c r="U1090" s="5">
        <f>IFERROR(__xludf.DUMMYFUNCTION("""COMPUTED_VALUE"""),35.463924118)</f>
        <v>35.46392412</v>
      </c>
      <c r="V1090" s="2"/>
      <c r="W1090" s="2"/>
      <c r="X1090" s="2"/>
      <c r="Y1090" s="2"/>
      <c r="Z1090" s="2"/>
    </row>
    <row r="1091">
      <c r="A1091" s="6">
        <f>IFERROR(__xludf.DUMMYFUNCTION("""COMPUTED_VALUE"""),45911.63741898148)</f>
        <v>45911.63742</v>
      </c>
      <c r="B1091" s="2" t="str">
        <f>IFERROR(__xludf.DUMMYFUNCTION("""COMPUTED_VALUE"""),"September")</f>
        <v>September</v>
      </c>
      <c r="C1091" s="3">
        <f>IFERROR(__xludf.DUMMYFUNCTION("""COMPUTED_VALUE"""),789760.0)</f>
        <v>789760</v>
      </c>
      <c r="D1091" s="2" t="str">
        <f>IFERROR(__xludf.DUMMYFUNCTION("""COMPUTED_VALUE"""),"RR22")</f>
        <v>RR22</v>
      </c>
      <c r="E1091" s="2" t="str">
        <f>IFERROR(__xludf.DUMMYFUNCTION("""COMPUTED_VALUE"""),"Imported from file Digizag.xlsx")</f>
        <v>Imported from file Digizag.xlsx</v>
      </c>
      <c r="F1091" s="2" t="str">
        <f>IFERROR(__xludf.DUMMYFUNCTION("""COMPUTED_VALUE"""),"TAW841308")</f>
        <v>TAW841308</v>
      </c>
      <c r="G1091" s="2" t="str">
        <f>IFERROR(__xludf.DUMMYFUNCTION("""COMPUTED_VALUE"""),"UAE")</f>
        <v>UAE</v>
      </c>
      <c r="H1091" s="4">
        <f>IFERROR(__xludf.DUMMYFUNCTION("""COMPUTED_VALUE"""),408.0)</f>
        <v>408</v>
      </c>
      <c r="I1091" s="3">
        <f>IFERROR(__xludf.DUMMYFUNCTION("""COMPUTED_VALUE"""),0.0)</f>
        <v>0</v>
      </c>
      <c r="J1091" s="4">
        <f>IFERROR(__xludf.DUMMYFUNCTION("""COMPUTED_VALUE"""),40.8)</f>
        <v>40.8</v>
      </c>
      <c r="K1091" s="2"/>
      <c r="L1091" s="2" t="str">
        <f>IFERROR(__xludf.DUMMYFUNCTION("""COMPUTED_VALUE"""),"Delivered")</f>
        <v>Delivered</v>
      </c>
      <c r="M1091" s="2" t="str">
        <f>IFERROR(__xludf.DUMMYFUNCTION("""COMPUTED_VALUE"""),"")</f>
        <v></v>
      </c>
      <c r="N1091" s="2" t="str">
        <f>IFERROR(__xludf.DUMMYFUNCTION("""COMPUTED_VALUE"""),"Credit, Debit , Apple Pay")</f>
        <v>Credit, Debit , Apple Pay</v>
      </c>
      <c r="O1091" s="4">
        <f>IFERROR(__xludf.DUMMYFUNCTION("""COMPUTED_VALUE"""),0.0)</f>
        <v>0</v>
      </c>
      <c r="P1091" s="2">
        <f>IFERROR(__xludf.DUMMYFUNCTION("""COMPUTED_VALUE"""),11.0)</f>
        <v>11</v>
      </c>
      <c r="Q1091" s="2">
        <f>IFERROR(__xludf.DUMMYFUNCTION("""COMPUTED_VALUE"""),9.0)</f>
        <v>9</v>
      </c>
      <c r="R1091" s="2">
        <f>IFERROR(__xludf.DUMMYFUNCTION("""COMPUTED_VALUE"""),2025.0)</f>
        <v>2025</v>
      </c>
      <c r="S1091" s="2" t="str">
        <f>IFERROR(__xludf.DUMMYFUNCTION("""COMPUTED_VALUE"""),"Digizag")</f>
        <v>Digizag</v>
      </c>
      <c r="T1091" s="2" t="str">
        <f>IFERROR(__xludf.DUMMYFUNCTION("""COMPUTED_VALUE"""),"Digizag")</f>
        <v>Digizag</v>
      </c>
      <c r="U1091" s="5">
        <f>IFERROR(__xludf.DUMMYFUNCTION("""COMPUTED_VALUE"""),111.095983824)</f>
        <v>111.0959838</v>
      </c>
      <c r="V1091" s="2"/>
      <c r="W1091" s="2"/>
      <c r="X1091" s="2"/>
      <c r="Y1091" s="2"/>
      <c r="Z1091" s="2"/>
    </row>
    <row r="1092">
      <c r="A1092" s="6">
        <f>IFERROR(__xludf.DUMMYFUNCTION("""COMPUTED_VALUE"""),45911.787581018514)</f>
        <v>45911.78758</v>
      </c>
      <c r="B1092" s="2" t="str">
        <f>IFERROR(__xludf.DUMMYFUNCTION("""COMPUTED_VALUE"""),"September")</f>
        <v>September</v>
      </c>
      <c r="C1092" s="3">
        <f>IFERROR(__xludf.DUMMYFUNCTION("""COMPUTED_VALUE"""),799508.0)</f>
        <v>799508</v>
      </c>
      <c r="D1092" s="2" t="str">
        <f>IFERROR(__xludf.DUMMYFUNCTION("""COMPUTED_VALUE"""),"MNN27")</f>
        <v>MNN27</v>
      </c>
      <c r="E1092" s="2" t="str">
        <f>IFERROR(__xludf.DUMMYFUNCTION("""COMPUTED_VALUE"""),"Imported from file DigiZag Bidding Codes.xlsx")</f>
        <v>Imported from file DigiZag Bidding Codes.xlsx</v>
      </c>
      <c r="F1092" s="2" t="str">
        <f>IFERROR(__xludf.DUMMYFUNCTION("""COMPUTED_VALUE"""),"TJM696632")</f>
        <v>TJM696632</v>
      </c>
      <c r="G1092" s="2" t="str">
        <f>IFERROR(__xludf.DUMMYFUNCTION("""COMPUTED_VALUE"""),"Kingdom of Saudi Arabia")</f>
        <v>Kingdom of Saudi Arabia</v>
      </c>
      <c r="H1092" s="4">
        <f>IFERROR(__xludf.DUMMYFUNCTION("""COMPUTED_VALUE"""),203.78)</f>
        <v>203.78</v>
      </c>
      <c r="I1092" s="3">
        <f>IFERROR(__xludf.DUMMYFUNCTION("""COMPUTED_VALUE"""),0.0)</f>
        <v>0</v>
      </c>
      <c r="J1092" s="4">
        <f>IFERROR(__xludf.DUMMYFUNCTION("""COMPUTED_VALUE"""),30.0)</f>
        <v>30</v>
      </c>
      <c r="K1092" s="2"/>
      <c r="L1092" s="2" t="str">
        <f>IFERROR(__xludf.DUMMYFUNCTION("""COMPUTED_VALUE"""),"Delivered")</f>
        <v>Delivered</v>
      </c>
      <c r="M1092" s="2" t="str">
        <f>IFERROR(__xludf.DUMMYFUNCTION("""COMPUTED_VALUE"""),"")</f>
        <v></v>
      </c>
      <c r="N1092" s="2" t="str">
        <f>IFERROR(__xludf.DUMMYFUNCTION("""COMPUTED_VALUE"""),"Credit, Debit, Apple Pay")</f>
        <v>Credit, Debit, Apple Pay</v>
      </c>
      <c r="O1092" s="4">
        <f>IFERROR(__xludf.DUMMYFUNCTION("""COMPUTED_VALUE"""),0.0)</f>
        <v>0</v>
      </c>
      <c r="P1092" s="2">
        <f>IFERROR(__xludf.DUMMYFUNCTION("""COMPUTED_VALUE"""),11.0)</f>
        <v>11</v>
      </c>
      <c r="Q1092" s="2">
        <f>IFERROR(__xludf.DUMMYFUNCTION("""COMPUTED_VALUE"""),9.0)</f>
        <v>9</v>
      </c>
      <c r="R1092" s="2">
        <f>IFERROR(__xludf.DUMMYFUNCTION("""COMPUTED_VALUE"""),2025.0)</f>
        <v>2025</v>
      </c>
      <c r="S1092" s="2" t="str">
        <f>IFERROR(__xludf.DUMMYFUNCTION("""COMPUTED_VALUE"""),"Digizag")</f>
        <v>Digizag</v>
      </c>
      <c r="T1092" s="2" t="str">
        <f>IFERROR(__xludf.DUMMYFUNCTION("""COMPUTED_VALUE"""),"Digizag")</f>
        <v>Digizag</v>
      </c>
      <c r="U1092" s="5">
        <f>IFERROR(__xludf.DUMMYFUNCTION("""COMPUTED_VALUE"""),54.33713125388)</f>
        <v>54.33713125</v>
      </c>
      <c r="V1092" s="2"/>
      <c r="W1092" s="2"/>
      <c r="X1092" s="2"/>
      <c r="Y1092" s="2"/>
      <c r="Z1092" s="2"/>
    </row>
    <row r="1093">
      <c r="A1093" s="6">
        <f>IFERROR(__xludf.DUMMYFUNCTION("""COMPUTED_VALUE"""),45911.91747685185)</f>
        <v>45911.91748</v>
      </c>
      <c r="B1093" s="2" t="str">
        <f>IFERROR(__xludf.DUMMYFUNCTION("""COMPUTED_VALUE"""),"September")</f>
        <v>September</v>
      </c>
      <c r="C1093" s="3">
        <f>IFERROR(__xludf.DUMMYFUNCTION("""COMPUTED_VALUE"""),492567.0)</f>
        <v>492567</v>
      </c>
      <c r="D1093" s="2" t="str">
        <f>IFERROR(__xludf.DUMMYFUNCTION("""COMPUTED_VALUE"""),"ZM22")</f>
        <v>ZM22</v>
      </c>
      <c r="E1093" s="2" t="str">
        <f>IFERROR(__xludf.DUMMYFUNCTION("""COMPUTED_VALUE"""),"Imported from file Digizag.xlsx")</f>
        <v>Imported from file Digizag.xlsx</v>
      </c>
      <c r="F1093" s="2" t="str">
        <f>IFERROR(__xludf.DUMMYFUNCTION("""COMPUTED_VALUE"""),"NTQ572236")</f>
        <v>NTQ572236</v>
      </c>
      <c r="G1093" s="2" t="str">
        <f>IFERROR(__xludf.DUMMYFUNCTION("""COMPUTED_VALUE"""),"Kuwait")</f>
        <v>Kuwait</v>
      </c>
      <c r="H1093" s="4">
        <f>IFERROR(__xludf.DUMMYFUNCTION("""COMPUTED_VALUE"""),5.85)</f>
        <v>5.85</v>
      </c>
      <c r="I1093" s="3">
        <f>IFERROR(__xludf.DUMMYFUNCTION("""COMPUTED_VALUE"""),0.0)</f>
        <v>0</v>
      </c>
      <c r="J1093" s="4">
        <f>IFERROR(__xludf.DUMMYFUNCTION("""COMPUTED_VALUE"""),0.585)</f>
        <v>0.585</v>
      </c>
      <c r="K1093" s="2"/>
      <c r="L1093" s="2" t="str">
        <f>IFERROR(__xludf.DUMMYFUNCTION("""COMPUTED_VALUE"""),"Delivered")</f>
        <v>Delivered</v>
      </c>
      <c r="M1093" s="2" t="str">
        <f>IFERROR(__xludf.DUMMYFUNCTION("""COMPUTED_VALUE"""),"KD")</f>
        <v>KD</v>
      </c>
      <c r="N1093" s="2" t="str">
        <f>IFERROR(__xludf.DUMMYFUNCTION("""COMPUTED_VALUE"""),"Credit, Debit, Knet")</f>
        <v>Credit, Debit, Knet</v>
      </c>
      <c r="O1093" s="4">
        <f>IFERROR(__xludf.DUMMYFUNCTION("""COMPUTED_VALUE"""),0.0)</f>
        <v>0</v>
      </c>
      <c r="P1093" s="2">
        <f>IFERROR(__xludf.DUMMYFUNCTION("""COMPUTED_VALUE"""),11.0)</f>
        <v>11</v>
      </c>
      <c r="Q1093" s="2">
        <f>IFERROR(__xludf.DUMMYFUNCTION("""COMPUTED_VALUE"""),9.0)</f>
        <v>9</v>
      </c>
      <c r="R1093" s="2">
        <f>IFERROR(__xludf.DUMMYFUNCTION("""COMPUTED_VALUE"""),2025.0)</f>
        <v>2025</v>
      </c>
      <c r="S1093" s="2" t="str">
        <f>IFERROR(__xludf.DUMMYFUNCTION("""COMPUTED_VALUE"""),"Digizag")</f>
        <v>Digizag</v>
      </c>
      <c r="T1093" s="2" t="str">
        <f>IFERROR(__xludf.DUMMYFUNCTION("""COMPUTED_VALUE"""),"Digizag")</f>
        <v>Digizag</v>
      </c>
      <c r="U1093" s="5">
        <f>IFERROR(__xludf.DUMMYFUNCTION("""COMPUTED_VALUE"""),19.074627)</f>
        <v>19.074627</v>
      </c>
      <c r="V1093" s="2"/>
      <c r="W1093" s="2"/>
      <c r="X1093" s="2"/>
      <c r="Y1093" s="2"/>
      <c r="Z1093" s="2"/>
    </row>
    <row r="1094">
      <c r="A1094" s="6">
        <f>IFERROR(__xludf.DUMMYFUNCTION("""COMPUTED_VALUE"""),45912.39347222222)</f>
        <v>45912.39347</v>
      </c>
      <c r="B1094" s="2" t="str">
        <f>IFERROR(__xludf.DUMMYFUNCTION("""COMPUTED_VALUE"""),"September")</f>
        <v>September</v>
      </c>
      <c r="C1094" s="3">
        <f>IFERROR(__xludf.DUMMYFUNCTION("""COMPUTED_VALUE"""),450065.0)</f>
        <v>450065</v>
      </c>
      <c r="D1094" s="2" t="str">
        <f>IFERROR(__xludf.DUMMYFUNCTION("""COMPUTED_VALUE"""),"DB1")</f>
        <v>DB1</v>
      </c>
      <c r="E1094" s="2" t="str">
        <f>IFERROR(__xludf.DUMMYFUNCTION("""COMPUTED_VALUE"""),"Imported from file Digizag.xlsx")</f>
        <v>Imported from file Digizag.xlsx</v>
      </c>
      <c r="F1094" s="2" t="str">
        <f>IFERROR(__xludf.DUMMYFUNCTION("""COMPUTED_VALUE"""),"AHK734160")</f>
        <v>AHK734160</v>
      </c>
      <c r="G1094" s="2" t="str">
        <f>IFERROR(__xludf.DUMMYFUNCTION("""COMPUTED_VALUE"""),"Kuwait")</f>
        <v>Kuwait</v>
      </c>
      <c r="H1094" s="4">
        <f>IFERROR(__xludf.DUMMYFUNCTION("""COMPUTED_VALUE"""),12.17)</f>
        <v>12.17</v>
      </c>
      <c r="I1094" s="3">
        <f>IFERROR(__xludf.DUMMYFUNCTION("""COMPUTED_VALUE"""),0.0)</f>
        <v>0</v>
      </c>
      <c r="J1094" s="4">
        <f>IFERROR(__xludf.DUMMYFUNCTION("""COMPUTED_VALUE"""),1.217)</f>
        <v>1.217</v>
      </c>
      <c r="K1094" s="2"/>
      <c r="L1094" s="2" t="str">
        <f>IFERROR(__xludf.DUMMYFUNCTION("""COMPUTED_VALUE"""),"Delivered")</f>
        <v>Delivered</v>
      </c>
      <c r="M1094" s="2" t="str">
        <f>IFERROR(__xludf.DUMMYFUNCTION("""COMPUTED_VALUE"""),"KD")</f>
        <v>KD</v>
      </c>
      <c r="N1094" s="2" t="str">
        <f>IFERROR(__xludf.DUMMYFUNCTION("""COMPUTED_VALUE"""),"Credit, Debit, Knet")</f>
        <v>Credit, Debit, Knet</v>
      </c>
      <c r="O1094" s="4">
        <f>IFERROR(__xludf.DUMMYFUNCTION("""COMPUTED_VALUE"""),0.0)</f>
        <v>0</v>
      </c>
      <c r="P1094" s="2">
        <f>IFERROR(__xludf.DUMMYFUNCTION("""COMPUTED_VALUE"""),12.0)</f>
        <v>12</v>
      </c>
      <c r="Q1094" s="2">
        <f>IFERROR(__xludf.DUMMYFUNCTION("""COMPUTED_VALUE"""),9.0)</f>
        <v>9</v>
      </c>
      <c r="R1094" s="2">
        <f>IFERROR(__xludf.DUMMYFUNCTION("""COMPUTED_VALUE"""),2025.0)</f>
        <v>2025</v>
      </c>
      <c r="S1094" s="2" t="str">
        <f>IFERROR(__xludf.DUMMYFUNCTION("""COMPUTED_VALUE"""),"Digizag")</f>
        <v>Digizag</v>
      </c>
      <c r="T1094" s="2" t="str">
        <f>IFERROR(__xludf.DUMMYFUNCTION("""COMPUTED_VALUE"""),"Digizag")</f>
        <v>Digizag</v>
      </c>
      <c r="U1094" s="5">
        <f>IFERROR(__xludf.DUMMYFUNCTION("""COMPUTED_VALUE"""),39.6817454)</f>
        <v>39.6817454</v>
      </c>
      <c r="V1094" s="2"/>
      <c r="W1094" s="2"/>
      <c r="X1094" s="2"/>
      <c r="Y1094" s="2"/>
      <c r="Z1094" s="2"/>
    </row>
    <row r="1095">
      <c r="A1095" s="6">
        <f>IFERROR(__xludf.DUMMYFUNCTION("""COMPUTED_VALUE"""),45912.65642361111)</f>
        <v>45912.65642</v>
      </c>
      <c r="B1095" s="2" t="str">
        <f>IFERROR(__xludf.DUMMYFUNCTION("""COMPUTED_VALUE"""),"September")</f>
        <v>September</v>
      </c>
      <c r="C1095" s="3">
        <f>IFERROR(__xludf.DUMMYFUNCTION("""COMPUTED_VALUE"""),188847.0)</f>
        <v>188847</v>
      </c>
      <c r="D1095" s="2" t="str">
        <f>IFERROR(__xludf.DUMMYFUNCTION("""COMPUTED_VALUE"""),"DB6")</f>
        <v>DB6</v>
      </c>
      <c r="E1095" s="2" t="str">
        <f>IFERROR(__xludf.DUMMYFUNCTION("""COMPUTED_VALUE"""),"Digizag")</f>
        <v>Digizag</v>
      </c>
      <c r="F1095" s="2" t="str">
        <f>IFERROR(__xludf.DUMMYFUNCTION("""COMPUTED_VALUE"""),"UZA341716")</f>
        <v>UZA341716</v>
      </c>
      <c r="G1095" s="2" t="str">
        <f>IFERROR(__xludf.DUMMYFUNCTION("""COMPUTED_VALUE"""),"Kuwait")</f>
        <v>Kuwait</v>
      </c>
      <c r="H1095" s="4">
        <f>IFERROR(__xludf.DUMMYFUNCTION("""COMPUTED_VALUE"""),14.0)</f>
        <v>14</v>
      </c>
      <c r="I1095" s="3">
        <f>IFERROR(__xludf.DUMMYFUNCTION("""COMPUTED_VALUE"""),0.0)</f>
        <v>0</v>
      </c>
      <c r="J1095" s="4">
        <f>IFERROR(__xludf.DUMMYFUNCTION("""COMPUTED_VALUE"""),1.4)</f>
        <v>1.4</v>
      </c>
      <c r="K1095" s="2"/>
      <c r="L1095" s="2" t="str">
        <f>IFERROR(__xludf.DUMMYFUNCTION("""COMPUTED_VALUE"""),"Delivered")</f>
        <v>Delivered</v>
      </c>
      <c r="M1095" s="2" t="str">
        <f>IFERROR(__xludf.DUMMYFUNCTION("""COMPUTED_VALUE"""),"KD")</f>
        <v>KD</v>
      </c>
      <c r="N1095" s="2" t="str">
        <f>IFERROR(__xludf.DUMMYFUNCTION("""COMPUTED_VALUE"""),"Credit, Debit, Knet")</f>
        <v>Credit, Debit, Knet</v>
      </c>
      <c r="O1095" s="4">
        <f>IFERROR(__xludf.DUMMYFUNCTION("""COMPUTED_VALUE"""),0.0)</f>
        <v>0</v>
      </c>
      <c r="P1095" s="2">
        <f>IFERROR(__xludf.DUMMYFUNCTION("""COMPUTED_VALUE"""),12.0)</f>
        <v>12</v>
      </c>
      <c r="Q1095" s="2">
        <f>IFERROR(__xludf.DUMMYFUNCTION("""COMPUTED_VALUE"""),9.0)</f>
        <v>9</v>
      </c>
      <c r="R1095" s="2">
        <f>IFERROR(__xludf.DUMMYFUNCTION("""COMPUTED_VALUE"""),2025.0)</f>
        <v>2025</v>
      </c>
      <c r="S1095" s="2" t="str">
        <f>IFERROR(__xludf.DUMMYFUNCTION("""COMPUTED_VALUE"""),"Digizag")</f>
        <v>Digizag</v>
      </c>
      <c r="T1095" s="2" t="str">
        <f>IFERROR(__xludf.DUMMYFUNCTION("""COMPUTED_VALUE"""),"Digizag")</f>
        <v>Digizag</v>
      </c>
      <c r="U1095" s="5">
        <f>IFERROR(__xludf.DUMMYFUNCTION("""COMPUTED_VALUE"""),45.64868)</f>
        <v>45.64868</v>
      </c>
      <c r="V1095" s="2"/>
      <c r="W1095" s="2"/>
      <c r="X1095" s="2"/>
      <c r="Y1095" s="2"/>
      <c r="Z1095" s="2"/>
    </row>
    <row r="1096">
      <c r="A1096" s="6">
        <f>IFERROR(__xludf.DUMMYFUNCTION("""COMPUTED_VALUE"""),45912.70402777778)</f>
        <v>45912.70403</v>
      </c>
      <c r="B1096" s="2" t="str">
        <f>IFERROR(__xludf.DUMMYFUNCTION("""COMPUTED_VALUE"""),"September")</f>
        <v>September</v>
      </c>
      <c r="C1096" s="3">
        <f>IFERROR(__xludf.DUMMYFUNCTION("""COMPUTED_VALUE"""),73770.0)</f>
        <v>73770</v>
      </c>
      <c r="D1096" s="2" t="str">
        <f>IFERROR(__xludf.DUMMYFUNCTION("""COMPUTED_VALUE"""),"JM")</f>
        <v>JM</v>
      </c>
      <c r="E1096" s="2" t="str">
        <f>IFERROR(__xludf.DUMMYFUNCTION("""COMPUTED_VALUE"""),"DigiZag")</f>
        <v>DigiZag</v>
      </c>
      <c r="F1096" s="2" t="str">
        <f>IFERROR(__xludf.DUMMYFUNCTION("""COMPUTED_VALUE"""),"ZCH389102")</f>
        <v>ZCH389102</v>
      </c>
      <c r="G1096" s="2" t="str">
        <f>IFERROR(__xludf.DUMMYFUNCTION("""COMPUTED_VALUE"""),"Kingdom of Saudi Arabia")</f>
        <v>Kingdom of Saudi Arabia</v>
      </c>
      <c r="H1096" s="4">
        <f>IFERROR(__xludf.DUMMYFUNCTION("""COMPUTED_VALUE"""),305.21)</f>
        <v>305.21</v>
      </c>
      <c r="I1096" s="3">
        <f>IFERROR(__xludf.DUMMYFUNCTION("""COMPUTED_VALUE"""),0.0)</f>
        <v>0</v>
      </c>
      <c r="J1096" s="4">
        <f>IFERROR(__xludf.DUMMYFUNCTION("""COMPUTED_VALUE"""),30.0)</f>
        <v>30</v>
      </c>
      <c r="K1096" s="2"/>
      <c r="L1096" s="2" t="str">
        <f>IFERROR(__xludf.DUMMYFUNCTION("""COMPUTED_VALUE"""),"Delivered")</f>
        <v>Delivered</v>
      </c>
      <c r="M1096" s="2" t="str">
        <f>IFERROR(__xludf.DUMMYFUNCTION("""COMPUTED_VALUE"""),"")</f>
        <v></v>
      </c>
      <c r="N1096" s="2" t="str">
        <f>IFERROR(__xludf.DUMMYFUNCTION("""COMPUTED_VALUE"""),"Credit, Debit, Apple Pay")</f>
        <v>Credit, Debit, Apple Pay</v>
      </c>
      <c r="O1096" s="4">
        <f>IFERROR(__xludf.DUMMYFUNCTION("""COMPUTED_VALUE"""),0.0)</f>
        <v>0</v>
      </c>
      <c r="P1096" s="2">
        <f>IFERROR(__xludf.DUMMYFUNCTION("""COMPUTED_VALUE"""),12.0)</f>
        <v>12</v>
      </c>
      <c r="Q1096" s="2">
        <f>IFERROR(__xludf.DUMMYFUNCTION("""COMPUTED_VALUE"""),9.0)</f>
        <v>9</v>
      </c>
      <c r="R1096" s="2">
        <f>IFERROR(__xludf.DUMMYFUNCTION("""COMPUTED_VALUE"""),2025.0)</f>
        <v>2025</v>
      </c>
      <c r="S1096" s="2" t="str">
        <f>IFERROR(__xludf.DUMMYFUNCTION("""COMPUTED_VALUE"""),"Digizag")</f>
        <v>Digizag</v>
      </c>
      <c r="T1096" s="2" t="str">
        <f>IFERROR(__xludf.DUMMYFUNCTION("""COMPUTED_VALUE"""),"Digizag")</f>
        <v>Digizag</v>
      </c>
      <c r="U1096" s="5">
        <f>IFERROR(__xludf.DUMMYFUNCTION("""COMPUTED_VALUE"""),81.38303969966)</f>
        <v>81.3830397</v>
      </c>
      <c r="V1096" s="2"/>
      <c r="W1096" s="2"/>
      <c r="X1096" s="2"/>
      <c r="Y1096" s="2"/>
      <c r="Z1096" s="2"/>
    </row>
    <row r="1097">
      <c r="A1097" s="6">
        <f>IFERROR(__xludf.DUMMYFUNCTION("""COMPUTED_VALUE"""),45912.82565972222)</f>
        <v>45912.82566</v>
      </c>
      <c r="B1097" s="2" t="str">
        <f>IFERROR(__xludf.DUMMYFUNCTION("""COMPUTED_VALUE"""),"September")</f>
        <v>September</v>
      </c>
      <c r="C1097" s="3">
        <f>IFERROR(__xludf.DUMMYFUNCTION("""COMPUTED_VALUE"""),27418.0)</f>
        <v>27418</v>
      </c>
      <c r="D1097" s="2" t="str">
        <f>IFERROR(__xludf.DUMMYFUNCTION("""COMPUTED_VALUE"""),"MNN27")</f>
        <v>MNN27</v>
      </c>
      <c r="E1097" s="2" t="str">
        <f>IFERROR(__xludf.DUMMYFUNCTION("""COMPUTED_VALUE"""),"Imported from file DigiZag Bidding Codes.xlsx")</f>
        <v>Imported from file DigiZag Bidding Codes.xlsx</v>
      </c>
      <c r="F1097" s="2" t="str">
        <f>IFERROR(__xludf.DUMMYFUNCTION("""COMPUTED_VALUE"""),"QRL714745")</f>
        <v>QRL714745</v>
      </c>
      <c r="G1097" s="2" t="str">
        <f>IFERROR(__xludf.DUMMYFUNCTION("""COMPUTED_VALUE"""),"Kingdom of Saudi Arabia")</f>
        <v>Kingdom of Saudi Arabia</v>
      </c>
      <c r="H1097" s="4">
        <f>IFERROR(__xludf.DUMMYFUNCTION("""COMPUTED_VALUE"""),71.96)</f>
        <v>71.96</v>
      </c>
      <c r="I1097" s="3">
        <f>IFERROR(__xludf.DUMMYFUNCTION("""COMPUTED_VALUE"""),0.0)</f>
        <v>0</v>
      </c>
      <c r="J1097" s="4">
        <f>IFERROR(__xludf.DUMMYFUNCTION("""COMPUTED_VALUE"""),17.99)</f>
        <v>17.99</v>
      </c>
      <c r="K1097" s="2"/>
      <c r="L1097" s="2" t="str">
        <f>IFERROR(__xludf.DUMMYFUNCTION("""COMPUTED_VALUE"""),"Delivered")</f>
        <v>Delivered</v>
      </c>
      <c r="M1097" s="2" t="str">
        <f>IFERROR(__xludf.DUMMYFUNCTION("""COMPUTED_VALUE"""),"")</f>
        <v></v>
      </c>
      <c r="N1097" s="2" t="str">
        <f>IFERROR(__xludf.DUMMYFUNCTION("""COMPUTED_VALUE"""),"Credit, Debit, Apple Pay")</f>
        <v>Credit, Debit, Apple Pay</v>
      </c>
      <c r="O1097" s="4">
        <f>IFERROR(__xludf.DUMMYFUNCTION("""COMPUTED_VALUE"""),0.0)</f>
        <v>0</v>
      </c>
      <c r="P1097" s="2">
        <f>IFERROR(__xludf.DUMMYFUNCTION("""COMPUTED_VALUE"""),12.0)</f>
        <v>12</v>
      </c>
      <c r="Q1097" s="2">
        <f>IFERROR(__xludf.DUMMYFUNCTION("""COMPUTED_VALUE"""),9.0)</f>
        <v>9</v>
      </c>
      <c r="R1097" s="2">
        <f>IFERROR(__xludf.DUMMYFUNCTION("""COMPUTED_VALUE"""),2025.0)</f>
        <v>2025</v>
      </c>
      <c r="S1097" s="2" t="str">
        <f>IFERROR(__xludf.DUMMYFUNCTION("""COMPUTED_VALUE"""),"Digizag")</f>
        <v>Digizag</v>
      </c>
      <c r="T1097" s="2" t="str">
        <f>IFERROR(__xludf.DUMMYFUNCTION("""COMPUTED_VALUE"""),"Digizag")</f>
        <v>Digizag</v>
      </c>
      <c r="U1097" s="5">
        <f>IFERROR(__xludf.DUMMYFUNCTION("""COMPUTED_VALUE"""),19.18784947016)</f>
        <v>19.18784947</v>
      </c>
      <c r="V1097" s="2"/>
      <c r="W1097" s="2"/>
      <c r="X1097" s="2"/>
      <c r="Y1097" s="2"/>
      <c r="Z1097" s="2"/>
    </row>
    <row r="1098">
      <c r="A1098" s="6">
        <f>IFERROR(__xludf.DUMMYFUNCTION("""COMPUTED_VALUE"""),45912.949849537035)</f>
        <v>45912.94985</v>
      </c>
      <c r="B1098" s="2" t="str">
        <f>IFERROR(__xludf.DUMMYFUNCTION("""COMPUTED_VALUE"""),"September")</f>
        <v>September</v>
      </c>
      <c r="C1098" s="3">
        <f>IFERROR(__xludf.DUMMYFUNCTION("""COMPUTED_VALUE"""),73316.0)</f>
        <v>73316</v>
      </c>
      <c r="D1098" s="2" t="str">
        <f>IFERROR(__xludf.DUMMYFUNCTION("""COMPUTED_VALUE"""),"CC22")</f>
        <v>CC22</v>
      </c>
      <c r="E1098" s="2" t="str">
        <f>IFERROR(__xludf.DUMMYFUNCTION("""COMPUTED_VALUE"""),"Imported from file Digizag.xlsx")</f>
        <v>Imported from file Digizag.xlsx</v>
      </c>
      <c r="F1098" s="2" t="str">
        <f>IFERROR(__xludf.DUMMYFUNCTION("""COMPUTED_VALUE"""),"GVV141228")</f>
        <v>GVV141228</v>
      </c>
      <c r="G1098" s="2" t="str">
        <f>IFERROR(__xludf.DUMMYFUNCTION("""COMPUTED_VALUE"""),"Kuwait")</f>
        <v>Kuwait</v>
      </c>
      <c r="H1098" s="4">
        <f>IFERROR(__xludf.DUMMYFUNCTION("""COMPUTED_VALUE"""),15.0)</f>
        <v>15</v>
      </c>
      <c r="I1098" s="3">
        <f>IFERROR(__xludf.DUMMYFUNCTION("""COMPUTED_VALUE"""),0.0)</f>
        <v>0</v>
      </c>
      <c r="J1098" s="4">
        <f>IFERROR(__xludf.DUMMYFUNCTION("""COMPUTED_VALUE"""),1.5)</f>
        <v>1.5</v>
      </c>
      <c r="K1098" s="2"/>
      <c r="L1098" s="2" t="str">
        <f>IFERROR(__xludf.DUMMYFUNCTION("""COMPUTED_VALUE"""),"Delivered")</f>
        <v>Delivered</v>
      </c>
      <c r="M1098" s="2" t="str">
        <f>IFERROR(__xludf.DUMMYFUNCTION("""COMPUTED_VALUE"""),"KD")</f>
        <v>KD</v>
      </c>
      <c r="N1098" s="2" t="str">
        <f>IFERROR(__xludf.DUMMYFUNCTION("""COMPUTED_VALUE"""),"Credit, Debit, Knet")</f>
        <v>Credit, Debit, Knet</v>
      </c>
      <c r="O1098" s="4">
        <f>IFERROR(__xludf.DUMMYFUNCTION("""COMPUTED_VALUE"""),0.0)</f>
        <v>0</v>
      </c>
      <c r="P1098" s="2">
        <f>IFERROR(__xludf.DUMMYFUNCTION("""COMPUTED_VALUE"""),12.0)</f>
        <v>12</v>
      </c>
      <c r="Q1098" s="2">
        <f>IFERROR(__xludf.DUMMYFUNCTION("""COMPUTED_VALUE"""),9.0)</f>
        <v>9</v>
      </c>
      <c r="R1098" s="2">
        <f>IFERROR(__xludf.DUMMYFUNCTION("""COMPUTED_VALUE"""),2025.0)</f>
        <v>2025</v>
      </c>
      <c r="S1098" s="2" t="str">
        <f>IFERROR(__xludf.DUMMYFUNCTION("""COMPUTED_VALUE"""),"Digizag")</f>
        <v>Digizag</v>
      </c>
      <c r="T1098" s="2" t="str">
        <f>IFERROR(__xludf.DUMMYFUNCTION("""COMPUTED_VALUE"""),"Digizag")</f>
        <v>Digizag</v>
      </c>
      <c r="U1098" s="5">
        <f>IFERROR(__xludf.DUMMYFUNCTION("""COMPUTED_VALUE"""),48.909299999999995)</f>
        <v>48.9093</v>
      </c>
      <c r="V1098" s="2"/>
      <c r="W1098" s="2"/>
      <c r="X1098" s="2"/>
      <c r="Y1098" s="2"/>
      <c r="Z1098" s="2"/>
    </row>
    <row r="1099">
      <c r="A1099" s="6">
        <f>IFERROR(__xludf.DUMMYFUNCTION("""COMPUTED_VALUE"""),45913.40236111111)</f>
        <v>45913.40236</v>
      </c>
      <c r="B1099" s="2" t="str">
        <f>IFERROR(__xludf.DUMMYFUNCTION("""COMPUTED_VALUE"""),"September")</f>
        <v>September</v>
      </c>
      <c r="C1099" s="3">
        <f>IFERROR(__xludf.DUMMYFUNCTION("""COMPUTED_VALUE"""),800350.0)</f>
        <v>800350</v>
      </c>
      <c r="D1099" s="2" t="str">
        <f>IFERROR(__xludf.DUMMYFUNCTION("""COMPUTED_VALUE"""),"DG5")</f>
        <v>DG5</v>
      </c>
      <c r="E1099" s="2" t="str">
        <f>IFERROR(__xludf.DUMMYFUNCTION("""COMPUTED_VALUE"""),"Imported from file Digizag.xlsx")</f>
        <v>Imported from file Digizag.xlsx</v>
      </c>
      <c r="F1099" s="2" t="str">
        <f>IFERROR(__xludf.DUMMYFUNCTION("""COMPUTED_VALUE"""),"LSX900132")</f>
        <v>LSX900132</v>
      </c>
      <c r="G1099" s="2" t="str">
        <f>IFERROR(__xludf.DUMMYFUNCTION("""COMPUTED_VALUE"""),"Kuwait")</f>
        <v>Kuwait</v>
      </c>
      <c r="H1099" s="4">
        <f>IFERROR(__xludf.DUMMYFUNCTION("""COMPUTED_VALUE"""),13.2)</f>
        <v>13.2</v>
      </c>
      <c r="I1099" s="3">
        <f>IFERROR(__xludf.DUMMYFUNCTION("""COMPUTED_VALUE"""),0.0)</f>
        <v>0</v>
      </c>
      <c r="J1099" s="4">
        <f>IFERROR(__xludf.DUMMYFUNCTION("""COMPUTED_VALUE"""),1.32)</f>
        <v>1.32</v>
      </c>
      <c r="K1099" s="2"/>
      <c r="L1099" s="2" t="str">
        <f>IFERROR(__xludf.DUMMYFUNCTION("""COMPUTED_VALUE"""),"Delivered")</f>
        <v>Delivered</v>
      </c>
      <c r="M1099" s="2" t="str">
        <f>IFERROR(__xludf.DUMMYFUNCTION("""COMPUTED_VALUE"""),"KD")</f>
        <v>KD</v>
      </c>
      <c r="N1099" s="2" t="str">
        <f>IFERROR(__xludf.DUMMYFUNCTION("""COMPUTED_VALUE"""),"Credit, Debit, Knet")</f>
        <v>Credit, Debit, Knet</v>
      </c>
      <c r="O1099" s="4">
        <f>IFERROR(__xludf.DUMMYFUNCTION("""COMPUTED_VALUE"""),0.0)</f>
        <v>0</v>
      </c>
      <c r="P1099" s="2">
        <f>IFERROR(__xludf.DUMMYFUNCTION("""COMPUTED_VALUE"""),13.0)</f>
        <v>13</v>
      </c>
      <c r="Q1099" s="2">
        <f>IFERROR(__xludf.DUMMYFUNCTION("""COMPUTED_VALUE"""),9.0)</f>
        <v>9</v>
      </c>
      <c r="R1099" s="2">
        <f>IFERROR(__xludf.DUMMYFUNCTION("""COMPUTED_VALUE"""),2025.0)</f>
        <v>2025</v>
      </c>
      <c r="S1099" s="2" t="str">
        <f>IFERROR(__xludf.DUMMYFUNCTION("""COMPUTED_VALUE"""),"Digizag")</f>
        <v>Digizag</v>
      </c>
      <c r="T1099" s="2" t="str">
        <f>IFERROR(__xludf.DUMMYFUNCTION("""COMPUTED_VALUE"""),"Digizag")</f>
        <v>Digizag</v>
      </c>
      <c r="U1099" s="5">
        <f>IFERROR(__xludf.DUMMYFUNCTION("""COMPUTED_VALUE"""),43.040183999999996)</f>
        <v>43.040184</v>
      </c>
      <c r="V1099" s="2"/>
      <c r="W1099" s="2"/>
      <c r="X1099" s="2"/>
      <c r="Y1099" s="2"/>
      <c r="Z1099" s="2"/>
    </row>
    <row r="1100">
      <c r="A1100" s="6">
        <f>IFERROR(__xludf.DUMMYFUNCTION("""COMPUTED_VALUE"""),45913.425833333335)</f>
        <v>45913.42583</v>
      </c>
      <c r="B1100" s="2" t="str">
        <f>IFERROR(__xludf.DUMMYFUNCTION("""COMPUTED_VALUE"""),"September")</f>
        <v>September</v>
      </c>
      <c r="C1100" s="3">
        <f>IFERROR(__xludf.DUMMYFUNCTION("""COMPUTED_VALUE"""),638980.0)</f>
        <v>638980</v>
      </c>
      <c r="D1100" s="2" t="str">
        <f>IFERROR(__xludf.DUMMYFUNCTION("""COMPUTED_VALUE"""),"CC22")</f>
        <v>CC22</v>
      </c>
      <c r="E1100" s="2" t="str">
        <f>IFERROR(__xludf.DUMMYFUNCTION("""COMPUTED_VALUE"""),"Imported from file Digizag.xlsx")</f>
        <v>Imported from file Digizag.xlsx</v>
      </c>
      <c r="F1100" s="2" t="str">
        <f>IFERROR(__xludf.DUMMYFUNCTION("""COMPUTED_VALUE"""),"PUJ789767")</f>
        <v>PUJ789767</v>
      </c>
      <c r="G1100" s="2" t="str">
        <f>IFERROR(__xludf.DUMMYFUNCTION("""COMPUTED_VALUE"""),"Kingdom of Saudi Arabia")</f>
        <v>Kingdom of Saudi Arabia</v>
      </c>
      <c r="H1100" s="4">
        <f>IFERROR(__xludf.DUMMYFUNCTION("""COMPUTED_VALUE"""),70.0)</f>
        <v>70</v>
      </c>
      <c r="I1100" s="3">
        <f>IFERROR(__xludf.DUMMYFUNCTION("""COMPUTED_VALUE"""),0.0)</f>
        <v>0</v>
      </c>
      <c r="J1100" s="4">
        <f>IFERROR(__xludf.DUMMYFUNCTION("""COMPUTED_VALUE"""),17.5)</f>
        <v>17.5</v>
      </c>
      <c r="K1100" s="2"/>
      <c r="L1100" s="2" t="str">
        <f>IFERROR(__xludf.DUMMYFUNCTION("""COMPUTED_VALUE"""),"Delivered")</f>
        <v>Delivered</v>
      </c>
      <c r="M1100" s="2" t="str">
        <f>IFERROR(__xludf.DUMMYFUNCTION("""COMPUTED_VALUE"""),"")</f>
        <v></v>
      </c>
      <c r="N1100" s="2" t="str">
        <f>IFERROR(__xludf.DUMMYFUNCTION("""COMPUTED_VALUE"""),"Pay in 4. No interest, no fees")</f>
        <v>Pay in 4. No interest, no fees</v>
      </c>
      <c r="O1100" s="4">
        <f>IFERROR(__xludf.DUMMYFUNCTION("""COMPUTED_VALUE"""),0.0)</f>
        <v>0</v>
      </c>
      <c r="P1100" s="2">
        <f>IFERROR(__xludf.DUMMYFUNCTION("""COMPUTED_VALUE"""),13.0)</f>
        <v>13</v>
      </c>
      <c r="Q1100" s="2">
        <f>IFERROR(__xludf.DUMMYFUNCTION("""COMPUTED_VALUE"""),9.0)</f>
        <v>9</v>
      </c>
      <c r="R1100" s="2">
        <f>IFERROR(__xludf.DUMMYFUNCTION("""COMPUTED_VALUE"""),2025.0)</f>
        <v>2025</v>
      </c>
      <c r="S1100" s="2" t="str">
        <f>IFERROR(__xludf.DUMMYFUNCTION("""COMPUTED_VALUE"""),"Digizag")</f>
        <v>Digizag</v>
      </c>
      <c r="T1100" s="2" t="str">
        <f>IFERROR(__xludf.DUMMYFUNCTION("""COMPUTED_VALUE"""),"Digizag")</f>
        <v>Digizag</v>
      </c>
      <c r="U1100" s="5">
        <f>IFERROR(__xludf.DUMMYFUNCTION("""COMPUTED_VALUE"""),18.66522322)</f>
        <v>18.66522322</v>
      </c>
      <c r="V1100" s="2"/>
      <c r="W1100" s="2"/>
      <c r="X1100" s="2"/>
      <c r="Y1100" s="2"/>
      <c r="Z1100" s="2"/>
    </row>
    <row r="1101">
      <c r="A1101" s="6">
        <f>IFERROR(__xludf.DUMMYFUNCTION("""COMPUTED_VALUE"""),45913.4462037037)</f>
        <v>45913.4462</v>
      </c>
      <c r="B1101" s="2" t="str">
        <f>IFERROR(__xludf.DUMMYFUNCTION("""COMPUTED_VALUE"""),"September")</f>
        <v>September</v>
      </c>
      <c r="C1101" s="3">
        <f>IFERROR(__xludf.DUMMYFUNCTION("""COMPUTED_VALUE"""),787468.0)</f>
        <v>787468</v>
      </c>
      <c r="D1101" s="2" t="str">
        <f>IFERROR(__xludf.DUMMYFUNCTION("""COMPUTED_VALUE"""),"JM")</f>
        <v>JM</v>
      </c>
      <c r="E1101" s="2" t="str">
        <f>IFERROR(__xludf.DUMMYFUNCTION("""COMPUTED_VALUE"""),"DigiZag")</f>
        <v>DigiZag</v>
      </c>
      <c r="F1101" s="2" t="str">
        <f>IFERROR(__xludf.DUMMYFUNCTION("""COMPUTED_VALUE"""),"QRT596134")</f>
        <v>QRT596134</v>
      </c>
      <c r="G1101" s="2" t="str">
        <f>IFERROR(__xludf.DUMMYFUNCTION("""COMPUTED_VALUE"""),"UAE")</f>
        <v>UAE</v>
      </c>
      <c r="H1101" s="4">
        <f>IFERROR(__xludf.DUMMYFUNCTION("""COMPUTED_VALUE"""),283.0)</f>
        <v>283</v>
      </c>
      <c r="I1101" s="3">
        <f>IFERROR(__xludf.DUMMYFUNCTION("""COMPUTED_VALUE"""),0.0)</f>
        <v>0</v>
      </c>
      <c r="J1101" s="4">
        <f>IFERROR(__xludf.DUMMYFUNCTION("""COMPUTED_VALUE"""),28.3)</f>
        <v>28.3</v>
      </c>
      <c r="K1101" s="2"/>
      <c r="L1101" s="2" t="str">
        <f>IFERROR(__xludf.DUMMYFUNCTION("""COMPUTED_VALUE"""),"Delivered")</f>
        <v>Delivered</v>
      </c>
      <c r="M1101" s="2" t="str">
        <f>IFERROR(__xludf.DUMMYFUNCTION("""COMPUTED_VALUE"""),"")</f>
        <v></v>
      </c>
      <c r="N1101" s="2" t="str">
        <f>IFERROR(__xludf.DUMMYFUNCTION("""COMPUTED_VALUE"""),"Credit, Debit , Apple Pay")</f>
        <v>Credit, Debit , Apple Pay</v>
      </c>
      <c r="O1101" s="4">
        <f>IFERROR(__xludf.DUMMYFUNCTION("""COMPUTED_VALUE"""),0.0)</f>
        <v>0</v>
      </c>
      <c r="P1101" s="2">
        <f>IFERROR(__xludf.DUMMYFUNCTION("""COMPUTED_VALUE"""),13.0)</f>
        <v>13</v>
      </c>
      <c r="Q1101" s="2">
        <f>IFERROR(__xludf.DUMMYFUNCTION("""COMPUTED_VALUE"""),9.0)</f>
        <v>9</v>
      </c>
      <c r="R1101" s="2">
        <f>IFERROR(__xludf.DUMMYFUNCTION("""COMPUTED_VALUE"""),2025.0)</f>
        <v>2025</v>
      </c>
      <c r="S1101" s="2" t="str">
        <f>IFERROR(__xludf.DUMMYFUNCTION("""COMPUTED_VALUE"""),"Digizag")</f>
        <v>Digizag</v>
      </c>
      <c r="T1101" s="2" t="str">
        <f>IFERROR(__xludf.DUMMYFUNCTION("""COMPUTED_VALUE"""),"Digizag")</f>
        <v>Digizag</v>
      </c>
      <c r="U1101" s="5">
        <f>IFERROR(__xludf.DUMMYFUNCTION("""COMPUTED_VALUE"""),77.059224074)</f>
        <v>77.05922407</v>
      </c>
      <c r="V1101" s="2"/>
      <c r="W1101" s="2"/>
      <c r="X1101" s="2"/>
      <c r="Y1101" s="2"/>
      <c r="Z1101" s="2"/>
    </row>
    <row r="1102">
      <c r="A1102" s="6">
        <f>IFERROR(__xludf.DUMMYFUNCTION("""COMPUTED_VALUE"""),45913.47703703703)</f>
        <v>45913.47704</v>
      </c>
      <c r="B1102" s="2" t="str">
        <f>IFERROR(__xludf.DUMMYFUNCTION("""COMPUTED_VALUE"""),"September")</f>
        <v>September</v>
      </c>
      <c r="C1102" s="3">
        <f>IFERROR(__xludf.DUMMYFUNCTION("""COMPUTED_VALUE"""),243597.0)</f>
        <v>243597</v>
      </c>
      <c r="D1102" s="2" t="str">
        <f>IFERROR(__xludf.DUMMYFUNCTION("""COMPUTED_VALUE"""),"ZM22")</f>
        <v>ZM22</v>
      </c>
      <c r="E1102" s="2" t="str">
        <f>IFERROR(__xludf.DUMMYFUNCTION("""COMPUTED_VALUE"""),"Imported from file Digizag.xlsx")</f>
        <v>Imported from file Digizag.xlsx</v>
      </c>
      <c r="F1102" s="2" t="str">
        <f>IFERROR(__xludf.DUMMYFUNCTION("""COMPUTED_VALUE"""),"CKM209878")</f>
        <v>CKM209878</v>
      </c>
      <c r="G1102" s="2" t="str">
        <f>IFERROR(__xludf.DUMMYFUNCTION("""COMPUTED_VALUE"""),"Kingdom of Saudi Arabia")</f>
        <v>Kingdom of Saudi Arabia</v>
      </c>
      <c r="H1102" s="4">
        <f>IFERROR(__xludf.DUMMYFUNCTION("""COMPUTED_VALUE"""),129.0)</f>
        <v>129</v>
      </c>
      <c r="I1102" s="3">
        <f>IFERROR(__xludf.DUMMYFUNCTION("""COMPUTED_VALUE"""),0.0)</f>
        <v>0</v>
      </c>
      <c r="J1102" s="4">
        <f>IFERROR(__xludf.DUMMYFUNCTION("""COMPUTED_VALUE"""),30.0)</f>
        <v>30</v>
      </c>
      <c r="K1102" s="2"/>
      <c r="L1102" s="2" t="str">
        <f>IFERROR(__xludf.DUMMYFUNCTION("""COMPUTED_VALUE"""),"Delivered")</f>
        <v>Delivered</v>
      </c>
      <c r="M1102" s="2" t="str">
        <f>IFERROR(__xludf.DUMMYFUNCTION("""COMPUTED_VALUE"""),"")</f>
        <v></v>
      </c>
      <c r="N1102" s="2" t="str">
        <f>IFERROR(__xludf.DUMMYFUNCTION("""COMPUTED_VALUE"""),"Credit, Debit, Apple Pay")</f>
        <v>Credit, Debit, Apple Pay</v>
      </c>
      <c r="O1102" s="4">
        <f>IFERROR(__xludf.DUMMYFUNCTION("""COMPUTED_VALUE"""),0.0)</f>
        <v>0</v>
      </c>
      <c r="P1102" s="2">
        <f>IFERROR(__xludf.DUMMYFUNCTION("""COMPUTED_VALUE"""),13.0)</f>
        <v>13</v>
      </c>
      <c r="Q1102" s="2">
        <f>IFERROR(__xludf.DUMMYFUNCTION("""COMPUTED_VALUE"""),9.0)</f>
        <v>9</v>
      </c>
      <c r="R1102" s="2">
        <f>IFERROR(__xludf.DUMMYFUNCTION("""COMPUTED_VALUE"""),2025.0)</f>
        <v>2025</v>
      </c>
      <c r="S1102" s="2" t="str">
        <f>IFERROR(__xludf.DUMMYFUNCTION("""COMPUTED_VALUE"""),"Digizag")</f>
        <v>Digizag</v>
      </c>
      <c r="T1102" s="2" t="str">
        <f>IFERROR(__xludf.DUMMYFUNCTION("""COMPUTED_VALUE"""),"Digizag")</f>
        <v>Digizag</v>
      </c>
      <c r="U1102" s="5">
        <f>IFERROR(__xludf.DUMMYFUNCTION("""COMPUTED_VALUE"""),34.397339934)</f>
        <v>34.39733993</v>
      </c>
      <c r="V1102" s="2"/>
      <c r="W1102" s="2"/>
      <c r="X1102" s="2"/>
      <c r="Y1102" s="2"/>
      <c r="Z1102" s="2"/>
    </row>
    <row r="1103">
      <c r="A1103" s="6">
        <f>IFERROR(__xludf.DUMMYFUNCTION("""COMPUTED_VALUE"""),45913.48247685185)</f>
        <v>45913.48248</v>
      </c>
      <c r="B1103" s="2" t="str">
        <f>IFERROR(__xludf.DUMMYFUNCTION("""COMPUTED_VALUE"""),"September")</f>
        <v>September</v>
      </c>
      <c r="C1103" s="3">
        <f>IFERROR(__xludf.DUMMYFUNCTION("""COMPUTED_VALUE"""),800412.0)</f>
        <v>800412</v>
      </c>
      <c r="D1103" s="2" t="str">
        <f>IFERROR(__xludf.DUMMYFUNCTION("""COMPUTED_VALUE"""),"MNN37")</f>
        <v>MNN37</v>
      </c>
      <c r="E1103" s="2" t="str">
        <f>IFERROR(__xludf.DUMMYFUNCTION("""COMPUTED_VALUE"""),"Imported from file DigiZag Bidding Codes.xlsx")</f>
        <v>Imported from file DigiZag Bidding Codes.xlsx</v>
      </c>
      <c r="F1103" s="2" t="str">
        <f>IFERROR(__xludf.DUMMYFUNCTION("""COMPUTED_VALUE"""),"JPU324617")</f>
        <v>JPU324617</v>
      </c>
      <c r="G1103" s="2" t="str">
        <f>IFERROR(__xludf.DUMMYFUNCTION("""COMPUTED_VALUE"""),"Kingdom of Saudi Arabia")</f>
        <v>Kingdom of Saudi Arabia</v>
      </c>
      <c r="H1103" s="4">
        <f>IFERROR(__xludf.DUMMYFUNCTION("""COMPUTED_VALUE"""),98.6)</f>
        <v>98.6</v>
      </c>
      <c r="I1103" s="3">
        <f>IFERROR(__xludf.DUMMYFUNCTION("""COMPUTED_VALUE"""),0.0)</f>
        <v>0</v>
      </c>
      <c r="J1103" s="4">
        <f>IFERROR(__xludf.DUMMYFUNCTION("""COMPUTED_VALUE"""),24.64)</f>
        <v>24.64</v>
      </c>
      <c r="K1103" s="2"/>
      <c r="L1103" s="2" t="str">
        <f>IFERROR(__xludf.DUMMYFUNCTION("""COMPUTED_VALUE"""),"Delivered")</f>
        <v>Delivered</v>
      </c>
      <c r="M1103" s="2" t="str">
        <f>IFERROR(__xludf.DUMMYFUNCTION("""COMPUTED_VALUE"""),"")</f>
        <v></v>
      </c>
      <c r="N1103" s="2" t="str">
        <f>IFERROR(__xludf.DUMMYFUNCTION("""COMPUTED_VALUE"""),"Credit, Debit, Apple Pay")</f>
        <v>Credit, Debit, Apple Pay</v>
      </c>
      <c r="O1103" s="4">
        <f>IFERROR(__xludf.DUMMYFUNCTION("""COMPUTED_VALUE"""),0.0)</f>
        <v>0</v>
      </c>
      <c r="P1103" s="2">
        <f>IFERROR(__xludf.DUMMYFUNCTION("""COMPUTED_VALUE"""),13.0)</f>
        <v>13</v>
      </c>
      <c r="Q1103" s="2">
        <f>IFERROR(__xludf.DUMMYFUNCTION("""COMPUTED_VALUE"""),9.0)</f>
        <v>9</v>
      </c>
      <c r="R1103" s="2">
        <f>IFERROR(__xludf.DUMMYFUNCTION("""COMPUTED_VALUE"""),2025.0)</f>
        <v>2025</v>
      </c>
      <c r="S1103" s="2" t="str">
        <f>IFERROR(__xludf.DUMMYFUNCTION("""COMPUTED_VALUE"""),"Digizag")</f>
        <v>Digizag</v>
      </c>
      <c r="T1103" s="2" t="str">
        <f>IFERROR(__xludf.DUMMYFUNCTION("""COMPUTED_VALUE"""),"Digizag")</f>
        <v>Digizag</v>
      </c>
      <c r="U1103" s="5">
        <f>IFERROR(__xludf.DUMMYFUNCTION("""COMPUTED_VALUE"""),26.2913001356)</f>
        <v>26.29130014</v>
      </c>
      <c r="V1103" s="2"/>
      <c r="W1103" s="2"/>
      <c r="X1103" s="2"/>
      <c r="Y1103" s="2"/>
      <c r="Z1103" s="2"/>
    </row>
    <row r="1104">
      <c r="A1104" s="6">
        <f>IFERROR(__xludf.DUMMYFUNCTION("""COMPUTED_VALUE"""),45913.500127314815)</f>
        <v>45913.50013</v>
      </c>
      <c r="B1104" s="2" t="str">
        <f>IFERROR(__xludf.DUMMYFUNCTION("""COMPUTED_VALUE"""),"September")</f>
        <v>September</v>
      </c>
      <c r="C1104" s="3">
        <f>IFERROR(__xludf.DUMMYFUNCTION("""COMPUTED_VALUE"""),554812.0)</f>
        <v>554812</v>
      </c>
      <c r="D1104" s="2" t="str">
        <f>IFERROR(__xludf.DUMMYFUNCTION("""COMPUTED_VALUE"""),"DB6")</f>
        <v>DB6</v>
      </c>
      <c r="E1104" s="2" t="str">
        <f>IFERROR(__xludf.DUMMYFUNCTION("""COMPUTED_VALUE"""),"Digizag")</f>
        <v>Digizag</v>
      </c>
      <c r="F1104" s="2" t="str">
        <f>IFERROR(__xludf.DUMMYFUNCTION("""COMPUTED_VALUE"""),"KLZ785611")</f>
        <v>KLZ785611</v>
      </c>
      <c r="G1104" s="2" t="str">
        <f>IFERROR(__xludf.DUMMYFUNCTION("""COMPUTED_VALUE"""),"UAE")</f>
        <v>UAE</v>
      </c>
      <c r="H1104" s="4">
        <f>IFERROR(__xludf.DUMMYFUNCTION("""COMPUTED_VALUE"""),178.0)</f>
        <v>178</v>
      </c>
      <c r="I1104" s="3">
        <f>IFERROR(__xludf.DUMMYFUNCTION("""COMPUTED_VALUE"""),0.0)</f>
        <v>0</v>
      </c>
      <c r="J1104" s="4">
        <f>IFERROR(__xludf.DUMMYFUNCTION("""COMPUTED_VALUE"""),17.8)</f>
        <v>17.8</v>
      </c>
      <c r="K1104" s="2"/>
      <c r="L1104" s="2" t="str">
        <f>IFERROR(__xludf.DUMMYFUNCTION("""COMPUTED_VALUE"""),"Delivered")</f>
        <v>Delivered</v>
      </c>
      <c r="M1104" s="2" t="str">
        <f>IFERROR(__xludf.DUMMYFUNCTION("""COMPUTED_VALUE"""),"")</f>
        <v></v>
      </c>
      <c r="N1104" s="2" t="str">
        <f>IFERROR(__xludf.DUMMYFUNCTION("""COMPUTED_VALUE"""),"Credit, Debit , Apple Pay")</f>
        <v>Credit, Debit , Apple Pay</v>
      </c>
      <c r="O1104" s="4">
        <f>IFERROR(__xludf.DUMMYFUNCTION("""COMPUTED_VALUE"""),0.0)</f>
        <v>0</v>
      </c>
      <c r="P1104" s="2">
        <f>IFERROR(__xludf.DUMMYFUNCTION("""COMPUTED_VALUE"""),13.0)</f>
        <v>13</v>
      </c>
      <c r="Q1104" s="2">
        <f>IFERROR(__xludf.DUMMYFUNCTION("""COMPUTED_VALUE"""),9.0)</f>
        <v>9</v>
      </c>
      <c r="R1104" s="2">
        <f>IFERROR(__xludf.DUMMYFUNCTION("""COMPUTED_VALUE"""),2025.0)</f>
        <v>2025</v>
      </c>
      <c r="S1104" s="2" t="str">
        <f>IFERROR(__xludf.DUMMYFUNCTION("""COMPUTED_VALUE"""),"Digizag")</f>
        <v>Digizag</v>
      </c>
      <c r="T1104" s="2" t="str">
        <f>IFERROR(__xludf.DUMMYFUNCTION("""COMPUTED_VALUE"""),"Digizag")</f>
        <v>Digizag</v>
      </c>
      <c r="U1104" s="5">
        <f>IFERROR(__xludf.DUMMYFUNCTION("""COMPUTED_VALUE"""),48.468345884)</f>
        <v>48.46834588</v>
      </c>
      <c r="V1104" s="2"/>
      <c r="W1104" s="2"/>
      <c r="X1104" s="2"/>
      <c r="Y1104" s="2"/>
      <c r="Z1104" s="2"/>
    </row>
    <row r="1105">
      <c r="A1105" s="6">
        <f>IFERROR(__xludf.DUMMYFUNCTION("""COMPUTED_VALUE"""),45913.60228009259)</f>
        <v>45913.60228</v>
      </c>
      <c r="B1105" s="2" t="str">
        <f>IFERROR(__xludf.DUMMYFUNCTION("""COMPUTED_VALUE"""),"September")</f>
        <v>September</v>
      </c>
      <c r="C1105" s="3">
        <f>IFERROR(__xludf.DUMMYFUNCTION("""COMPUTED_VALUE"""),323247.0)</f>
        <v>323247</v>
      </c>
      <c r="D1105" s="2" t="str">
        <f>IFERROR(__xludf.DUMMYFUNCTION("""COMPUTED_VALUE"""),"DB7")</f>
        <v>DB7</v>
      </c>
      <c r="E1105" s="2" t="str">
        <f>IFERROR(__xludf.DUMMYFUNCTION("""COMPUTED_VALUE"""),"Digizag")</f>
        <v>Digizag</v>
      </c>
      <c r="F1105" s="2" t="str">
        <f>IFERROR(__xludf.DUMMYFUNCTION("""COMPUTED_VALUE"""),"RWG269371")</f>
        <v>RWG269371</v>
      </c>
      <c r="G1105" s="2" t="str">
        <f>IFERROR(__xludf.DUMMYFUNCTION("""COMPUTED_VALUE"""),"Kingdom of Saudi Arabia")</f>
        <v>Kingdom of Saudi Arabia</v>
      </c>
      <c r="H1105" s="4">
        <f>IFERROR(__xludf.DUMMYFUNCTION("""COMPUTED_VALUE"""),185.7)</f>
        <v>185.7</v>
      </c>
      <c r="I1105" s="3">
        <f>IFERROR(__xludf.DUMMYFUNCTION("""COMPUTED_VALUE"""),0.0)</f>
        <v>0</v>
      </c>
      <c r="J1105" s="4">
        <f>IFERROR(__xludf.DUMMYFUNCTION("""COMPUTED_VALUE"""),30.0)</f>
        <v>30</v>
      </c>
      <c r="K1105" s="2"/>
      <c r="L1105" s="2" t="str">
        <f>IFERROR(__xludf.DUMMYFUNCTION("""COMPUTED_VALUE"""),"Delivered")</f>
        <v>Delivered</v>
      </c>
      <c r="M1105" s="2" t="str">
        <f>IFERROR(__xludf.DUMMYFUNCTION("""COMPUTED_VALUE"""),"")</f>
        <v></v>
      </c>
      <c r="N1105" s="2" t="str">
        <f>IFERROR(__xludf.DUMMYFUNCTION("""COMPUTED_VALUE"""),"Credit, Debit, Apple Pay")</f>
        <v>Credit, Debit, Apple Pay</v>
      </c>
      <c r="O1105" s="4">
        <f>IFERROR(__xludf.DUMMYFUNCTION("""COMPUTED_VALUE"""),0.0)</f>
        <v>0</v>
      </c>
      <c r="P1105" s="2">
        <f>IFERROR(__xludf.DUMMYFUNCTION("""COMPUTED_VALUE"""),13.0)</f>
        <v>13</v>
      </c>
      <c r="Q1105" s="2">
        <f>IFERROR(__xludf.DUMMYFUNCTION("""COMPUTED_VALUE"""),9.0)</f>
        <v>9</v>
      </c>
      <c r="R1105" s="2">
        <f>IFERROR(__xludf.DUMMYFUNCTION("""COMPUTED_VALUE"""),2025.0)</f>
        <v>2025</v>
      </c>
      <c r="S1105" s="2" t="str">
        <f>IFERROR(__xludf.DUMMYFUNCTION("""COMPUTED_VALUE"""),"Digizag")</f>
        <v>Digizag</v>
      </c>
      <c r="T1105" s="2" t="str">
        <f>IFERROR(__xludf.DUMMYFUNCTION("""COMPUTED_VALUE"""),"Digizag")</f>
        <v>Digizag</v>
      </c>
      <c r="U1105" s="5">
        <f>IFERROR(__xludf.DUMMYFUNCTION("""COMPUTED_VALUE"""),49.5161707422)</f>
        <v>49.51617074</v>
      </c>
      <c r="V1105" s="2"/>
      <c r="W1105" s="2"/>
      <c r="X1105" s="2"/>
      <c r="Y1105" s="2"/>
      <c r="Z1105" s="2"/>
    </row>
    <row r="1106">
      <c r="A1106" s="6">
        <f>IFERROR(__xludf.DUMMYFUNCTION("""COMPUTED_VALUE"""),45913.65383101851)</f>
        <v>45913.65383</v>
      </c>
      <c r="B1106" s="2" t="str">
        <f>IFERROR(__xludf.DUMMYFUNCTION("""COMPUTED_VALUE"""),"September")</f>
        <v>September</v>
      </c>
      <c r="C1106" s="3">
        <f>IFERROR(__xludf.DUMMYFUNCTION("""COMPUTED_VALUE"""),800547.0)</f>
        <v>800547</v>
      </c>
      <c r="D1106" s="2" t="str">
        <f>IFERROR(__xludf.DUMMYFUNCTION("""COMPUTED_VALUE"""),"ZM22")</f>
        <v>ZM22</v>
      </c>
      <c r="E1106" s="2" t="str">
        <f>IFERROR(__xludf.DUMMYFUNCTION("""COMPUTED_VALUE"""),"Imported from file Digizag.xlsx")</f>
        <v>Imported from file Digizag.xlsx</v>
      </c>
      <c r="F1106" s="2" t="str">
        <f>IFERROR(__xludf.DUMMYFUNCTION("""COMPUTED_VALUE"""),"EYC442135")</f>
        <v>EYC442135</v>
      </c>
      <c r="G1106" s="2" t="str">
        <f>IFERROR(__xludf.DUMMYFUNCTION("""COMPUTED_VALUE"""),"UAE")</f>
        <v>UAE</v>
      </c>
      <c r="H1106" s="4">
        <f>IFERROR(__xludf.DUMMYFUNCTION("""COMPUTED_VALUE"""),220.0)</f>
        <v>220</v>
      </c>
      <c r="I1106" s="3">
        <f>IFERROR(__xludf.DUMMYFUNCTION("""COMPUTED_VALUE"""),0.0)</f>
        <v>0</v>
      </c>
      <c r="J1106" s="4">
        <f>IFERROR(__xludf.DUMMYFUNCTION("""COMPUTED_VALUE"""),22.0)</f>
        <v>22</v>
      </c>
      <c r="K1106" s="2"/>
      <c r="L1106" s="2" t="str">
        <f>IFERROR(__xludf.DUMMYFUNCTION("""COMPUTED_VALUE"""),"Delivered")</f>
        <v>Delivered</v>
      </c>
      <c r="M1106" s="2" t="str">
        <f>IFERROR(__xludf.DUMMYFUNCTION("""COMPUTED_VALUE"""),"")</f>
        <v></v>
      </c>
      <c r="N1106" s="2" t="str">
        <f>IFERROR(__xludf.DUMMYFUNCTION("""COMPUTED_VALUE"""),"Credit, Debit , Apple Pay")</f>
        <v>Credit, Debit , Apple Pay</v>
      </c>
      <c r="O1106" s="4">
        <f>IFERROR(__xludf.DUMMYFUNCTION("""COMPUTED_VALUE"""),0.0)</f>
        <v>0</v>
      </c>
      <c r="P1106" s="2">
        <f>IFERROR(__xludf.DUMMYFUNCTION("""COMPUTED_VALUE"""),13.0)</f>
        <v>13</v>
      </c>
      <c r="Q1106" s="2">
        <f>IFERROR(__xludf.DUMMYFUNCTION("""COMPUTED_VALUE"""),9.0)</f>
        <v>9</v>
      </c>
      <c r="R1106" s="2">
        <f>IFERROR(__xludf.DUMMYFUNCTION("""COMPUTED_VALUE"""),2025.0)</f>
        <v>2025</v>
      </c>
      <c r="S1106" s="2" t="str">
        <f>IFERROR(__xludf.DUMMYFUNCTION("""COMPUTED_VALUE"""),"Digizag")</f>
        <v>Digizag</v>
      </c>
      <c r="T1106" s="2" t="str">
        <f>IFERROR(__xludf.DUMMYFUNCTION("""COMPUTED_VALUE"""),"Digizag")</f>
        <v>Digizag</v>
      </c>
      <c r="U1106" s="5">
        <f>IFERROR(__xludf.DUMMYFUNCTION("""COMPUTED_VALUE"""),59.90469716)</f>
        <v>59.90469716</v>
      </c>
      <c r="V1106" s="2"/>
      <c r="W1106" s="2"/>
      <c r="X1106" s="2"/>
      <c r="Y1106" s="2"/>
      <c r="Z1106" s="2"/>
    </row>
    <row r="1107">
      <c r="A1107" s="6">
        <f>IFERROR(__xludf.DUMMYFUNCTION("""COMPUTED_VALUE"""),45913.868622685186)</f>
        <v>45913.86862</v>
      </c>
      <c r="B1107" s="2" t="str">
        <f>IFERROR(__xludf.DUMMYFUNCTION("""COMPUTED_VALUE"""),"September")</f>
        <v>September</v>
      </c>
      <c r="C1107" s="3">
        <f>IFERROR(__xludf.DUMMYFUNCTION("""COMPUTED_VALUE"""),138917.0)</f>
        <v>138917</v>
      </c>
      <c r="D1107" s="2" t="str">
        <f>IFERROR(__xludf.DUMMYFUNCTION("""COMPUTED_VALUE"""),"WFR")</f>
        <v>WFR</v>
      </c>
      <c r="E1107" s="2" t="str">
        <f>IFERROR(__xludf.DUMMYFUNCTION("""COMPUTED_VALUE"""),"Imported from file Digizag.xlsx")</f>
        <v>Imported from file Digizag.xlsx</v>
      </c>
      <c r="F1107" s="2" t="str">
        <f>IFERROR(__xludf.DUMMYFUNCTION("""COMPUTED_VALUE"""),"XRP571077")</f>
        <v>XRP571077</v>
      </c>
      <c r="G1107" s="2" t="str">
        <f>IFERROR(__xludf.DUMMYFUNCTION("""COMPUTED_VALUE"""),"Kuwait")</f>
        <v>Kuwait</v>
      </c>
      <c r="H1107" s="4">
        <f>IFERROR(__xludf.DUMMYFUNCTION("""COMPUTED_VALUE"""),8.45)</f>
        <v>8.45</v>
      </c>
      <c r="I1107" s="3">
        <f>IFERROR(__xludf.DUMMYFUNCTION("""COMPUTED_VALUE"""),0.0)</f>
        <v>0</v>
      </c>
      <c r="J1107" s="4">
        <f>IFERROR(__xludf.DUMMYFUNCTION("""COMPUTED_VALUE"""),0.845)</f>
        <v>0.845</v>
      </c>
      <c r="K1107" s="2"/>
      <c r="L1107" s="2" t="str">
        <f>IFERROR(__xludf.DUMMYFUNCTION("""COMPUTED_VALUE"""),"Delivered")</f>
        <v>Delivered</v>
      </c>
      <c r="M1107" s="2" t="str">
        <f>IFERROR(__xludf.DUMMYFUNCTION("""COMPUTED_VALUE"""),"KD")</f>
        <v>KD</v>
      </c>
      <c r="N1107" s="2" t="str">
        <f>IFERROR(__xludf.DUMMYFUNCTION("""COMPUTED_VALUE"""),"Credit, Debit, Knet")</f>
        <v>Credit, Debit, Knet</v>
      </c>
      <c r="O1107" s="4">
        <f>IFERROR(__xludf.DUMMYFUNCTION("""COMPUTED_VALUE"""),0.0)</f>
        <v>0</v>
      </c>
      <c r="P1107" s="2">
        <f>IFERROR(__xludf.DUMMYFUNCTION("""COMPUTED_VALUE"""),13.0)</f>
        <v>13</v>
      </c>
      <c r="Q1107" s="2">
        <f>IFERROR(__xludf.DUMMYFUNCTION("""COMPUTED_VALUE"""),9.0)</f>
        <v>9</v>
      </c>
      <c r="R1107" s="2">
        <f>IFERROR(__xludf.DUMMYFUNCTION("""COMPUTED_VALUE"""),2025.0)</f>
        <v>2025</v>
      </c>
      <c r="S1107" s="2" t="str">
        <f>IFERROR(__xludf.DUMMYFUNCTION("""COMPUTED_VALUE"""),"Digizag")</f>
        <v>Digizag</v>
      </c>
      <c r="T1107" s="2" t="str">
        <f>IFERROR(__xludf.DUMMYFUNCTION("""COMPUTED_VALUE"""),"Digizag")</f>
        <v>Digizag</v>
      </c>
      <c r="U1107" s="5">
        <f>IFERROR(__xludf.DUMMYFUNCTION("""COMPUTED_VALUE"""),27.552238999999997)</f>
        <v>27.552239</v>
      </c>
      <c r="V1107" s="2"/>
      <c r="W1107" s="2"/>
      <c r="X1107" s="2"/>
      <c r="Y1107" s="2"/>
      <c r="Z1107" s="2"/>
    </row>
    <row r="1108">
      <c r="A1108" s="6">
        <f>IFERROR(__xludf.DUMMYFUNCTION("""COMPUTED_VALUE"""),45914.349328703705)</f>
        <v>45914.34933</v>
      </c>
      <c r="B1108" s="2" t="str">
        <f>IFERROR(__xludf.DUMMYFUNCTION("""COMPUTED_VALUE"""),"September")</f>
        <v>September</v>
      </c>
      <c r="C1108" s="3">
        <f>IFERROR(__xludf.DUMMYFUNCTION("""COMPUTED_VALUE"""),159023.0)</f>
        <v>159023</v>
      </c>
      <c r="D1108" s="2" t="str">
        <f>IFERROR(__xludf.DUMMYFUNCTION("""COMPUTED_VALUE"""),"ZM22")</f>
        <v>ZM22</v>
      </c>
      <c r="E1108" s="2" t="str">
        <f>IFERROR(__xludf.DUMMYFUNCTION("""COMPUTED_VALUE"""),"Imported from file Digizag.xlsx")</f>
        <v>Imported from file Digizag.xlsx</v>
      </c>
      <c r="F1108" s="2" t="str">
        <f>IFERROR(__xludf.DUMMYFUNCTION("""COMPUTED_VALUE"""),"PRC219240")</f>
        <v>PRC219240</v>
      </c>
      <c r="G1108" s="2" t="str">
        <f>IFERROR(__xludf.DUMMYFUNCTION("""COMPUTED_VALUE"""),"Kuwait")</f>
        <v>Kuwait</v>
      </c>
      <c r="H1108" s="4">
        <f>IFERROR(__xludf.DUMMYFUNCTION("""COMPUTED_VALUE"""),22.25)</f>
        <v>22.25</v>
      </c>
      <c r="I1108" s="3">
        <f>IFERROR(__xludf.DUMMYFUNCTION("""COMPUTED_VALUE"""),0.0)</f>
        <v>0</v>
      </c>
      <c r="J1108" s="4">
        <f>IFERROR(__xludf.DUMMYFUNCTION("""COMPUTED_VALUE"""),2.225)</f>
        <v>2.225</v>
      </c>
      <c r="K1108" s="2"/>
      <c r="L1108" s="2" t="str">
        <f>IFERROR(__xludf.DUMMYFUNCTION("""COMPUTED_VALUE"""),"Delivered")</f>
        <v>Delivered</v>
      </c>
      <c r="M1108" s="2" t="str">
        <f>IFERROR(__xludf.DUMMYFUNCTION("""COMPUTED_VALUE"""),"KD")</f>
        <v>KD</v>
      </c>
      <c r="N1108" s="2" t="str">
        <f>IFERROR(__xludf.DUMMYFUNCTION("""COMPUTED_VALUE"""),"Credit, Debit, Knet")</f>
        <v>Credit, Debit, Knet</v>
      </c>
      <c r="O1108" s="4">
        <f>IFERROR(__xludf.DUMMYFUNCTION("""COMPUTED_VALUE"""),0.0)</f>
        <v>0</v>
      </c>
      <c r="P1108" s="2">
        <f>IFERROR(__xludf.DUMMYFUNCTION("""COMPUTED_VALUE"""),14.0)</f>
        <v>14</v>
      </c>
      <c r="Q1108" s="2">
        <f>IFERROR(__xludf.DUMMYFUNCTION("""COMPUTED_VALUE"""),9.0)</f>
        <v>9</v>
      </c>
      <c r="R1108" s="2">
        <f>IFERROR(__xludf.DUMMYFUNCTION("""COMPUTED_VALUE"""),2025.0)</f>
        <v>2025</v>
      </c>
      <c r="S1108" s="2" t="str">
        <f>IFERROR(__xludf.DUMMYFUNCTION("""COMPUTED_VALUE"""),"Digizag")</f>
        <v>Digizag</v>
      </c>
      <c r="T1108" s="2" t="str">
        <f>IFERROR(__xludf.DUMMYFUNCTION("""COMPUTED_VALUE"""),"Digizag")</f>
        <v>Digizag</v>
      </c>
      <c r="U1108" s="5">
        <f>IFERROR(__xludf.DUMMYFUNCTION("""COMPUTED_VALUE"""),72.548795)</f>
        <v>72.548795</v>
      </c>
      <c r="V1108" s="2"/>
      <c r="W1108" s="2"/>
      <c r="X1108" s="2"/>
      <c r="Y1108" s="2"/>
      <c r="Z1108" s="2"/>
    </row>
    <row r="1109">
      <c r="A1109" s="6">
        <f>IFERROR(__xludf.DUMMYFUNCTION("""COMPUTED_VALUE"""),45914.502071759256)</f>
        <v>45914.50207</v>
      </c>
      <c r="B1109" s="2" t="str">
        <f>IFERROR(__xludf.DUMMYFUNCTION("""COMPUTED_VALUE"""),"September")</f>
        <v>September</v>
      </c>
      <c r="C1109" s="3">
        <f>IFERROR(__xludf.DUMMYFUNCTION("""COMPUTED_VALUE"""),800412.0)</f>
        <v>800412</v>
      </c>
      <c r="D1109" s="2" t="str">
        <f>IFERROR(__xludf.DUMMYFUNCTION("""COMPUTED_VALUE"""),"MNN37")</f>
        <v>MNN37</v>
      </c>
      <c r="E1109" s="2" t="str">
        <f>IFERROR(__xludf.DUMMYFUNCTION("""COMPUTED_VALUE"""),"Imported from file DigiZag Bidding Codes.xlsx")</f>
        <v>Imported from file DigiZag Bidding Codes.xlsx</v>
      </c>
      <c r="F1109" s="2" t="str">
        <f>IFERROR(__xludf.DUMMYFUNCTION("""COMPUTED_VALUE"""),"MKB385080")</f>
        <v>MKB385080</v>
      </c>
      <c r="G1109" s="2" t="str">
        <f>IFERROR(__xludf.DUMMYFUNCTION("""COMPUTED_VALUE"""),"Kingdom of Saudi Arabia")</f>
        <v>Kingdom of Saudi Arabia</v>
      </c>
      <c r="H1109" s="4">
        <f>IFERROR(__xludf.DUMMYFUNCTION("""COMPUTED_VALUE"""),16.82)</f>
        <v>16.82</v>
      </c>
      <c r="I1109" s="3">
        <f>IFERROR(__xludf.DUMMYFUNCTION("""COMPUTED_VALUE"""),0.0)</f>
        <v>0</v>
      </c>
      <c r="J1109" s="4">
        <f>IFERROR(__xludf.DUMMYFUNCTION("""COMPUTED_VALUE"""),4.2)</f>
        <v>4.2</v>
      </c>
      <c r="K1109" s="2"/>
      <c r="L1109" s="2" t="str">
        <f>IFERROR(__xludf.DUMMYFUNCTION("""COMPUTED_VALUE"""),"Delivered")</f>
        <v>Delivered</v>
      </c>
      <c r="M1109" s="2" t="str">
        <f>IFERROR(__xludf.DUMMYFUNCTION("""COMPUTED_VALUE"""),"")</f>
        <v></v>
      </c>
      <c r="N1109" s="2" t="str">
        <f>IFERROR(__xludf.DUMMYFUNCTION("""COMPUTED_VALUE"""),"Credit, Debit, Apple Pay")</f>
        <v>Credit, Debit, Apple Pay</v>
      </c>
      <c r="O1109" s="4">
        <f>IFERROR(__xludf.DUMMYFUNCTION("""COMPUTED_VALUE"""),0.0)</f>
        <v>0</v>
      </c>
      <c r="P1109" s="2">
        <f>IFERROR(__xludf.DUMMYFUNCTION("""COMPUTED_VALUE"""),14.0)</f>
        <v>14</v>
      </c>
      <c r="Q1109" s="2">
        <f>IFERROR(__xludf.DUMMYFUNCTION("""COMPUTED_VALUE"""),9.0)</f>
        <v>9</v>
      </c>
      <c r="R1109" s="2">
        <f>IFERROR(__xludf.DUMMYFUNCTION("""COMPUTED_VALUE"""),2025.0)</f>
        <v>2025</v>
      </c>
      <c r="S1109" s="2" t="str">
        <f>IFERROR(__xludf.DUMMYFUNCTION("""COMPUTED_VALUE"""),"Digizag")</f>
        <v>Digizag</v>
      </c>
      <c r="T1109" s="2" t="str">
        <f>IFERROR(__xludf.DUMMYFUNCTION("""COMPUTED_VALUE"""),"Digizag")</f>
        <v>Digizag</v>
      </c>
      <c r="U1109" s="5">
        <f>IFERROR(__xludf.DUMMYFUNCTION("""COMPUTED_VALUE"""),4.48498649372)</f>
        <v>4.484986494</v>
      </c>
      <c r="V1109" s="2"/>
      <c r="W1109" s="2"/>
      <c r="X1109" s="2"/>
      <c r="Y1109" s="2"/>
      <c r="Z1109" s="2"/>
    </row>
    <row r="1110">
      <c r="A1110" s="6">
        <f>IFERROR(__xludf.DUMMYFUNCTION("""COMPUTED_VALUE"""),45914.53329861111)</f>
        <v>45914.5333</v>
      </c>
      <c r="B1110" s="2" t="str">
        <f>IFERROR(__xludf.DUMMYFUNCTION("""COMPUTED_VALUE"""),"September")</f>
        <v>September</v>
      </c>
      <c r="C1110" s="3">
        <f>IFERROR(__xludf.DUMMYFUNCTION("""COMPUTED_VALUE"""),1959.0)</f>
        <v>1959</v>
      </c>
      <c r="D1110" s="2" t="str">
        <f>IFERROR(__xludf.DUMMYFUNCTION("""COMPUTED_VALUE"""),"DB6")</f>
        <v>DB6</v>
      </c>
      <c r="E1110" s="2" t="str">
        <f>IFERROR(__xludf.DUMMYFUNCTION("""COMPUTED_VALUE"""),"Digizag")</f>
        <v>Digizag</v>
      </c>
      <c r="F1110" s="2" t="str">
        <f>IFERROR(__xludf.DUMMYFUNCTION("""COMPUTED_VALUE"""),"MTX514039")</f>
        <v>MTX514039</v>
      </c>
      <c r="G1110" s="2" t="str">
        <f>IFERROR(__xludf.DUMMYFUNCTION("""COMPUTED_VALUE"""),"UAE")</f>
        <v>UAE</v>
      </c>
      <c r="H1110" s="4">
        <f>IFERROR(__xludf.DUMMYFUNCTION("""COMPUTED_VALUE"""),165.0)</f>
        <v>165</v>
      </c>
      <c r="I1110" s="3">
        <f>IFERROR(__xludf.DUMMYFUNCTION("""COMPUTED_VALUE"""),0.0)</f>
        <v>0</v>
      </c>
      <c r="J1110" s="4">
        <f>IFERROR(__xludf.DUMMYFUNCTION("""COMPUTED_VALUE"""),16.5)</f>
        <v>16.5</v>
      </c>
      <c r="K1110" s="2"/>
      <c r="L1110" s="2" t="str">
        <f>IFERROR(__xludf.DUMMYFUNCTION("""COMPUTED_VALUE"""),"Delivered")</f>
        <v>Delivered</v>
      </c>
      <c r="M1110" s="2" t="str">
        <f>IFERROR(__xludf.DUMMYFUNCTION("""COMPUTED_VALUE"""),"")</f>
        <v></v>
      </c>
      <c r="N1110" s="2" t="str">
        <f>IFERROR(__xludf.DUMMYFUNCTION("""COMPUTED_VALUE"""),"Cash")</f>
        <v>Cash</v>
      </c>
      <c r="O1110" s="4">
        <f>IFERROR(__xludf.DUMMYFUNCTION("""COMPUTED_VALUE"""),0.0)</f>
        <v>0</v>
      </c>
      <c r="P1110" s="2">
        <f>IFERROR(__xludf.DUMMYFUNCTION("""COMPUTED_VALUE"""),14.0)</f>
        <v>14</v>
      </c>
      <c r="Q1110" s="2">
        <f>IFERROR(__xludf.DUMMYFUNCTION("""COMPUTED_VALUE"""),9.0)</f>
        <v>9</v>
      </c>
      <c r="R1110" s="2">
        <f>IFERROR(__xludf.DUMMYFUNCTION("""COMPUTED_VALUE"""),2025.0)</f>
        <v>2025</v>
      </c>
      <c r="S1110" s="2" t="str">
        <f>IFERROR(__xludf.DUMMYFUNCTION("""COMPUTED_VALUE"""),"Digizag")</f>
        <v>Digizag</v>
      </c>
      <c r="T1110" s="2" t="str">
        <f>IFERROR(__xludf.DUMMYFUNCTION("""COMPUTED_VALUE"""),"Digizag")</f>
        <v>Digizag</v>
      </c>
      <c r="U1110" s="5">
        <f>IFERROR(__xludf.DUMMYFUNCTION("""COMPUTED_VALUE"""),44.92852287)</f>
        <v>44.92852287</v>
      </c>
      <c r="V1110" s="2"/>
      <c r="W1110" s="2"/>
      <c r="X1110" s="2"/>
      <c r="Y1110" s="2"/>
      <c r="Z1110" s="2"/>
    </row>
    <row r="1111">
      <c r="A1111" s="6">
        <f>IFERROR(__xludf.DUMMYFUNCTION("""COMPUTED_VALUE"""),45914.54429398148)</f>
        <v>45914.54429</v>
      </c>
      <c r="B1111" s="2" t="str">
        <f>IFERROR(__xludf.DUMMYFUNCTION("""COMPUTED_VALUE"""),"September")</f>
        <v>September</v>
      </c>
      <c r="C1111" s="3">
        <f>IFERROR(__xludf.DUMMYFUNCTION("""COMPUTED_VALUE"""),572899.0)</f>
        <v>572899</v>
      </c>
      <c r="D1111" s="2" t="str">
        <f>IFERROR(__xludf.DUMMYFUNCTION("""COMPUTED_VALUE"""),"MNN27")</f>
        <v>MNN27</v>
      </c>
      <c r="E1111" s="2" t="str">
        <f>IFERROR(__xludf.DUMMYFUNCTION("""COMPUTED_VALUE"""),"Imported from file DigiZag Codes 25Feb25.xlsx")</f>
        <v>Imported from file DigiZag Codes 25Feb25.xlsx</v>
      </c>
      <c r="F1111" s="2" t="str">
        <f>IFERROR(__xludf.DUMMYFUNCTION("""COMPUTED_VALUE"""),"LSX440603")</f>
        <v>LSX440603</v>
      </c>
      <c r="G1111" s="2" t="str">
        <f>IFERROR(__xludf.DUMMYFUNCTION("""COMPUTED_VALUE"""),"Kuwait")</f>
        <v>Kuwait</v>
      </c>
      <c r="H1111" s="4">
        <f>IFERROR(__xludf.DUMMYFUNCTION("""COMPUTED_VALUE"""),6.5)</f>
        <v>6.5</v>
      </c>
      <c r="I1111" s="3">
        <f>IFERROR(__xludf.DUMMYFUNCTION("""COMPUTED_VALUE"""),0.0)</f>
        <v>0</v>
      </c>
      <c r="J1111" s="4">
        <f>IFERROR(__xludf.DUMMYFUNCTION("""COMPUTED_VALUE"""),0.65)</f>
        <v>0.65</v>
      </c>
      <c r="K1111" s="2"/>
      <c r="L1111" s="2" t="str">
        <f>IFERROR(__xludf.DUMMYFUNCTION("""COMPUTED_VALUE"""),"Delivered")</f>
        <v>Delivered</v>
      </c>
      <c r="M1111" s="2" t="str">
        <f>IFERROR(__xludf.DUMMYFUNCTION("""COMPUTED_VALUE"""),"KD")</f>
        <v>KD</v>
      </c>
      <c r="N1111" s="2" t="str">
        <f>IFERROR(__xludf.DUMMYFUNCTION("""COMPUTED_VALUE"""),"Credit, Debit, Knet")</f>
        <v>Credit, Debit, Knet</v>
      </c>
      <c r="O1111" s="4">
        <f>IFERROR(__xludf.DUMMYFUNCTION("""COMPUTED_VALUE"""),0.0)</f>
        <v>0</v>
      </c>
      <c r="P1111" s="2">
        <f>IFERROR(__xludf.DUMMYFUNCTION("""COMPUTED_VALUE"""),14.0)</f>
        <v>14</v>
      </c>
      <c r="Q1111" s="2">
        <f>IFERROR(__xludf.DUMMYFUNCTION("""COMPUTED_VALUE"""),9.0)</f>
        <v>9</v>
      </c>
      <c r="R1111" s="2">
        <f>IFERROR(__xludf.DUMMYFUNCTION("""COMPUTED_VALUE"""),2025.0)</f>
        <v>2025</v>
      </c>
      <c r="S1111" s="2" t="str">
        <f>IFERROR(__xludf.DUMMYFUNCTION("""COMPUTED_VALUE"""),"Digizag")</f>
        <v>Digizag</v>
      </c>
      <c r="T1111" s="2" t="str">
        <f>IFERROR(__xludf.DUMMYFUNCTION("""COMPUTED_VALUE"""),"Digizag")</f>
        <v>Digizag</v>
      </c>
      <c r="U1111" s="5">
        <f>IFERROR(__xludf.DUMMYFUNCTION("""COMPUTED_VALUE"""),21.194029999999998)</f>
        <v>21.19403</v>
      </c>
      <c r="V1111" s="2"/>
      <c r="W1111" s="2"/>
      <c r="X1111" s="2"/>
      <c r="Y1111" s="2"/>
      <c r="Z1111" s="2"/>
    </row>
    <row r="1112">
      <c r="A1112" s="6">
        <f>IFERROR(__xludf.DUMMYFUNCTION("""COMPUTED_VALUE"""),45914.76388888889)</f>
        <v>45914.76389</v>
      </c>
      <c r="B1112" s="2" t="str">
        <f>IFERROR(__xludf.DUMMYFUNCTION("""COMPUTED_VALUE"""),"September")</f>
        <v>September</v>
      </c>
      <c r="C1112" s="3">
        <f>IFERROR(__xludf.DUMMYFUNCTION("""COMPUTED_VALUE"""),138917.0)</f>
        <v>138917</v>
      </c>
      <c r="D1112" s="2" t="str">
        <f>IFERROR(__xludf.DUMMYFUNCTION("""COMPUTED_VALUE"""),"WFR")</f>
        <v>WFR</v>
      </c>
      <c r="E1112" s="2" t="str">
        <f>IFERROR(__xludf.DUMMYFUNCTION("""COMPUTED_VALUE"""),"Imported from file Digizag.xlsx")</f>
        <v>Imported from file Digizag.xlsx</v>
      </c>
      <c r="F1112" s="2" t="str">
        <f>IFERROR(__xludf.DUMMYFUNCTION("""COMPUTED_VALUE"""),"KNJ851055")</f>
        <v>KNJ851055</v>
      </c>
      <c r="G1112" s="2" t="str">
        <f>IFERROR(__xludf.DUMMYFUNCTION("""COMPUTED_VALUE"""),"Kuwait")</f>
        <v>Kuwait</v>
      </c>
      <c r="H1112" s="4">
        <f>IFERROR(__xludf.DUMMYFUNCTION("""COMPUTED_VALUE"""),7.9)</f>
        <v>7.9</v>
      </c>
      <c r="I1112" s="3">
        <f>IFERROR(__xludf.DUMMYFUNCTION("""COMPUTED_VALUE"""),0.0)</f>
        <v>0</v>
      </c>
      <c r="J1112" s="4">
        <f>IFERROR(__xludf.DUMMYFUNCTION("""COMPUTED_VALUE"""),0.79)</f>
        <v>0.79</v>
      </c>
      <c r="K1112" s="2"/>
      <c r="L1112" s="2" t="str">
        <f>IFERROR(__xludf.DUMMYFUNCTION("""COMPUTED_VALUE"""),"Delivered")</f>
        <v>Delivered</v>
      </c>
      <c r="M1112" s="2" t="str">
        <f>IFERROR(__xludf.DUMMYFUNCTION("""COMPUTED_VALUE"""),"KD")</f>
        <v>KD</v>
      </c>
      <c r="N1112" s="2" t="str">
        <f>IFERROR(__xludf.DUMMYFUNCTION("""COMPUTED_VALUE"""),"Credit, Debit, Knet")</f>
        <v>Credit, Debit, Knet</v>
      </c>
      <c r="O1112" s="4">
        <f>IFERROR(__xludf.DUMMYFUNCTION("""COMPUTED_VALUE"""),0.0)</f>
        <v>0</v>
      </c>
      <c r="P1112" s="2">
        <f>IFERROR(__xludf.DUMMYFUNCTION("""COMPUTED_VALUE"""),14.0)</f>
        <v>14</v>
      </c>
      <c r="Q1112" s="2">
        <f>IFERROR(__xludf.DUMMYFUNCTION("""COMPUTED_VALUE"""),9.0)</f>
        <v>9</v>
      </c>
      <c r="R1112" s="2">
        <f>IFERROR(__xludf.DUMMYFUNCTION("""COMPUTED_VALUE"""),2025.0)</f>
        <v>2025</v>
      </c>
      <c r="S1112" s="2" t="str">
        <f>IFERROR(__xludf.DUMMYFUNCTION("""COMPUTED_VALUE"""),"Digizag")</f>
        <v>Digizag</v>
      </c>
      <c r="T1112" s="2" t="str">
        <f>IFERROR(__xludf.DUMMYFUNCTION("""COMPUTED_VALUE"""),"Digizag")</f>
        <v>Digizag</v>
      </c>
      <c r="U1112" s="5">
        <f>IFERROR(__xludf.DUMMYFUNCTION("""COMPUTED_VALUE"""),25.758898)</f>
        <v>25.758898</v>
      </c>
      <c r="V1112" s="2"/>
      <c r="W1112" s="2"/>
      <c r="X1112" s="2"/>
      <c r="Y1112" s="2"/>
      <c r="Z1112" s="2"/>
    </row>
    <row r="1113">
      <c r="A1113" s="6">
        <f>IFERROR(__xludf.DUMMYFUNCTION("""COMPUTED_VALUE"""),45915.39356481481)</f>
        <v>45915.39356</v>
      </c>
      <c r="B1113" s="2" t="str">
        <f>IFERROR(__xludf.DUMMYFUNCTION("""COMPUTED_VALUE"""),"September")</f>
        <v>September</v>
      </c>
      <c r="C1113" s="3">
        <f>IFERROR(__xludf.DUMMYFUNCTION("""COMPUTED_VALUE"""),429381.0)</f>
        <v>429381</v>
      </c>
      <c r="D1113" s="2" t="str">
        <f>IFERROR(__xludf.DUMMYFUNCTION("""COMPUTED_VALUE"""),"CC22")</f>
        <v>CC22</v>
      </c>
      <c r="E1113" s="2" t="str">
        <f>IFERROR(__xludf.DUMMYFUNCTION("""COMPUTED_VALUE"""),"Imported from file Digizag.xlsx")</f>
        <v>Imported from file Digizag.xlsx</v>
      </c>
      <c r="F1113" s="2" t="str">
        <f>IFERROR(__xludf.DUMMYFUNCTION("""COMPUTED_VALUE"""),"DAR945741")</f>
        <v>DAR945741</v>
      </c>
      <c r="G1113" s="2" t="str">
        <f>IFERROR(__xludf.DUMMYFUNCTION("""COMPUTED_VALUE"""),"UAE")</f>
        <v>UAE</v>
      </c>
      <c r="H1113" s="4">
        <f>IFERROR(__xludf.DUMMYFUNCTION("""COMPUTED_VALUE"""),460.0)</f>
        <v>460</v>
      </c>
      <c r="I1113" s="3">
        <f>IFERROR(__xludf.DUMMYFUNCTION("""COMPUTED_VALUE"""),0.0)</f>
        <v>0</v>
      </c>
      <c r="J1113" s="4">
        <f>IFERROR(__xludf.DUMMYFUNCTION("""COMPUTED_VALUE"""),46.0)</f>
        <v>46</v>
      </c>
      <c r="K1113" s="2"/>
      <c r="L1113" s="2" t="str">
        <f>IFERROR(__xludf.DUMMYFUNCTION("""COMPUTED_VALUE"""),"Delivered")</f>
        <v>Delivered</v>
      </c>
      <c r="M1113" s="2" t="str">
        <f>IFERROR(__xludf.DUMMYFUNCTION("""COMPUTED_VALUE"""),"")</f>
        <v></v>
      </c>
      <c r="N1113" s="2" t="str">
        <f>IFERROR(__xludf.DUMMYFUNCTION("""COMPUTED_VALUE"""),"Credit, Debit , Apple Pay")</f>
        <v>Credit, Debit , Apple Pay</v>
      </c>
      <c r="O1113" s="4">
        <f>IFERROR(__xludf.DUMMYFUNCTION("""COMPUTED_VALUE"""),0.0)</f>
        <v>0</v>
      </c>
      <c r="P1113" s="2">
        <f>IFERROR(__xludf.DUMMYFUNCTION("""COMPUTED_VALUE"""),15.0)</f>
        <v>15</v>
      </c>
      <c r="Q1113" s="2">
        <f>IFERROR(__xludf.DUMMYFUNCTION("""COMPUTED_VALUE"""),9.0)</f>
        <v>9</v>
      </c>
      <c r="R1113" s="2">
        <f>IFERROR(__xludf.DUMMYFUNCTION("""COMPUTED_VALUE"""),2025.0)</f>
        <v>2025</v>
      </c>
      <c r="S1113" s="2" t="str">
        <f>IFERROR(__xludf.DUMMYFUNCTION("""COMPUTED_VALUE"""),"Digizag")</f>
        <v>Digizag</v>
      </c>
      <c r="T1113" s="2" t="str">
        <f>IFERROR(__xludf.DUMMYFUNCTION("""COMPUTED_VALUE"""),"Digizag")</f>
        <v>Digizag</v>
      </c>
      <c r="U1113" s="5">
        <f>IFERROR(__xludf.DUMMYFUNCTION("""COMPUTED_VALUE"""),125.25527588)</f>
        <v>125.2552759</v>
      </c>
      <c r="V1113" s="2"/>
      <c r="W1113" s="2"/>
      <c r="X1113" s="2"/>
      <c r="Y1113" s="2"/>
      <c r="Z1113" s="2"/>
    </row>
    <row r="1114">
      <c r="A1114" s="6">
        <f>IFERROR(__xludf.DUMMYFUNCTION("""COMPUTED_VALUE"""),45915.64356481481)</f>
        <v>45915.64356</v>
      </c>
      <c r="B1114" s="2" t="str">
        <f>IFERROR(__xludf.DUMMYFUNCTION("""COMPUTED_VALUE"""),"September")</f>
        <v>September</v>
      </c>
      <c r="C1114" s="3">
        <f>IFERROR(__xludf.DUMMYFUNCTION("""COMPUTED_VALUE"""),801221.0)</f>
        <v>801221</v>
      </c>
      <c r="D1114" s="2" t="str">
        <f>IFERROR(__xludf.DUMMYFUNCTION("""COMPUTED_VALUE"""),"RR22")</f>
        <v>RR22</v>
      </c>
      <c r="E1114" s="2" t="str">
        <f>IFERROR(__xludf.DUMMYFUNCTION("""COMPUTED_VALUE"""),"Imported from file Digizag.xlsx")</f>
        <v>Imported from file Digizag.xlsx</v>
      </c>
      <c r="F1114" s="2" t="str">
        <f>IFERROR(__xludf.DUMMYFUNCTION("""COMPUTED_VALUE"""),"VPD495900")</f>
        <v>VPD495900</v>
      </c>
      <c r="G1114" s="2" t="str">
        <f>IFERROR(__xludf.DUMMYFUNCTION("""COMPUTED_VALUE"""),"UAE")</f>
        <v>UAE</v>
      </c>
      <c r="H1114" s="4">
        <f>IFERROR(__xludf.DUMMYFUNCTION("""COMPUTED_VALUE"""),226.0)</f>
        <v>226</v>
      </c>
      <c r="I1114" s="3">
        <f>IFERROR(__xludf.DUMMYFUNCTION("""COMPUTED_VALUE"""),0.0)</f>
        <v>0</v>
      </c>
      <c r="J1114" s="4">
        <f>IFERROR(__xludf.DUMMYFUNCTION("""COMPUTED_VALUE"""),22.6)</f>
        <v>22.6</v>
      </c>
      <c r="K1114" s="2"/>
      <c r="L1114" s="2" t="str">
        <f>IFERROR(__xludf.DUMMYFUNCTION("""COMPUTED_VALUE"""),"Delivered")</f>
        <v>Delivered</v>
      </c>
      <c r="M1114" s="2" t="str">
        <f>IFERROR(__xludf.DUMMYFUNCTION("""COMPUTED_VALUE"""),"")</f>
        <v></v>
      </c>
      <c r="N1114" s="2" t="str">
        <f>IFERROR(__xludf.DUMMYFUNCTION("""COMPUTED_VALUE"""),"Credit, Debit , Apple Pay")</f>
        <v>Credit, Debit , Apple Pay</v>
      </c>
      <c r="O1114" s="4">
        <f>IFERROR(__xludf.DUMMYFUNCTION("""COMPUTED_VALUE"""),0.0)</f>
        <v>0</v>
      </c>
      <c r="P1114" s="2">
        <f>IFERROR(__xludf.DUMMYFUNCTION("""COMPUTED_VALUE"""),15.0)</f>
        <v>15</v>
      </c>
      <c r="Q1114" s="2">
        <f>IFERROR(__xludf.DUMMYFUNCTION("""COMPUTED_VALUE"""),9.0)</f>
        <v>9</v>
      </c>
      <c r="R1114" s="2">
        <f>IFERROR(__xludf.DUMMYFUNCTION("""COMPUTED_VALUE"""),2025.0)</f>
        <v>2025</v>
      </c>
      <c r="S1114" s="2" t="str">
        <f>IFERROR(__xludf.DUMMYFUNCTION("""COMPUTED_VALUE"""),"Digizag")</f>
        <v>Digizag</v>
      </c>
      <c r="T1114" s="2" t="str">
        <f>IFERROR(__xludf.DUMMYFUNCTION("""COMPUTED_VALUE"""),"Digizag")</f>
        <v>Digizag</v>
      </c>
      <c r="U1114" s="5">
        <f>IFERROR(__xludf.DUMMYFUNCTION("""COMPUTED_VALUE"""),61.538461628)</f>
        <v>61.53846163</v>
      </c>
      <c r="V1114" s="2"/>
      <c r="W1114" s="2"/>
      <c r="X1114" s="2"/>
      <c r="Y1114" s="2"/>
      <c r="Z1114" s="2"/>
    </row>
    <row r="1115">
      <c r="A1115" s="6">
        <f>IFERROR(__xludf.DUMMYFUNCTION("""COMPUTED_VALUE"""),45915.65623842592)</f>
        <v>45915.65624</v>
      </c>
      <c r="B1115" s="2" t="str">
        <f>IFERROR(__xludf.DUMMYFUNCTION("""COMPUTED_VALUE"""),"September")</f>
        <v>September</v>
      </c>
      <c r="C1115" s="3">
        <f>IFERROR(__xludf.DUMMYFUNCTION("""COMPUTED_VALUE"""),596566.0)</f>
        <v>596566</v>
      </c>
      <c r="D1115" s="2" t="str">
        <f>IFERROR(__xludf.DUMMYFUNCTION("""COMPUTED_VALUE"""),"CC22")</f>
        <v>CC22</v>
      </c>
      <c r="E1115" s="2" t="str">
        <f>IFERROR(__xludf.DUMMYFUNCTION("""COMPUTED_VALUE"""),"Imported from file Digizag.xlsx")</f>
        <v>Imported from file Digizag.xlsx</v>
      </c>
      <c r="F1115" s="2" t="str">
        <f>IFERROR(__xludf.DUMMYFUNCTION("""COMPUTED_VALUE"""),"UET988292")</f>
        <v>UET988292</v>
      </c>
      <c r="G1115" s="2" t="str">
        <f>IFERROR(__xludf.DUMMYFUNCTION("""COMPUTED_VALUE"""),"Kingdom of Saudi Arabia")</f>
        <v>Kingdom of Saudi Arabia</v>
      </c>
      <c r="H1115" s="4">
        <f>IFERROR(__xludf.DUMMYFUNCTION("""COMPUTED_VALUE"""),154.79)</f>
        <v>154.79</v>
      </c>
      <c r="I1115" s="3">
        <f>IFERROR(__xludf.DUMMYFUNCTION("""COMPUTED_VALUE"""),0.0)</f>
        <v>0</v>
      </c>
      <c r="J1115" s="4">
        <f>IFERROR(__xludf.DUMMYFUNCTION("""COMPUTED_VALUE"""),30.0)</f>
        <v>30</v>
      </c>
      <c r="K1115" s="2"/>
      <c r="L1115" s="2" t="str">
        <f>IFERROR(__xludf.DUMMYFUNCTION("""COMPUTED_VALUE"""),"Delivered")</f>
        <v>Delivered</v>
      </c>
      <c r="M1115" s="2" t="str">
        <f>IFERROR(__xludf.DUMMYFUNCTION("""COMPUTED_VALUE"""),"")</f>
        <v></v>
      </c>
      <c r="N1115" s="2" t="str">
        <f>IFERROR(__xludf.DUMMYFUNCTION("""COMPUTED_VALUE"""),"Tamara: Split in 3, interest-free")</f>
        <v>Tamara: Split in 3, interest-free</v>
      </c>
      <c r="O1115" s="4">
        <f>IFERROR(__xludf.DUMMYFUNCTION("""COMPUTED_VALUE"""),0.0)</f>
        <v>0</v>
      </c>
      <c r="P1115" s="2">
        <f>IFERROR(__xludf.DUMMYFUNCTION("""COMPUTED_VALUE"""),15.0)</f>
        <v>15</v>
      </c>
      <c r="Q1115" s="2">
        <f>IFERROR(__xludf.DUMMYFUNCTION("""COMPUTED_VALUE"""),9.0)</f>
        <v>9</v>
      </c>
      <c r="R1115" s="2">
        <f>IFERROR(__xludf.DUMMYFUNCTION("""COMPUTED_VALUE"""),2025.0)</f>
        <v>2025</v>
      </c>
      <c r="S1115" s="2" t="str">
        <f>IFERROR(__xludf.DUMMYFUNCTION("""COMPUTED_VALUE"""),"Digizag")</f>
        <v>Digizag</v>
      </c>
      <c r="T1115" s="2" t="str">
        <f>IFERROR(__xludf.DUMMYFUNCTION("""COMPUTED_VALUE"""),"Digizag")</f>
        <v>Digizag</v>
      </c>
      <c r="U1115" s="5">
        <f>IFERROR(__xludf.DUMMYFUNCTION("""COMPUTED_VALUE"""),41.274141460340005)</f>
        <v>41.27414146</v>
      </c>
      <c r="V1115" s="2"/>
      <c r="W1115" s="2"/>
      <c r="X1115" s="2"/>
      <c r="Y1115" s="2"/>
      <c r="Z1115" s="2"/>
    </row>
    <row r="1116">
      <c r="A1116" s="6">
        <f>IFERROR(__xludf.DUMMYFUNCTION("""COMPUTED_VALUE"""),45916.31429398148)</f>
        <v>45916.31429</v>
      </c>
      <c r="B1116" s="2" t="str">
        <f>IFERROR(__xludf.DUMMYFUNCTION("""COMPUTED_VALUE"""),"September")</f>
        <v>September</v>
      </c>
      <c r="C1116" s="3">
        <f>IFERROR(__xludf.DUMMYFUNCTION("""COMPUTED_VALUE"""),801396.0)</f>
        <v>801396</v>
      </c>
      <c r="D1116" s="2" t="str">
        <f>IFERROR(__xludf.DUMMYFUNCTION("""COMPUTED_VALUE"""),"ZM22")</f>
        <v>ZM22</v>
      </c>
      <c r="E1116" s="2" t="str">
        <f>IFERROR(__xludf.DUMMYFUNCTION("""COMPUTED_VALUE"""),"Imported from file Digizag.xlsx")</f>
        <v>Imported from file Digizag.xlsx</v>
      </c>
      <c r="F1116" s="2" t="str">
        <f>IFERROR(__xludf.DUMMYFUNCTION("""COMPUTED_VALUE"""),"JBR640821")</f>
        <v>JBR640821</v>
      </c>
      <c r="G1116" s="2" t="str">
        <f>IFERROR(__xludf.DUMMYFUNCTION("""COMPUTED_VALUE"""),"Kuwait")</f>
        <v>Kuwait</v>
      </c>
      <c r="H1116" s="4">
        <f>IFERROR(__xludf.DUMMYFUNCTION("""COMPUTED_VALUE"""),14.35)</f>
        <v>14.35</v>
      </c>
      <c r="I1116" s="3">
        <f>IFERROR(__xludf.DUMMYFUNCTION("""COMPUTED_VALUE"""),0.0)</f>
        <v>0</v>
      </c>
      <c r="J1116" s="4">
        <f>IFERROR(__xludf.DUMMYFUNCTION("""COMPUTED_VALUE"""),1.435)</f>
        <v>1.435</v>
      </c>
      <c r="K1116" s="2"/>
      <c r="L1116" s="2" t="str">
        <f>IFERROR(__xludf.DUMMYFUNCTION("""COMPUTED_VALUE"""),"Delivered")</f>
        <v>Delivered</v>
      </c>
      <c r="M1116" s="2" t="str">
        <f>IFERROR(__xludf.DUMMYFUNCTION("""COMPUTED_VALUE"""),"KD")</f>
        <v>KD</v>
      </c>
      <c r="N1116" s="2" t="str">
        <f>IFERROR(__xludf.DUMMYFUNCTION("""COMPUTED_VALUE"""),"Credit, Debit, Knet")</f>
        <v>Credit, Debit, Knet</v>
      </c>
      <c r="O1116" s="4">
        <f>IFERROR(__xludf.DUMMYFUNCTION("""COMPUTED_VALUE"""),0.0)</f>
        <v>0</v>
      </c>
      <c r="P1116" s="2">
        <f>IFERROR(__xludf.DUMMYFUNCTION("""COMPUTED_VALUE"""),16.0)</f>
        <v>16</v>
      </c>
      <c r="Q1116" s="2">
        <f>IFERROR(__xludf.DUMMYFUNCTION("""COMPUTED_VALUE"""),9.0)</f>
        <v>9</v>
      </c>
      <c r="R1116" s="2">
        <f>IFERROR(__xludf.DUMMYFUNCTION("""COMPUTED_VALUE"""),2025.0)</f>
        <v>2025</v>
      </c>
      <c r="S1116" s="2" t="str">
        <f>IFERROR(__xludf.DUMMYFUNCTION("""COMPUTED_VALUE"""),"Digizag")</f>
        <v>Digizag</v>
      </c>
      <c r="T1116" s="2" t="str">
        <f>IFERROR(__xludf.DUMMYFUNCTION("""COMPUTED_VALUE"""),"Digizag")</f>
        <v>Digizag</v>
      </c>
      <c r="U1116" s="5">
        <f>IFERROR(__xludf.DUMMYFUNCTION("""COMPUTED_VALUE"""),46.789896999999996)</f>
        <v>46.789897</v>
      </c>
      <c r="V1116" s="2"/>
      <c r="W1116" s="2"/>
      <c r="X1116" s="2"/>
      <c r="Y1116" s="2"/>
      <c r="Z1116" s="2"/>
    </row>
    <row r="1117">
      <c r="A1117" s="6">
        <f>IFERROR(__xludf.DUMMYFUNCTION("""COMPUTED_VALUE"""),45916.49446759259)</f>
        <v>45916.49447</v>
      </c>
      <c r="B1117" s="2" t="str">
        <f>IFERROR(__xludf.DUMMYFUNCTION("""COMPUTED_VALUE"""),"September")</f>
        <v>September</v>
      </c>
      <c r="C1117" s="3">
        <f>IFERROR(__xludf.DUMMYFUNCTION("""COMPUTED_VALUE"""),45136.0)</f>
        <v>45136</v>
      </c>
      <c r="D1117" s="2" t="str">
        <f>IFERROR(__xludf.DUMMYFUNCTION("""COMPUTED_VALUE"""),"ZM22")</f>
        <v>ZM22</v>
      </c>
      <c r="E1117" s="2" t="str">
        <f>IFERROR(__xludf.DUMMYFUNCTION("""COMPUTED_VALUE"""),"Imported from file Digizag.xlsx")</f>
        <v>Imported from file Digizag.xlsx</v>
      </c>
      <c r="F1117" s="2" t="str">
        <f>IFERROR(__xludf.DUMMYFUNCTION("""COMPUTED_VALUE"""),"VRL443468")</f>
        <v>VRL443468</v>
      </c>
      <c r="G1117" s="2" t="str">
        <f>IFERROR(__xludf.DUMMYFUNCTION("""COMPUTED_VALUE"""),"Kingdom of Saudi Arabia")</f>
        <v>Kingdom of Saudi Arabia</v>
      </c>
      <c r="H1117" s="4">
        <f>IFERROR(__xludf.DUMMYFUNCTION("""COMPUTED_VALUE"""),557.74)</f>
        <v>557.74</v>
      </c>
      <c r="I1117" s="3">
        <f>IFERROR(__xludf.DUMMYFUNCTION("""COMPUTED_VALUE"""),0.0)</f>
        <v>0</v>
      </c>
      <c r="J1117" s="4">
        <f>IFERROR(__xludf.DUMMYFUNCTION("""COMPUTED_VALUE"""),30.0)</f>
        <v>30</v>
      </c>
      <c r="K1117" s="2"/>
      <c r="L1117" s="2" t="str">
        <f>IFERROR(__xludf.DUMMYFUNCTION("""COMPUTED_VALUE"""),"Delivered")</f>
        <v>Delivered</v>
      </c>
      <c r="M1117" s="2" t="str">
        <f>IFERROR(__xludf.DUMMYFUNCTION("""COMPUTED_VALUE"""),"")</f>
        <v></v>
      </c>
      <c r="N1117" s="2" t="str">
        <f>IFERROR(__xludf.DUMMYFUNCTION("""COMPUTED_VALUE"""),"Credit, Debit, Apple Pay")</f>
        <v>Credit, Debit, Apple Pay</v>
      </c>
      <c r="O1117" s="4">
        <f>IFERROR(__xludf.DUMMYFUNCTION("""COMPUTED_VALUE"""),0.0)</f>
        <v>0</v>
      </c>
      <c r="P1117" s="2">
        <f>IFERROR(__xludf.DUMMYFUNCTION("""COMPUTED_VALUE"""),16.0)</f>
        <v>16</v>
      </c>
      <c r="Q1117" s="2">
        <f>IFERROR(__xludf.DUMMYFUNCTION("""COMPUTED_VALUE"""),9.0)</f>
        <v>9</v>
      </c>
      <c r="R1117" s="2">
        <f>IFERROR(__xludf.DUMMYFUNCTION("""COMPUTED_VALUE"""),2025.0)</f>
        <v>2025</v>
      </c>
      <c r="S1117" s="2" t="str">
        <f>IFERROR(__xludf.DUMMYFUNCTION("""COMPUTED_VALUE"""),"Digizag")</f>
        <v>Digizag</v>
      </c>
      <c r="T1117" s="2" t="str">
        <f>IFERROR(__xludf.DUMMYFUNCTION("""COMPUTED_VALUE"""),"Digizag")</f>
        <v>Digizag</v>
      </c>
      <c r="U1117" s="5">
        <f>IFERROR(__xludf.DUMMYFUNCTION("""COMPUTED_VALUE"""),148.71916569604002)</f>
        <v>148.7191657</v>
      </c>
      <c r="V1117" s="2"/>
      <c r="W1117" s="2"/>
      <c r="X1117" s="2"/>
      <c r="Y1117" s="2"/>
      <c r="Z1117" s="2"/>
    </row>
    <row r="1118">
      <c r="A1118" s="6">
        <f>IFERROR(__xludf.DUMMYFUNCTION("""COMPUTED_VALUE"""),45916.54425925926)</f>
        <v>45916.54426</v>
      </c>
      <c r="B1118" s="2" t="str">
        <f>IFERROR(__xludf.DUMMYFUNCTION("""COMPUTED_VALUE"""),"September")</f>
        <v>September</v>
      </c>
      <c r="C1118" s="3">
        <f>IFERROR(__xludf.DUMMYFUNCTION("""COMPUTED_VALUE"""),45136.0)</f>
        <v>45136</v>
      </c>
      <c r="D1118" s="2" t="str">
        <f>IFERROR(__xludf.DUMMYFUNCTION("""COMPUTED_VALUE"""),"ZM22")</f>
        <v>ZM22</v>
      </c>
      <c r="E1118" s="2" t="str">
        <f>IFERROR(__xludf.DUMMYFUNCTION("""COMPUTED_VALUE"""),"Imported from file Digizag.xlsx")</f>
        <v>Imported from file Digizag.xlsx</v>
      </c>
      <c r="F1118" s="2" t="str">
        <f>IFERROR(__xludf.DUMMYFUNCTION("""COMPUTED_VALUE"""),"CTZ828084")</f>
        <v>CTZ828084</v>
      </c>
      <c r="G1118" s="2" t="str">
        <f>IFERROR(__xludf.DUMMYFUNCTION("""COMPUTED_VALUE"""),"Kingdom of Saudi Arabia")</f>
        <v>Kingdom of Saudi Arabia</v>
      </c>
      <c r="H1118" s="4">
        <f>IFERROR(__xludf.DUMMYFUNCTION("""COMPUTED_VALUE"""),226.57)</f>
        <v>226.57</v>
      </c>
      <c r="I1118" s="3">
        <f>IFERROR(__xludf.DUMMYFUNCTION("""COMPUTED_VALUE"""),0.0)</f>
        <v>0</v>
      </c>
      <c r="J1118" s="4">
        <f>IFERROR(__xludf.DUMMYFUNCTION("""COMPUTED_VALUE"""),30.0)</f>
        <v>30</v>
      </c>
      <c r="K1118" s="2"/>
      <c r="L1118" s="2" t="str">
        <f>IFERROR(__xludf.DUMMYFUNCTION("""COMPUTED_VALUE"""),"Delivered")</f>
        <v>Delivered</v>
      </c>
      <c r="M1118" s="2" t="str">
        <f>IFERROR(__xludf.DUMMYFUNCTION("""COMPUTED_VALUE"""),"")</f>
        <v></v>
      </c>
      <c r="N1118" s="2" t="str">
        <f>IFERROR(__xludf.DUMMYFUNCTION("""COMPUTED_VALUE"""),"Credit, Debit, Apple Pay")</f>
        <v>Credit, Debit, Apple Pay</v>
      </c>
      <c r="O1118" s="4">
        <f>IFERROR(__xludf.DUMMYFUNCTION("""COMPUTED_VALUE"""),0.0)</f>
        <v>0</v>
      </c>
      <c r="P1118" s="2">
        <f>IFERROR(__xludf.DUMMYFUNCTION("""COMPUTED_VALUE"""),16.0)</f>
        <v>16</v>
      </c>
      <c r="Q1118" s="2">
        <f>IFERROR(__xludf.DUMMYFUNCTION("""COMPUTED_VALUE"""),9.0)</f>
        <v>9</v>
      </c>
      <c r="R1118" s="2">
        <f>IFERROR(__xludf.DUMMYFUNCTION("""COMPUTED_VALUE"""),2025.0)</f>
        <v>2025</v>
      </c>
      <c r="S1118" s="2" t="str">
        <f>IFERROR(__xludf.DUMMYFUNCTION("""COMPUTED_VALUE"""),"Digizag")</f>
        <v>Digizag</v>
      </c>
      <c r="T1118" s="2" t="str">
        <f>IFERROR(__xludf.DUMMYFUNCTION("""COMPUTED_VALUE"""),"Digizag")</f>
        <v>Digizag</v>
      </c>
      <c r="U1118" s="5">
        <f>IFERROR(__xludf.DUMMYFUNCTION("""COMPUTED_VALUE"""),60.413994642220004)</f>
        <v>60.41399464</v>
      </c>
      <c r="V1118" s="2"/>
      <c r="W1118" s="2"/>
      <c r="X1118" s="2"/>
      <c r="Y1118" s="2"/>
      <c r="Z1118" s="2"/>
    </row>
    <row r="1119">
      <c r="A1119" s="6">
        <f>IFERROR(__xludf.DUMMYFUNCTION("""COMPUTED_VALUE"""),45916.77636574074)</f>
        <v>45916.77637</v>
      </c>
      <c r="B1119" s="2" t="str">
        <f>IFERROR(__xludf.DUMMYFUNCTION("""COMPUTED_VALUE"""),"September")</f>
        <v>September</v>
      </c>
      <c r="C1119" s="3">
        <f>IFERROR(__xludf.DUMMYFUNCTION("""COMPUTED_VALUE"""),82260.0)</f>
        <v>82260</v>
      </c>
      <c r="D1119" s="2" t="str">
        <f>IFERROR(__xludf.DUMMYFUNCTION("""COMPUTED_VALUE"""),"ZM22")</f>
        <v>ZM22</v>
      </c>
      <c r="E1119" s="2" t="str">
        <f>IFERROR(__xludf.DUMMYFUNCTION("""COMPUTED_VALUE"""),"Imported from file Digizag.xlsx")</f>
        <v>Imported from file Digizag.xlsx</v>
      </c>
      <c r="F1119" s="2" t="str">
        <f>IFERROR(__xludf.DUMMYFUNCTION("""COMPUTED_VALUE"""),"VEA274530")</f>
        <v>VEA274530</v>
      </c>
      <c r="G1119" s="2" t="str">
        <f>IFERROR(__xludf.DUMMYFUNCTION("""COMPUTED_VALUE"""),"UAE")</f>
        <v>UAE</v>
      </c>
      <c r="H1119" s="4">
        <f>IFERROR(__xludf.DUMMYFUNCTION("""COMPUTED_VALUE"""),393.51)</f>
        <v>393.51</v>
      </c>
      <c r="I1119" s="3">
        <f>IFERROR(__xludf.DUMMYFUNCTION("""COMPUTED_VALUE"""),0.0)</f>
        <v>0</v>
      </c>
      <c r="J1119" s="4">
        <f>IFERROR(__xludf.DUMMYFUNCTION("""COMPUTED_VALUE"""),39.35)</f>
        <v>39.35</v>
      </c>
      <c r="K1119" s="2"/>
      <c r="L1119" s="2" t="str">
        <f>IFERROR(__xludf.DUMMYFUNCTION("""COMPUTED_VALUE"""),"Delivered")</f>
        <v>Delivered</v>
      </c>
      <c r="M1119" s="2" t="str">
        <f>IFERROR(__xludf.DUMMYFUNCTION("""COMPUTED_VALUE"""),"")</f>
        <v></v>
      </c>
      <c r="N1119" s="2" t="str">
        <f>IFERROR(__xludf.DUMMYFUNCTION("""COMPUTED_VALUE"""),"Credit, Debit , Apple Pay")</f>
        <v>Credit, Debit , Apple Pay</v>
      </c>
      <c r="O1119" s="4">
        <f>IFERROR(__xludf.DUMMYFUNCTION("""COMPUTED_VALUE"""),0.0)</f>
        <v>0</v>
      </c>
      <c r="P1119" s="2">
        <f>IFERROR(__xludf.DUMMYFUNCTION("""COMPUTED_VALUE"""),16.0)</f>
        <v>16</v>
      </c>
      <c r="Q1119" s="2">
        <f>IFERROR(__xludf.DUMMYFUNCTION("""COMPUTED_VALUE"""),9.0)</f>
        <v>9</v>
      </c>
      <c r="R1119" s="2">
        <f>IFERROR(__xludf.DUMMYFUNCTION("""COMPUTED_VALUE"""),2025.0)</f>
        <v>2025</v>
      </c>
      <c r="S1119" s="2" t="str">
        <f>IFERROR(__xludf.DUMMYFUNCTION("""COMPUTED_VALUE"""),"Digizag")</f>
        <v>Digizag</v>
      </c>
      <c r="T1119" s="2" t="str">
        <f>IFERROR(__xludf.DUMMYFUNCTION("""COMPUTED_VALUE"""),"Digizag")</f>
        <v>Digizag</v>
      </c>
      <c r="U1119" s="5">
        <f>IFERROR(__xludf.DUMMYFUNCTION("""COMPUTED_VALUE"""),107.15044263377999)</f>
        <v>107.1504426</v>
      </c>
      <c r="V1119" s="2"/>
      <c r="W1119" s="2"/>
      <c r="X1119" s="2"/>
      <c r="Y1119" s="2"/>
      <c r="Z1119" s="2"/>
    </row>
    <row r="1120">
      <c r="A1120" s="6">
        <f>IFERROR(__xludf.DUMMYFUNCTION("""COMPUTED_VALUE"""),45917.52866898148)</f>
        <v>45917.52867</v>
      </c>
      <c r="B1120" s="2" t="str">
        <f>IFERROR(__xludf.DUMMYFUNCTION("""COMPUTED_VALUE"""),"September")</f>
        <v>September</v>
      </c>
      <c r="C1120" s="3">
        <f>IFERROR(__xludf.DUMMYFUNCTION("""COMPUTED_VALUE"""),497606.0)</f>
        <v>497606</v>
      </c>
      <c r="D1120" s="2" t="str">
        <f>IFERROR(__xludf.DUMMYFUNCTION("""COMPUTED_VALUE"""),"ZM22")</f>
        <v>ZM22</v>
      </c>
      <c r="E1120" s="2" t="str">
        <f>IFERROR(__xludf.DUMMYFUNCTION("""COMPUTED_VALUE"""),"Imported from file Digizag.xlsx")</f>
        <v>Imported from file Digizag.xlsx</v>
      </c>
      <c r="F1120" s="2" t="str">
        <f>IFERROR(__xludf.DUMMYFUNCTION("""COMPUTED_VALUE"""),"SSZ823045")</f>
        <v>SSZ823045</v>
      </c>
      <c r="G1120" s="2" t="str">
        <f>IFERROR(__xludf.DUMMYFUNCTION("""COMPUTED_VALUE"""),"Kuwait")</f>
        <v>Kuwait</v>
      </c>
      <c r="H1120" s="4">
        <f>IFERROR(__xludf.DUMMYFUNCTION("""COMPUTED_VALUE"""),9.95)</f>
        <v>9.95</v>
      </c>
      <c r="I1120" s="3">
        <f>IFERROR(__xludf.DUMMYFUNCTION("""COMPUTED_VALUE"""),0.0)</f>
        <v>0</v>
      </c>
      <c r="J1120" s="4">
        <f>IFERROR(__xludf.DUMMYFUNCTION("""COMPUTED_VALUE"""),0.995)</f>
        <v>0.995</v>
      </c>
      <c r="K1120" s="2"/>
      <c r="L1120" s="2" t="str">
        <f>IFERROR(__xludf.DUMMYFUNCTION("""COMPUTED_VALUE"""),"Delivered")</f>
        <v>Delivered</v>
      </c>
      <c r="M1120" s="2" t="str">
        <f>IFERROR(__xludf.DUMMYFUNCTION("""COMPUTED_VALUE"""),"KD")</f>
        <v>KD</v>
      </c>
      <c r="N1120" s="2" t="str">
        <f>IFERROR(__xludf.DUMMYFUNCTION("""COMPUTED_VALUE"""),"Credit, Debit, Knet")</f>
        <v>Credit, Debit, Knet</v>
      </c>
      <c r="O1120" s="4">
        <f>IFERROR(__xludf.DUMMYFUNCTION("""COMPUTED_VALUE"""),0.0)</f>
        <v>0</v>
      </c>
      <c r="P1120" s="2">
        <f>IFERROR(__xludf.DUMMYFUNCTION("""COMPUTED_VALUE"""),17.0)</f>
        <v>17</v>
      </c>
      <c r="Q1120" s="2">
        <f>IFERROR(__xludf.DUMMYFUNCTION("""COMPUTED_VALUE"""),9.0)</f>
        <v>9</v>
      </c>
      <c r="R1120" s="2">
        <f>IFERROR(__xludf.DUMMYFUNCTION("""COMPUTED_VALUE"""),2025.0)</f>
        <v>2025</v>
      </c>
      <c r="S1120" s="2" t="str">
        <f>IFERROR(__xludf.DUMMYFUNCTION("""COMPUTED_VALUE"""),"Digizag")</f>
        <v>Digizag</v>
      </c>
      <c r="T1120" s="2" t="str">
        <f>IFERROR(__xludf.DUMMYFUNCTION("""COMPUTED_VALUE"""),"Digizag")</f>
        <v>Digizag</v>
      </c>
      <c r="U1120" s="5">
        <f>IFERROR(__xludf.DUMMYFUNCTION("""COMPUTED_VALUE"""),32.443169)</f>
        <v>32.443169</v>
      </c>
      <c r="V1120" s="2"/>
      <c r="W1120" s="2"/>
      <c r="X1120" s="2"/>
      <c r="Y1120" s="2"/>
      <c r="Z1120" s="2"/>
    </row>
    <row r="1121">
      <c r="A1121" s="6">
        <f>IFERROR(__xludf.DUMMYFUNCTION("""COMPUTED_VALUE"""),45917.558287037034)</f>
        <v>45917.55829</v>
      </c>
      <c r="B1121" s="2" t="str">
        <f>IFERROR(__xludf.DUMMYFUNCTION("""COMPUTED_VALUE"""),"September")</f>
        <v>September</v>
      </c>
      <c r="C1121" s="3">
        <f>IFERROR(__xludf.DUMMYFUNCTION("""COMPUTED_VALUE"""),50033.0)</f>
        <v>50033</v>
      </c>
      <c r="D1121" s="2" t="str">
        <f>IFERROR(__xludf.DUMMYFUNCTION("""COMPUTED_VALUE"""),"ZM22")</f>
        <v>ZM22</v>
      </c>
      <c r="E1121" s="2" t="str">
        <f>IFERROR(__xludf.DUMMYFUNCTION("""COMPUTED_VALUE"""),"Imported from file Digizag.xlsx")</f>
        <v>Imported from file Digizag.xlsx</v>
      </c>
      <c r="F1121" s="2" t="str">
        <f>IFERROR(__xludf.DUMMYFUNCTION("""COMPUTED_VALUE"""),"GKH504432")</f>
        <v>GKH504432</v>
      </c>
      <c r="G1121" s="2" t="str">
        <f>IFERROR(__xludf.DUMMYFUNCTION("""COMPUTED_VALUE"""),"UAE")</f>
        <v>UAE</v>
      </c>
      <c r="H1121" s="4">
        <f>IFERROR(__xludf.DUMMYFUNCTION("""COMPUTED_VALUE"""),245.49)</f>
        <v>245.49</v>
      </c>
      <c r="I1121" s="3">
        <f>IFERROR(__xludf.DUMMYFUNCTION("""COMPUTED_VALUE"""),0.0)</f>
        <v>0</v>
      </c>
      <c r="J1121" s="4">
        <f>IFERROR(__xludf.DUMMYFUNCTION("""COMPUTED_VALUE"""),24.54)</f>
        <v>24.54</v>
      </c>
      <c r="K1121" s="2"/>
      <c r="L1121" s="2" t="str">
        <f>IFERROR(__xludf.DUMMYFUNCTION("""COMPUTED_VALUE"""),"Delivered")</f>
        <v>Delivered</v>
      </c>
      <c r="M1121" s="2" t="str">
        <f>IFERROR(__xludf.DUMMYFUNCTION("""COMPUTED_VALUE"""),"")</f>
        <v></v>
      </c>
      <c r="N1121" s="2" t="str">
        <f>IFERROR(__xludf.DUMMYFUNCTION("""COMPUTED_VALUE"""),"Cash")</f>
        <v>Cash</v>
      </c>
      <c r="O1121" s="4">
        <f>IFERROR(__xludf.DUMMYFUNCTION("""COMPUTED_VALUE"""),0.0)</f>
        <v>0</v>
      </c>
      <c r="P1121" s="2">
        <f>IFERROR(__xludf.DUMMYFUNCTION("""COMPUTED_VALUE"""),17.0)</f>
        <v>17</v>
      </c>
      <c r="Q1121" s="2">
        <f>IFERROR(__xludf.DUMMYFUNCTION("""COMPUTED_VALUE"""),9.0)</f>
        <v>9</v>
      </c>
      <c r="R1121" s="2">
        <f>IFERROR(__xludf.DUMMYFUNCTION("""COMPUTED_VALUE"""),2025.0)</f>
        <v>2025</v>
      </c>
      <c r="S1121" s="2" t="str">
        <f>IFERROR(__xludf.DUMMYFUNCTION("""COMPUTED_VALUE"""),"Digizag")</f>
        <v>Digizag</v>
      </c>
      <c r="T1121" s="2" t="str">
        <f>IFERROR(__xludf.DUMMYFUNCTION("""COMPUTED_VALUE"""),"Digizag")</f>
        <v>Digizag</v>
      </c>
      <c r="U1121" s="5">
        <f>IFERROR(__xludf.DUMMYFUNCTION("""COMPUTED_VALUE"""),66.84547320822)</f>
        <v>66.84547321</v>
      </c>
      <c r="V1121" s="2"/>
      <c r="W1121" s="2"/>
      <c r="X1121" s="2"/>
      <c r="Y1121" s="2"/>
      <c r="Z1121" s="2"/>
    </row>
    <row r="1122">
      <c r="A1122" s="6">
        <f>IFERROR(__xludf.DUMMYFUNCTION("""COMPUTED_VALUE"""),45918.35341435185)</f>
        <v>45918.35341</v>
      </c>
      <c r="B1122" s="2" t="str">
        <f>IFERROR(__xludf.DUMMYFUNCTION("""COMPUTED_VALUE"""),"September")</f>
        <v>September</v>
      </c>
      <c r="C1122" s="3">
        <f>IFERROR(__xludf.DUMMYFUNCTION("""COMPUTED_VALUE"""),181415.0)</f>
        <v>181415</v>
      </c>
      <c r="D1122" s="2" t="str">
        <f>IFERROR(__xludf.DUMMYFUNCTION("""COMPUTED_VALUE"""),"CC22")</f>
        <v>CC22</v>
      </c>
      <c r="E1122" s="2" t="str">
        <f>IFERROR(__xludf.DUMMYFUNCTION("""COMPUTED_VALUE"""),"Imported from file Digizag.xlsx")</f>
        <v>Imported from file Digizag.xlsx</v>
      </c>
      <c r="F1122" s="2" t="str">
        <f>IFERROR(__xludf.DUMMYFUNCTION("""COMPUTED_VALUE"""),"PBT561459")</f>
        <v>PBT561459</v>
      </c>
      <c r="G1122" s="2" t="str">
        <f>IFERROR(__xludf.DUMMYFUNCTION("""COMPUTED_VALUE"""),"Kuwait")</f>
        <v>Kuwait</v>
      </c>
      <c r="H1122" s="4">
        <f>IFERROR(__xludf.DUMMYFUNCTION("""COMPUTED_VALUE"""),14.95)</f>
        <v>14.95</v>
      </c>
      <c r="I1122" s="3">
        <f>IFERROR(__xludf.DUMMYFUNCTION("""COMPUTED_VALUE"""),0.0)</f>
        <v>0</v>
      </c>
      <c r="J1122" s="4">
        <f>IFERROR(__xludf.DUMMYFUNCTION("""COMPUTED_VALUE"""),1.495)</f>
        <v>1.495</v>
      </c>
      <c r="K1122" s="2"/>
      <c r="L1122" s="2" t="str">
        <f>IFERROR(__xludf.DUMMYFUNCTION("""COMPUTED_VALUE"""),"Delivered")</f>
        <v>Delivered</v>
      </c>
      <c r="M1122" s="2" t="str">
        <f>IFERROR(__xludf.DUMMYFUNCTION("""COMPUTED_VALUE"""),"KD")</f>
        <v>KD</v>
      </c>
      <c r="N1122" s="2"/>
      <c r="O1122" s="4">
        <f>IFERROR(__xludf.DUMMYFUNCTION("""COMPUTED_VALUE"""),0.0)</f>
        <v>0</v>
      </c>
      <c r="P1122" s="2">
        <f>IFERROR(__xludf.DUMMYFUNCTION("""COMPUTED_VALUE"""),18.0)</f>
        <v>18</v>
      </c>
      <c r="Q1122" s="2">
        <f>IFERROR(__xludf.DUMMYFUNCTION("""COMPUTED_VALUE"""),9.0)</f>
        <v>9</v>
      </c>
      <c r="R1122" s="2">
        <f>IFERROR(__xludf.DUMMYFUNCTION("""COMPUTED_VALUE"""),2025.0)</f>
        <v>2025</v>
      </c>
      <c r="S1122" s="2" t="str">
        <f>IFERROR(__xludf.DUMMYFUNCTION("""COMPUTED_VALUE"""),"Digizag")</f>
        <v>Digizag</v>
      </c>
      <c r="T1122" s="2" t="str">
        <f>IFERROR(__xludf.DUMMYFUNCTION("""COMPUTED_VALUE"""),"Digizag")</f>
        <v>Digizag</v>
      </c>
      <c r="U1122" s="5">
        <f>IFERROR(__xludf.DUMMYFUNCTION("""COMPUTED_VALUE"""),48.746269)</f>
        <v>48.746269</v>
      </c>
      <c r="V1122" s="2"/>
      <c r="W1122" s="2"/>
      <c r="X1122" s="2"/>
      <c r="Y1122" s="2"/>
      <c r="Z1122" s="2"/>
    </row>
    <row r="1123">
      <c r="A1123" s="6">
        <f>IFERROR(__xludf.DUMMYFUNCTION("""COMPUTED_VALUE"""),45918.35362268519)</f>
        <v>45918.35362</v>
      </c>
      <c r="B1123" s="2" t="str">
        <f>IFERROR(__xludf.DUMMYFUNCTION("""COMPUTED_VALUE"""),"September")</f>
        <v>September</v>
      </c>
      <c r="C1123" s="3">
        <f>IFERROR(__xludf.DUMMYFUNCTION("""COMPUTED_VALUE"""),701207.0)</f>
        <v>701207</v>
      </c>
      <c r="D1123" s="2" t="str">
        <f>IFERROR(__xludf.DUMMYFUNCTION("""COMPUTED_VALUE"""),"JM")</f>
        <v>JM</v>
      </c>
      <c r="E1123" s="2" t="str">
        <f>IFERROR(__xludf.DUMMYFUNCTION("""COMPUTED_VALUE"""),"DigiZag")</f>
        <v>DigiZag</v>
      </c>
      <c r="F1123" s="2" t="str">
        <f>IFERROR(__xludf.DUMMYFUNCTION("""COMPUTED_VALUE"""),"PXC772702")</f>
        <v>PXC772702</v>
      </c>
      <c r="G1123" s="2" t="str">
        <f>IFERROR(__xludf.DUMMYFUNCTION("""COMPUTED_VALUE"""),"UAE")</f>
        <v>UAE</v>
      </c>
      <c r="H1123" s="4">
        <f>IFERROR(__xludf.DUMMYFUNCTION("""COMPUTED_VALUE"""),255.8)</f>
        <v>255.8</v>
      </c>
      <c r="I1123" s="3">
        <f>IFERROR(__xludf.DUMMYFUNCTION("""COMPUTED_VALUE"""),0.0)</f>
        <v>0</v>
      </c>
      <c r="J1123" s="4">
        <f>IFERROR(__xludf.DUMMYFUNCTION("""COMPUTED_VALUE"""),25.58)</f>
        <v>25.58</v>
      </c>
      <c r="K1123" s="2"/>
      <c r="L1123" s="2" t="str">
        <f>IFERROR(__xludf.DUMMYFUNCTION("""COMPUTED_VALUE"""),"Delivered")</f>
        <v>Delivered</v>
      </c>
      <c r="M1123" s="2" t="str">
        <f>IFERROR(__xludf.DUMMYFUNCTION("""COMPUTED_VALUE"""),"")</f>
        <v></v>
      </c>
      <c r="N1123" s="2" t="str">
        <f>IFERROR(__xludf.DUMMYFUNCTION("""COMPUTED_VALUE"""),"Credit, Debit , Apple Pay")</f>
        <v>Credit, Debit , Apple Pay</v>
      </c>
      <c r="O1123" s="4">
        <f>IFERROR(__xludf.DUMMYFUNCTION("""COMPUTED_VALUE"""),0.0)</f>
        <v>0</v>
      </c>
      <c r="P1123" s="2">
        <f>IFERROR(__xludf.DUMMYFUNCTION("""COMPUTED_VALUE"""),18.0)</f>
        <v>18</v>
      </c>
      <c r="Q1123" s="2">
        <f>IFERROR(__xludf.DUMMYFUNCTION("""COMPUTED_VALUE"""),9.0)</f>
        <v>9</v>
      </c>
      <c r="R1123" s="2">
        <f>IFERROR(__xludf.DUMMYFUNCTION("""COMPUTED_VALUE"""),2025.0)</f>
        <v>2025</v>
      </c>
      <c r="S1123" s="2" t="str">
        <f>IFERROR(__xludf.DUMMYFUNCTION("""COMPUTED_VALUE"""),"Digizag")</f>
        <v>Digizag</v>
      </c>
      <c r="T1123" s="2" t="str">
        <f>IFERROR(__xludf.DUMMYFUNCTION("""COMPUTED_VALUE"""),"Digizag")</f>
        <v>Digizag</v>
      </c>
      <c r="U1123" s="5">
        <f>IFERROR(__xludf.DUMMYFUNCTION("""COMPUTED_VALUE"""),69.6528251524)</f>
        <v>69.65282515</v>
      </c>
      <c r="V1123" s="2"/>
      <c r="W1123" s="2"/>
      <c r="X1123" s="2"/>
      <c r="Y1123" s="2"/>
      <c r="Z1123" s="2"/>
    </row>
    <row r="1124">
      <c r="A1124" s="6">
        <f>IFERROR(__xludf.DUMMYFUNCTION("""COMPUTED_VALUE"""),45918.43618055555)</f>
        <v>45918.43618</v>
      </c>
      <c r="B1124" s="2" t="str">
        <f>IFERROR(__xludf.DUMMYFUNCTION("""COMPUTED_VALUE"""),"September")</f>
        <v>September</v>
      </c>
      <c r="C1124" s="3">
        <f>IFERROR(__xludf.DUMMYFUNCTION("""COMPUTED_VALUE"""),675139.0)</f>
        <v>675139</v>
      </c>
      <c r="D1124" s="2" t="str">
        <f>IFERROR(__xludf.DUMMYFUNCTION("""COMPUTED_VALUE"""),"CC22")</f>
        <v>CC22</v>
      </c>
      <c r="E1124" s="2" t="str">
        <f>IFERROR(__xludf.DUMMYFUNCTION("""COMPUTED_VALUE"""),"Imported from file Digizag.xlsx")</f>
        <v>Imported from file Digizag.xlsx</v>
      </c>
      <c r="F1124" s="2" t="str">
        <f>IFERROR(__xludf.DUMMYFUNCTION("""COMPUTED_VALUE"""),"ECE214725")</f>
        <v>ECE214725</v>
      </c>
      <c r="G1124" s="2" t="str">
        <f>IFERROR(__xludf.DUMMYFUNCTION("""COMPUTED_VALUE"""),"Kuwait")</f>
        <v>Kuwait</v>
      </c>
      <c r="H1124" s="4">
        <f>IFERROR(__xludf.DUMMYFUNCTION("""COMPUTED_VALUE"""),12.95)</f>
        <v>12.95</v>
      </c>
      <c r="I1124" s="3">
        <f>IFERROR(__xludf.DUMMYFUNCTION("""COMPUTED_VALUE"""),0.0)</f>
        <v>0</v>
      </c>
      <c r="J1124" s="4">
        <f>IFERROR(__xludf.DUMMYFUNCTION("""COMPUTED_VALUE"""),1.295)</f>
        <v>1.295</v>
      </c>
      <c r="K1124" s="2"/>
      <c r="L1124" s="2" t="str">
        <f>IFERROR(__xludf.DUMMYFUNCTION("""COMPUTED_VALUE"""),"Delivered")</f>
        <v>Delivered</v>
      </c>
      <c r="M1124" s="2" t="str">
        <f>IFERROR(__xludf.DUMMYFUNCTION("""COMPUTED_VALUE"""),"KD")</f>
        <v>KD</v>
      </c>
      <c r="N1124" s="2" t="str">
        <f>IFERROR(__xludf.DUMMYFUNCTION("""COMPUTED_VALUE"""),"Credit, Debit, Knet")</f>
        <v>Credit, Debit, Knet</v>
      </c>
      <c r="O1124" s="4">
        <f>IFERROR(__xludf.DUMMYFUNCTION("""COMPUTED_VALUE"""),0.0)</f>
        <v>0</v>
      </c>
      <c r="P1124" s="2">
        <f>IFERROR(__xludf.DUMMYFUNCTION("""COMPUTED_VALUE"""),18.0)</f>
        <v>18</v>
      </c>
      <c r="Q1124" s="2">
        <f>IFERROR(__xludf.DUMMYFUNCTION("""COMPUTED_VALUE"""),9.0)</f>
        <v>9</v>
      </c>
      <c r="R1124" s="2">
        <f>IFERROR(__xludf.DUMMYFUNCTION("""COMPUTED_VALUE"""),2025.0)</f>
        <v>2025</v>
      </c>
      <c r="S1124" s="2" t="str">
        <f>IFERROR(__xludf.DUMMYFUNCTION("""COMPUTED_VALUE"""),"Digizag")</f>
        <v>Digizag</v>
      </c>
      <c r="T1124" s="2" t="str">
        <f>IFERROR(__xludf.DUMMYFUNCTION("""COMPUTED_VALUE"""),"Digizag")</f>
        <v>Digizag</v>
      </c>
      <c r="U1124" s="5">
        <f>IFERROR(__xludf.DUMMYFUNCTION("""COMPUTED_VALUE"""),42.225029)</f>
        <v>42.225029</v>
      </c>
      <c r="V1124" s="2"/>
      <c r="W1124" s="2"/>
      <c r="X1124" s="2"/>
      <c r="Y1124" s="2"/>
      <c r="Z1124" s="2"/>
    </row>
    <row r="1125">
      <c r="A1125" s="6">
        <f>IFERROR(__xludf.DUMMYFUNCTION("""COMPUTED_VALUE"""),45918.497835648144)</f>
        <v>45918.49784</v>
      </c>
      <c r="B1125" s="2" t="str">
        <f>IFERROR(__xludf.DUMMYFUNCTION("""COMPUTED_VALUE"""),"September")</f>
        <v>September</v>
      </c>
      <c r="C1125" s="3">
        <f>IFERROR(__xludf.DUMMYFUNCTION("""COMPUTED_VALUE"""),802284.0)</f>
        <v>802284</v>
      </c>
      <c r="D1125" s="2" t="str">
        <f>IFERROR(__xludf.DUMMYFUNCTION("""COMPUTED_VALUE"""),"DB7")</f>
        <v>DB7</v>
      </c>
      <c r="E1125" s="2" t="str">
        <f>IFERROR(__xludf.DUMMYFUNCTION("""COMPUTED_VALUE"""),"Digizag")</f>
        <v>Digizag</v>
      </c>
      <c r="F1125" s="2" t="str">
        <f>IFERROR(__xludf.DUMMYFUNCTION("""COMPUTED_VALUE"""),"KVH122688")</f>
        <v>KVH122688</v>
      </c>
      <c r="G1125" s="2" t="str">
        <f>IFERROR(__xludf.DUMMYFUNCTION("""COMPUTED_VALUE"""),"Bahrain")</f>
        <v>Bahrain</v>
      </c>
      <c r="H1125" s="4">
        <f>IFERROR(__xludf.DUMMYFUNCTION("""COMPUTED_VALUE"""),17.91)</f>
        <v>17.91</v>
      </c>
      <c r="I1125" s="3">
        <f>IFERROR(__xludf.DUMMYFUNCTION("""COMPUTED_VALUE"""),0.0)</f>
        <v>0</v>
      </c>
      <c r="J1125" s="4">
        <f>IFERROR(__xludf.DUMMYFUNCTION("""COMPUTED_VALUE"""),1.79)</f>
        <v>1.79</v>
      </c>
      <c r="K1125" s="2"/>
      <c r="L1125" s="2" t="str">
        <f>IFERROR(__xludf.DUMMYFUNCTION("""COMPUTED_VALUE"""),"Delivered")</f>
        <v>Delivered</v>
      </c>
      <c r="M1125" s="2" t="str">
        <f>IFERROR(__xludf.DUMMYFUNCTION("""COMPUTED_VALUE"""),"BHD")</f>
        <v>BHD</v>
      </c>
      <c r="N1125" s="2" t="str">
        <f>IFERROR(__xludf.DUMMYFUNCTION("""COMPUTED_VALUE"""),"Credit, Debit")</f>
        <v>Credit, Debit</v>
      </c>
      <c r="O1125" s="4">
        <f>IFERROR(__xludf.DUMMYFUNCTION("""COMPUTED_VALUE"""),0.0)</f>
        <v>0</v>
      </c>
      <c r="P1125" s="2">
        <f>IFERROR(__xludf.DUMMYFUNCTION("""COMPUTED_VALUE"""),18.0)</f>
        <v>18</v>
      </c>
      <c r="Q1125" s="2">
        <f>IFERROR(__xludf.DUMMYFUNCTION("""COMPUTED_VALUE"""),9.0)</f>
        <v>9</v>
      </c>
      <c r="R1125" s="2">
        <f>IFERROR(__xludf.DUMMYFUNCTION("""COMPUTED_VALUE"""),2025.0)</f>
        <v>2025</v>
      </c>
      <c r="S1125" s="2" t="str">
        <f>IFERROR(__xludf.DUMMYFUNCTION("""COMPUTED_VALUE"""),"Digizag")</f>
        <v>Digizag</v>
      </c>
      <c r="T1125" s="2" t="str">
        <f>IFERROR(__xludf.DUMMYFUNCTION("""COMPUTED_VALUE"""),"Digizag")</f>
        <v>Digizag</v>
      </c>
      <c r="U1125" s="5">
        <f>IFERROR(__xludf.DUMMYFUNCTION("""COMPUTED_VALUE"""),47.51374347)</f>
        <v>47.51374347</v>
      </c>
      <c r="V1125" s="2"/>
      <c r="W1125" s="2"/>
      <c r="X1125" s="2"/>
      <c r="Y1125" s="2"/>
      <c r="Z1125" s="2"/>
    </row>
    <row r="1126">
      <c r="A1126" s="6">
        <f>IFERROR(__xludf.DUMMYFUNCTION("""COMPUTED_VALUE"""),45918.51155092593)</f>
        <v>45918.51155</v>
      </c>
      <c r="B1126" s="2" t="str">
        <f>IFERROR(__xludf.DUMMYFUNCTION("""COMPUTED_VALUE"""),"September")</f>
        <v>September</v>
      </c>
      <c r="C1126" s="3">
        <f>IFERROR(__xludf.DUMMYFUNCTION("""COMPUTED_VALUE"""),172409.0)</f>
        <v>172409</v>
      </c>
      <c r="D1126" s="2" t="str">
        <f>IFERROR(__xludf.DUMMYFUNCTION("""COMPUTED_VALUE"""),"DB6")</f>
        <v>DB6</v>
      </c>
      <c r="E1126" s="2" t="str">
        <f>IFERROR(__xludf.DUMMYFUNCTION("""COMPUTED_VALUE"""),"Digizag")</f>
        <v>Digizag</v>
      </c>
      <c r="F1126" s="2" t="str">
        <f>IFERROR(__xludf.DUMMYFUNCTION("""COMPUTED_VALUE"""),"NVT649159")</f>
        <v>NVT649159</v>
      </c>
      <c r="G1126" s="2" t="str">
        <f>IFERROR(__xludf.DUMMYFUNCTION("""COMPUTED_VALUE"""),"UAE")</f>
        <v>UAE</v>
      </c>
      <c r="H1126" s="4">
        <f>IFERROR(__xludf.DUMMYFUNCTION("""COMPUTED_VALUE"""),185.0)</f>
        <v>185</v>
      </c>
      <c r="I1126" s="3">
        <f>IFERROR(__xludf.DUMMYFUNCTION("""COMPUTED_VALUE"""),0.0)</f>
        <v>0</v>
      </c>
      <c r="J1126" s="4">
        <f>IFERROR(__xludf.DUMMYFUNCTION("""COMPUTED_VALUE"""),18.5)</f>
        <v>18.5</v>
      </c>
      <c r="K1126" s="2"/>
      <c r="L1126" s="2" t="str">
        <f>IFERROR(__xludf.DUMMYFUNCTION("""COMPUTED_VALUE"""),"Delivered")</f>
        <v>Delivered</v>
      </c>
      <c r="M1126" s="2" t="str">
        <f>IFERROR(__xludf.DUMMYFUNCTION("""COMPUTED_VALUE"""),"")</f>
        <v></v>
      </c>
      <c r="N1126" s="2" t="str">
        <f>IFERROR(__xludf.DUMMYFUNCTION("""COMPUTED_VALUE"""),"Credit, Debit , Apple Pay")</f>
        <v>Credit, Debit , Apple Pay</v>
      </c>
      <c r="O1126" s="4">
        <f>IFERROR(__xludf.DUMMYFUNCTION("""COMPUTED_VALUE"""),0.0)</f>
        <v>0</v>
      </c>
      <c r="P1126" s="2">
        <f>IFERROR(__xludf.DUMMYFUNCTION("""COMPUTED_VALUE"""),18.0)</f>
        <v>18</v>
      </c>
      <c r="Q1126" s="2">
        <f>IFERROR(__xludf.DUMMYFUNCTION("""COMPUTED_VALUE"""),9.0)</f>
        <v>9</v>
      </c>
      <c r="R1126" s="2">
        <f>IFERROR(__xludf.DUMMYFUNCTION("""COMPUTED_VALUE"""),2025.0)</f>
        <v>2025</v>
      </c>
      <c r="S1126" s="2" t="str">
        <f>IFERROR(__xludf.DUMMYFUNCTION("""COMPUTED_VALUE"""),"Digizag")</f>
        <v>Digizag</v>
      </c>
      <c r="T1126" s="2" t="str">
        <f>IFERROR(__xludf.DUMMYFUNCTION("""COMPUTED_VALUE"""),"Digizag")</f>
        <v>Digizag</v>
      </c>
      <c r="U1126" s="5">
        <f>IFERROR(__xludf.DUMMYFUNCTION("""COMPUTED_VALUE"""),50.37440443)</f>
        <v>50.37440443</v>
      </c>
      <c r="V1126" s="2"/>
      <c r="W1126" s="2"/>
      <c r="X1126" s="2"/>
      <c r="Y1126" s="2"/>
      <c r="Z1126" s="2"/>
    </row>
    <row r="1127">
      <c r="A1127" s="6">
        <f>IFERROR(__xludf.DUMMYFUNCTION("""COMPUTED_VALUE"""),45918.54016203703)</f>
        <v>45918.54016</v>
      </c>
      <c r="B1127" s="2" t="str">
        <f>IFERROR(__xludf.DUMMYFUNCTION("""COMPUTED_VALUE"""),"September")</f>
        <v>September</v>
      </c>
      <c r="C1127" s="3">
        <f>IFERROR(__xludf.DUMMYFUNCTION("""COMPUTED_VALUE"""),297216.0)</f>
        <v>297216</v>
      </c>
      <c r="D1127" s="2" t="str">
        <f>IFERROR(__xludf.DUMMYFUNCTION("""COMPUTED_VALUE"""),"JM")</f>
        <v>JM</v>
      </c>
      <c r="E1127" s="2" t="str">
        <f>IFERROR(__xludf.DUMMYFUNCTION("""COMPUTED_VALUE"""),"Digizag")</f>
        <v>Digizag</v>
      </c>
      <c r="F1127" s="2" t="str">
        <f>IFERROR(__xludf.DUMMYFUNCTION("""COMPUTED_VALUE"""),"ZPW406891")</f>
        <v>ZPW406891</v>
      </c>
      <c r="G1127" s="2" t="str">
        <f>IFERROR(__xludf.DUMMYFUNCTION("""COMPUTED_VALUE"""),"Kuwait")</f>
        <v>Kuwait</v>
      </c>
      <c r="H1127" s="4">
        <f>IFERROR(__xludf.DUMMYFUNCTION("""COMPUTED_VALUE"""),3.5)</f>
        <v>3.5</v>
      </c>
      <c r="I1127" s="3">
        <f>IFERROR(__xludf.DUMMYFUNCTION("""COMPUTED_VALUE"""),0.0)</f>
        <v>0</v>
      </c>
      <c r="J1127" s="4">
        <f>IFERROR(__xludf.DUMMYFUNCTION("""COMPUTED_VALUE"""),0.35)</f>
        <v>0.35</v>
      </c>
      <c r="K1127" s="2"/>
      <c r="L1127" s="2" t="str">
        <f>IFERROR(__xludf.DUMMYFUNCTION("""COMPUTED_VALUE"""),"Delivered")</f>
        <v>Delivered</v>
      </c>
      <c r="M1127" s="2" t="str">
        <f>IFERROR(__xludf.DUMMYFUNCTION("""COMPUTED_VALUE"""),"KD")</f>
        <v>KD</v>
      </c>
      <c r="N1127" s="2" t="str">
        <f>IFERROR(__xludf.DUMMYFUNCTION("""COMPUTED_VALUE"""),"Credit, Debit, Knet")</f>
        <v>Credit, Debit, Knet</v>
      </c>
      <c r="O1127" s="4">
        <f>IFERROR(__xludf.DUMMYFUNCTION("""COMPUTED_VALUE"""),0.0)</f>
        <v>0</v>
      </c>
      <c r="P1127" s="2">
        <f>IFERROR(__xludf.DUMMYFUNCTION("""COMPUTED_VALUE"""),18.0)</f>
        <v>18</v>
      </c>
      <c r="Q1127" s="2">
        <f>IFERROR(__xludf.DUMMYFUNCTION("""COMPUTED_VALUE"""),9.0)</f>
        <v>9</v>
      </c>
      <c r="R1127" s="2">
        <f>IFERROR(__xludf.DUMMYFUNCTION("""COMPUTED_VALUE"""),2025.0)</f>
        <v>2025</v>
      </c>
      <c r="S1127" s="2" t="str">
        <f>IFERROR(__xludf.DUMMYFUNCTION("""COMPUTED_VALUE"""),"Digizag")</f>
        <v>Digizag</v>
      </c>
      <c r="T1127" s="2" t="str">
        <f>IFERROR(__xludf.DUMMYFUNCTION("""COMPUTED_VALUE"""),"Digizag")</f>
        <v>Digizag</v>
      </c>
      <c r="U1127" s="5">
        <f>IFERROR(__xludf.DUMMYFUNCTION("""COMPUTED_VALUE"""),11.41217)</f>
        <v>11.41217</v>
      </c>
      <c r="V1127" s="2"/>
      <c r="W1127" s="2"/>
      <c r="X1127" s="2"/>
      <c r="Y1127" s="2"/>
      <c r="Z1127" s="2"/>
    </row>
    <row r="1128">
      <c r="A1128" s="6">
        <f>IFERROR(__xludf.DUMMYFUNCTION("""COMPUTED_VALUE"""),45918.56658564814)</f>
        <v>45918.56659</v>
      </c>
      <c r="B1128" s="2" t="str">
        <f>IFERROR(__xludf.DUMMYFUNCTION("""COMPUTED_VALUE"""),"September")</f>
        <v>September</v>
      </c>
      <c r="C1128" s="3">
        <f>IFERROR(__xludf.DUMMYFUNCTION("""COMPUTED_VALUE"""),23733.0)</f>
        <v>23733</v>
      </c>
      <c r="D1128" s="2" t="str">
        <f>IFERROR(__xludf.DUMMYFUNCTION("""COMPUTED_VALUE"""),"ZM22")</f>
        <v>ZM22</v>
      </c>
      <c r="E1128" s="2" t="str">
        <f>IFERROR(__xludf.DUMMYFUNCTION("""COMPUTED_VALUE"""),"Imported from file Digizag.xlsx")</f>
        <v>Imported from file Digizag.xlsx</v>
      </c>
      <c r="F1128" s="2" t="str">
        <f>IFERROR(__xludf.DUMMYFUNCTION("""COMPUTED_VALUE"""),"BBD447403")</f>
        <v>BBD447403</v>
      </c>
      <c r="G1128" s="2" t="str">
        <f>IFERROR(__xludf.DUMMYFUNCTION("""COMPUTED_VALUE"""),"Kuwait")</f>
        <v>Kuwait</v>
      </c>
      <c r="H1128" s="4">
        <f>IFERROR(__xludf.DUMMYFUNCTION("""COMPUTED_VALUE"""),10.15)</f>
        <v>10.15</v>
      </c>
      <c r="I1128" s="3">
        <f>IFERROR(__xludf.DUMMYFUNCTION("""COMPUTED_VALUE"""),0.0)</f>
        <v>0</v>
      </c>
      <c r="J1128" s="4">
        <f>IFERROR(__xludf.DUMMYFUNCTION("""COMPUTED_VALUE"""),1.015)</f>
        <v>1.015</v>
      </c>
      <c r="K1128" s="2"/>
      <c r="L1128" s="2" t="str">
        <f>IFERROR(__xludf.DUMMYFUNCTION("""COMPUTED_VALUE"""),"Delivered")</f>
        <v>Delivered</v>
      </c>
      <c r="M1128" s="2" t="str">
        <f>IFERROR(__xludf.DUMMYFUNCTION("""COMPUTED_VALUE"""),"KD")</f>
        <v>KD</v>
      </c>
      <c r="N1128" s="2" t="str">
        <f>IFERROR(__xludf.DUMMYFUNCTION("""COMPUTED_VALUE"""),"Credit, Debit, Knet")</f>
        <v>Credit, Debit, Knet</v>
      </c>
      <c r="O1128" s="4">
        <f>IFERROR(__xludf.DUMMYFUNCTION("""COMPUTED_VALUE"""),0.0)</f>
        <v>0</v>
      </c>
      <c r="P1128" s="2">
        <f>IFERROR(__xludf.DUMMYFUNCTION("""COMPUTED_VALUE"""),18.0)</f>
        <v>18</v>
      </c>
      <c r="Q1128" s="2">
        <f>IFERROR(__xludf.DUMMYFUNCTION("""COMPUTED_VALUE"""),9.0)</f>
        <v>9</v>
      </c>
      <c r="R1128" s="2">
        <f>IFERROR(__xludf.DUMMYFUNCTION("""COMPUTED_VALUE"""),2025.0)</f>
        <v>2025</v>
      </c>
      <c r="S1128" s="2" t="str">
        <f>IFERROR(__xludf.DUMMYFUNCTION("""COMPUTED_VALUE"""),"Digizag")</f>
        <v>Digizag</v>
      </c>
      <c r="T1128" s="2" t="str">
        <f>IFERROR(__xludf.DUMMYFUNCTION("""COMPUTED_VALUE"""),"Digizag")</f>
        <v>Digizag</v>
      </c>
      <c r="U1128" s="5">
        <f>IFERROR(__xludf.DUMMYFUNCTION("""COMPUTED_VALUE"""),33.095293)</f>
        <v>33.095293</v>
      </c>
      <c r="V1128" s="2"/>
      <c r="W1128" s="2"/>
      <c r="X1128" s="2"/>
      <c r="Y1128" s="2"/>
      <c r="Z1128" s="2"/>
    </row>
    <row r="1129">
      <c r="A1129" s="6">
        <f>IFERROR(__xludf.DUMMYFUNCTION("""COMPUTED_VALUE"""),45918.5862037037)</f>
        <v>45918.5862</v>
      </c>
      <c r="B1129" s="2" t="str">
        <f>IFERROR(__xludf.DUMMYFUNCTION("""COMPUTED_VALUE"""),"September")</f>
        <v>September</v>
      </c>
      <c r="C1129" s="3">
        <f>IFERROR(__xludf.DUMMYFUNCTION("""COMPUTED_VALUE"""),249322.0)</f>
        <v>249322</v>
      </c>
      <c r="D1129" s="2" t="str">
        <f>IFERROR(__xludf.DUMMYFUNCTION("""COMPUTED_VALUE"""),"ZM22")</f>
        <v>ZM22</v>
      </c>
      <c r="E1129" s="2" t="str">
        <f>IFERROR(__xludf.DUMMYFUNCTION("""COMPUTED_VALUE"""),"Imported from file Digizag.xlsx")</f>
        <v>Imported from file Digizag.xlsx</v>
      </c>
      <c r="F1129" s="2" t="str">
        <f>IFERROR(__xludf.DUMMYFUNCTION("""COMPUTED_VALUE"""),"NBA394011")</f>
        <v>NBA394011</v>
      </c>
      <c r="G1129" s="2" t="str">
        <f>IFERROR(__xludf.DUMMYFUNCTION("""COMPUTED_VALUE"""),"UAE")</f>
        <v>UAE</v>
      </c>
      <c r="H1129" s="4">
        <f>IFERROR(__xludf.DUMMYFUNCTION("""COMPUTED_VALUE"""),150.0)</f>
        <v>150</v>
      </c>
      <c r="I1129" s="3">
        <f>IFERROR(__xludf.DUMMYFUNCTION("""COMPUTED_VALUE"""),0.0)</f>
        <v>0</v>
      </c>
      <c r="J1129" s="4">
        <f>IFERROR(__xludf.DUMMYFUNCTION("""COMPUTED_VALUE"""),15.0)</f>
        <v>15</v>
      </c>
      <c r="K1129" s="2"/>
      <c r="L1129" s="2" t="str">
        <f>IFERROR(__xludf.DUMMYFUNCTION("""COMPUTED_VALUE"""),"Delivered")</f>
        <v>Delivered</v>
      </c>
      <c r="M1129" s="2" t="str">
        <f>IFERROR(__xludf.DUMMYFUNCTION("""COMPUTED_VALUE"""),"")</f>
        <v></v>
      </c>
      <c r="N1129" s="2" t="str">
        <f>IFERROR(__xludf.DUMMYFUNCTION("""COMPUTED_VALUE"""),"Credit, Debit , Apple Pay")</f>
        <v>Credit, Debit , Apple Pay</v>
      </c>
      <c r="O1129" s="4">
        <f>IFERROR(__xludf.DUMMYFUNCTION("""COMPUTED_VALUE"""),0.0)</f>
        <v>0</v>
      </c>
      <c r="P1129" s="2">
        <f>IFERROR(__xludf.DUMMYFUNCTION("""COMPUTED_VALUE"""),18.0)</f>
        <v>18</v>
      </c>
      <c r="Q1129" s="2">
        <f>IFERROR(__xludf.DUMMYFUNCTION("""COMPUTED_VALUE"""),9.0)</f>
        <v>9</v>
      </c>
      <c r="R1129" s="2">
        <f>IFERROR(__xludf.DUMMYFUNCTION("""COMPUTED_VALUE"""),2025.0)</f>
        <v>2025</v>
      </c>
      <c r="S1129" s="2" t="str">
        <f>IFERROR(__xludf.DUMMYFUNCTION("""COMPUTED_VALUE"""),"Digizag")</f>
        <v>Digizag</v>
      </c>
      <c r="T1129" s="2" t="str">
        <f>IFERROR(__xludf.DUMMYFUNCTION("""COMPUTED_VALUE"""),"Digizag")</f>
        <v>Digizag</v>
      </c>
      <c r="U1129" s="5">
        <f>IFERROR(__xludf.DUMMYFUNCTION("""COMPUTED_VALUE"""),40.8441117)</f>
        <v>40.8441117</v>
      </c>
      <c r="V1129" s="2"/>
      <c r="W1129" s="2"/>
      <c r="X1129" s="2"/>
      <c r="Y1129" s="2"/>
      <c r="Z1129" s="2"/>
    </row>
    <row r="1130">
      <c r="A1130" s="6">
        <f>IFERROR(__xludf.DUMMYFUNCTION("""COMPUTED_VALUE"""),45918.61047453703)</f>
        <v>45918.61047</v>
      </c>
      <c r="B1130" s="2" t="str">
        <f>IFERROR(__xludf.DUMMYFUNCTION("""COMPUTED_VALUE"""),"September")</f>
        <v>September</v>
      </c>
      <c r="C1130" s="3">
        <f>IFERROR(__xludf.DUMMYFUNCTION("""COMPUTED_VALUE"""),118408.0)</f>
        <v>118408</v>
      </c>
      <c r="D1130" s="2" t="str">
        <f>IFERROR(__xludf.DUMMYFUNCTION("""COMPUTED_VALUE"""),"DB6")</f>
        <v>DB6</v>
      </c>
      <c r="E1130" s="2" t="str">
        <f>IFERROR(__xludf.DUMMYFUNCTION("""COMPUTED_VALUE"""),"Digizag")</f>
        <v>Digizag</v>
      </c>
      <c r="F1130" s="2" t="str">
        <f>IFERROR(__xludf.DUMMYFUNCTION("""COMPUTED_VALUE"""),"WYS719573")</f>
        <v>WYS719573</v>
      </c>
      <c r="G1130" s="2" t="str">
        <f>IFERROR(__xludf.DUMMYFUNCTION("""COMPUTED_VALUE"""),"Kingdom of Saudi Arabia")</f>
        <v>Kingdom of Saudi Arabia</v>
      </c>
      <c r="H1130" s="4">
        <f>IFERROR(__xludf.DUMMYFUNCTION("""COMPUTED_VALUE"""),120.87)</f>
        <v>120.87</v>
      </c>
      <c r="I1130" s="3">
        <f>IFERROR(__xludf.DUMMYFUNCTION("""COMPUTED_VALUE"""),0.0)</f>
        <v>0</v>
      </c>
      <c r="J1130" s="4">
        <f>IFERROR(__xludf.DUMMYFUNCTION("""COMPUTED_VALUE"""),30.0)</f>
        <v>30</v>
      </c>
      <c r="K1130" s="2"/>
      <c r="L1130" s="2" t="str">
        <f>IFERROR(__xludf.DUMMYFUNCTION("""COMPUTED_VALUE"""),"Delivered")</f>
        <v>Delivered</v>
      </c>
      <c r="M1130" s="2" t="str">
        <f>IFERROR(__xludf.DUMMYFUNCTION("""COMPUTED_VALUE"""),"")</f>
        <v></v>
      </c>
      <c r="N1130" s="2" t="str">
        <f>IFERROR(__xludf.DUMMYFUNCTION("""COMPUTED_VALUE"""),"Credit, Debit, Apple Pay")</f>
        <v>Credit, Debit, Apple Pay</v>
      </c>
      <c r="O1130" s="4">
        <f>IFERROR(__xludf.DUMMYFUNCTION("""COMPUTED_VALUE"""),0.0)</f>
        <v>0</v>
      </c>
      <c r="P1130" s="2">
        <f>IFERROR(__xludf.DUMMYFUNCTION("""COMPUTED_VALUE"""),18.0)</f>
        <v>18</v>
      </c>
      <c r="Q1130" s="2">
        <f>IFERROR(__xludf.DUMMYFUNCTION("""COMPUTED_VALUE"""),9.0)</f>
        <v>9</v>
      </c>
      <c r="R1130" s="2">
        <f>IFERROR(__xludf.DUMMYFUNCTION("""COMPUTED_VALUE"""),2025.0)</f>
        <v>2025</v>
      </c>
      <c r="S1130" s="2" t="str">
        <f>IFERROR(__xludf.DUMMYFUNCTION("""COMPUTED_VALUE"""),"Digizag")</f>
        <v>Digizag</v>
      </c>
      <c r="T1130" s="2" t="str">
        <f>IFERROR(__xludf.DUMMYFUNCTION("""COMPUTED_VALUE"""),"Digizag")</f>
        <v>Digizag</v>
      </c>
      <c r="U1130" s="5">
        <f>IFERROR(__xludf.DUMMYFUNCTION("""COMPUTED_VALUE"""),32.229507580020005)</f>
        <v>32.22950758</v>
      </c>
      <c r="V1130" s="2"/>
      <c r="W1130" s="2"/>
      <c r="X1130" s="2"/>
      <c r="Y1130" s="2"/>
      <c r="Z1130" s="2"/>
    </row>
    <row r="1131">
      <c r="A1131" s="6">
        <f>IFERROR(__xludf.DUMMYFUNCTION("""COMPUTED_VALUE"""),45918.629641203705)</f>
        <v>45918.62964</v>
      </c>
      <c r="B1131" s="2" t="str">
        <f>IFERROR(__xludf.DUMMYFUNCTION("""COMPUTED_VALUE"""),"September")</f>
        <v>September</v>
      </c>
      <c r="C1131" s="3">
        <f>IFERROR(__xludf.DUMMYFUNCTION("""COMPUTED_VALUE"""),291526.0)</f>
        <v>291526</v>
      </c>
      <c r="D1131" s="2" t="str">
        <f>IFERROR(__xludf.DUMMYFUNCTION("""COMPUTED_VALUE"""),"JM")</f>
        <v>JM</v>
      </c>
      <c r="E1131" s="2" t="str">
        <f>IFERROR(__xludf.DUMMYFUNCTION("""COMPUTED_VALUE"""),"DigiZag")</f>
        <v>DigiZag</v>
      </c>
      <c r="F1131" s="2" t="str">
        <f>IFERROR(__xludf.DUMMYFUNCTION("""COMPUTED_VALUE"""),"XAV157327")</f>
        <v>XAV157327</v>
      </c>
      <c r="G1131" s="2" t="str">
        <f>IFERROR(__xludf.DUMMYFUNCTION("""COMPUTED_VALUE"""),"Bahrain")</f>
        <v>Bahrain</v>
      </c>
      <c r="H1131" s="4">
        <f>IFERROR(__xludf.DUMMYFUNCTION("""COMPUTED_VALUE"""),23.46)</f>
        <v>23.46</v>
      </c>
      <c r="I1131" s="3">
        <f>IFERROR(__xludf.DUMMYFUNCTION("""COMPUTED_VALUE"""),0.0)</f>
        <v>0</v>
      </c>
      <c r="J1131" s="4">
        <f>IFERROR(__xludf.DUMMYFUNCTION("""COMPUTED_VALUE"""),2.34)</f>
        <v>2.34</v>
      </c>
      <c r="K1131" s="2"/>
      <c r="L1131" s="2" t="str">
        <f>IFERROR(__xludf.DUMMYFUNCTION("""COMPUTED_VALUE"""),"Delivered")</f>
        <v>Delivered</v>
      </c>
      <c r="M1131" s="2" t="str">
        <f>IFERROR(__xludf.DUMMYFUNCTION("""COMPUTED_VALUE"""),"BHD")</f>
        <v>BHD</v>
      </c>
      <c r="N1131" s="2" t="str">
        <f>IFERROR(__xludf.DUMMYFUNCTION("""COMPUTED_VALUE"""),"Credit, Debit")</f>
        <v>Credit, Debit</v>
      </c>
      <c r="O1131" s="4">
        <f>IFERROR(__xludf.DUMMYFUNCTION("""COMPUTED_VALUE"""),0.0)</f>
        <v>0</v>
      </c>
      <c r="P1131" s="2">
        <f>IFERROR(__xludf.DUMMYFUNCTION("""COMPUTED_VALUE"""),18.0)</f>
        <v>18</v>
      </c>
      <c r="Q1131" s="2">
        <f>IFERROR(__xludf.DUMMYFUNCTION("""COMPUTED_VALUE"""),9.0)</f>
        <v>9</v>
      </c>
      <c r="R1131" s="2">
        <f>IFERROR(__xludf.DUMMYFUNCTION("""COMPUTED_VALUE"""),2025.0)</f>
        <v>2025</v>
      </c>
      <c r="S1131" s="2" t="str">
        <f>IFERROR(__xludf.DUMMYFUNCTION("""COMPUTED_VALUE"""),"Digizag")</f>
        <v>Digizag</v>
      </c>
      <c r="T1131" s="2" t="str">
        <f>IFERROR(__xludf.DUMMYFUNCTION("""COMPUTED_VALUE"""),"Digizag")</f>
        <v>Digizag</v>
      </c>
      <c r="U1131" s="5">
        <f>IFERROR(__xludf.DUMMYFUNCTION("""COMPUTED_VALUE"""),62.23743282)</f>
        <v>62.23743282</v>
      </c>
      <c r="V1131" s="2"/>
      <c r="W1131" s="2"/>
      <c r="X1131" s="2"/>
      <c r="Y1131" s="2"/>
      <c r="Z1131" s="2"/>
    </row>
    <row r="1132">
      <c r="A1132" s="6">
        <f>IFERROR(__xludf.DUMMYFUNCTION("""COMPUTED_VALUE"""),45918.665555555555)</f>
        <v>45918.66556</v>
      </c>
      <c r="B1132" s="2" t="str">
        <f>IFERROR(__xludf.DUMMYFUNCTION("""COMPUTED_VALUE"""),"September")</f>
        <v>September</v>
      </c>
      <c r="C1132" s="3">
        <f>IFERROR(__xludf.DUMMYFUNCTION("""COMPUTED_VALUE"""),88238.0)</f>
        <v>88238</v>
      </c>
      <c r="D1132" s="2" t="str">
        <f>IFERROR(__xludf.DUMMYFUNCTION("""COMPUTED_VALUE"""),"CC22")</f>
        <v>CC22</v>
      </c>
      <c r="E1132" s="2" t="str">
        <f>IFERROR(__xludf.DUMMYFUNCTION("""COMPUTED_VALUE"""),"Imported from file Digizag.xlsx")</f>
        <v>Imported from file Digizag.xlsx</v>
      </c>
      <c r="F1132" s="2" t="str">
        <f>IFERROR(__xludf.DUMMYFUNCTION("""COMPUTED_VALUE"""),"NUT715145")</f>
        <v>NUT715145</v>
      </c>
      <c r="G1132" s="2" t="str">
        <f>IFERROR(__xludf.DUMMYFUNCTION("""COMPUTED_VALUE"""),"Kuwait")</f>
        <v>Kuwait</v>
      </c>
      <c r="H1132" s="4">
        <f>IFERROR(__xludf.DUMMYFUNCTION("""COMPUTED_VALUE"""),17.5)</f>
        <v>17.5</v>
      </c>
      <c r="I1132" s="3">
        <f>IFERROR(__xludf.DUMMYFUNCTION("""COMPUTED_VALUE"""),0.0)</f>
        <v>0</v>
      </c>
      <c r="J1132" s="4">
        <f>IFERROR(__xludf.DUMMYFUNCTION("""COMPUTED_VALUE"""),1.75)</f>
        <v>1.75</v>
      </c>
      <c r="K1132" s="2"/>
      <c r="L1132" s="2" t="str">
        <f>IFERROR(__xludf.DUMMYFUNCTION("""COMPUTED_VALUE"""),"Delivered")</f>
        <v>Delivered</v>
      </c>
      <c r="M1132" s="2" t="str">
        <f>IFERROR(__xludf.DUMMYFUNCTION("""COMPUTED_VALUE"""),"KD")</f>
        <v>KD</v>
      </c>
      <c r="N1132" s="2" t="str">
        <f>IFERROR(__xludf.DUMMYFUNCTION("""COMPUTED_VALUE"""),"Credit, Debit, Knet")</f>
        <v>Credit, Debit, Knet</v>
      </c>
      <c r="O1132" s="4">
        <f>IFERROR(__xludf.DUMMYFUNCTION("""COMPUTED_VALUE"""),0.0)</f>
        <v>0</v>
      </c>
      <c r="P1132" s="2">
        <f>IFERROR(__xludf.DUMMYFUNCTION("""COMPUTED_VALUE"""),18.0)</f>
        <v>18</v>
      </c>
      <c r="Q1132" s="2">
        <f>IFERROR(__xludf.DUMMYFUNCTION("""COMPUTED_VALUE"""),9.0)</f>
        <v>9</v>
      </c>
      <c r="R1132" s="2">
        <f>IFERROR(__xludf.DUMMYFUNCTION("""COMPUTED_VALUE"""),2025.0)</f>
        <v>2025</v>
      </c>
      <c r="S1132" s="2" t="str">
        <f>IFERROR(__xludf.DUMMYFUNCTION("""COMPUTED_VALUE"""),"Digizag")</f>
        <v>Digizag</v>
      </c>
      <c r="T1132" s="2" t="str">
        <f>IFERROR(__xludf.DUMMYFUNCTION("""COMPUTED_VALUE"""),"Digizag")</f>
        <v>Digizag</v>
      </c>
      <c r="U1132" s="5">
        <f>IFERROR(__xludf.DUMMYFUNCTION("""COMPUTED_VALUE"""),57.060849999999995)</f>
        <v>57.06085</v>
      </c>
      <c r="V1132" s="2"/>
      <c r="W1132" s="2"/>
      <c r="X1132" s="2"/>
      <c r="Y1132" s="2"/>
      <c r="Z1132" s="2"/>
    </row>
    <row r="1133">
      <c r="A1133" s="6">
        <f>IFERROR(__xludf.DUMMYFUNCTION("""COMPUTED_VALUE"""),45918.87871527777)</f>
        <v>45918.87872</v>
      </c>
      <c r="B1133" s="2" t="str">
        <f>IFERROR(__xludf.DUMMYFUNCTION("""COMPUTED_VALUE"""),"September")</f>
        <v>September</v>
      </c>
      <c r="C1133" s="3">
        <f>IFERROR(__xludf.DUMMYFUNCTION("""COMPUTED_VALUE"""),124512.0)</f>
        <v>124512</v>
      </c>
      <c r="D1133" s="2" t="str">
        <f>IFERROR(__xludf.DUMMYFUNCTION("""COMPUTED_VALUE"""),"DB7")</f>
        <v>DB7</v>
      </c>
      <c r="E1133" s="2" t="str">
        <f>IFERROR(__xludf.DUMMYFUNCTION("""COMPUTED_VALUE"""),"Digizag")</f>
        <v>Digizag</v>
      </c>
      <c r="F1133" s="2" t="str">
        <f>IFERROR(__xludf.DUMMYFUNCTION("""COMPUTED_VALUE"""),"CQY675774")</f>
        <v>CQY675774</v>
      </c>
      <c r="G1133" s="2" t="str">
        <f>IFERROR(__xludf.DUMMYFUNCTION("""COMPUTED_VALUE"""),"Kuwait")</f>
        <v>Kuwait</v>
      </c>
      <c r="H1133" s="4">
        <f>IFERROR(__xludf.DUMMYFUNCTION("""COMPUTED_VALUE"""),14.9)</f>
        <v>14.9</v>
      </c>
      <c r="I1133" s="3">
        <f>IFERROR(__xludf.DUMMYFUNCTION("""COMPUTED_VALUE"""),0.0)</f>
        <v>0</v>
      </c>
      <c r="J1133" s="4">
        <f>IFERROR(__xludf.DUMMYFUNCTION("""COMPUTED_VALUE"""),1.49)</f>
        <v>1.49</v>
      </c>
      <c r="K1133" s="2"/>
      <c r="L1133" s="2" t="str">
        <f>IFERROR(__xludf.DUMMYFUNCTION("""COMPUTED_VALUE"""),"Delivered")</f>
        <v>Delivered</v>
      </c>
      <c r="M1133" s="2" t="str">
        <f>IFERROR(__xludf.DUMMYFUNCTION("""COMPUTED_VALUE"""),"KD")</f>
        <v>KD</v>
      </c>
      <c r="N1133" s="2" t="str">
        <f>IFERROR(__xludf.DUMMYFUNCTION("""COMPUTED_VALUE"""),"Credit, Debit, Knet")</f>
        <v>Credit, Debit, Knet</v>
      </c>
      <c r="O1133" s="4">
        <f>IFERROR(__xludf.DUMMYFUNCTION("""COMPUTED_VALUE"""),0.0)</f>
        <v>0</v>
      </c>
      <c r="P1133" s="2">
        <f>IFERROR(__xludf.DUMMYFUNCTION("""COMPUTED_VALUE"""),18.0)</f>
        <v>18</v>
      </c>
      <c r="Q1133" s="2">
        <f>IFERROR(__xludf.DUMMYFUNCTION("""COMPUTED_VALUE"""),9.0)</f>
        <v>9</v>
      </c>
      <c r="R1133" s="2">
        <f>IFERROR(__xludf.DUMMYFUNCTION("""COMPUTED_VALUE"""),2025.0)</f>
        <v>2025</v>
      </c>
      <c r="S1133" s="2" t="str">
        <f>IFERROR(__xludf.DUMMYFUNCTION("""COMPUTED_VALUE"""),"Digizag")</f>
        <v>Digizag</v>
      </c>
      <c r="T1133" s="2" t="str">
        <f>IFERROR(__xludf.DUMMYFUNCTION("""COMPUTED_VALUE"""),"Digizag")</f>
        <v>Digizag</v>
      </c>
      <c r="U1133" s="5">
        <f>IFERROR(__xludf.DUMMYFUNCTION("""COMPUTED_VALUE"""),48.583238)</f>
        <v>48.583238</v>
      </c>
      <c r="V1133" s="2"/>
      <c r="W1133" s="2"/>
      <c r="X1133" s="2"/>
      <c r="Y1133" s="2"/>
      <c r="Z1133" s="2"/>
    </row>
    <row r="1134">
      <c r="A1134" s="6">
        <f>IFERROR(__xludf.DUMMYFUNCTION("""COMPUTED_VALUE"""),45918.92880787037)</f>
        <v>45918.92881</v>
      </c>
      <c r="B1134" s="2" t="str">
        <f>IFERROR(__xludf.DUMMYFUNCTION("""COMPUTED_VALUE"""),"September")</f>
        <v>September</v>
      </c>
      <c r="C1134" s="3">
        <f>IFERROR(__xludf.DUMMYFUNCTION("""COMPUTED_VALUE"""),245629.0)</f>
        <v>245629</v>
      </c>
      <c r="D1134" s="2" t="str">
        <f>IFERROR(__xludf.DUMMYFUNCTION("""COMPUTED_VALUE"""),"JM")</f>
        <v>JM</v>
      </c>
      <c r="E1134" s="2" t="str">
        <f>IFERROR(__xludf.DUMMYFUNCTION("""COMPUTED_VALUE"""),"DigiZag")</f>
        <v>DigiZag</v>
      </c>
      <c r="F1134" s="2" t="str">
        <f>IFERROR(__xludf.DUMMYFUNCTION("""COMPUTED_VALUE"""),"WRP456562")</f>
        <v>WRP456562</v>
      </c>
      <c r="G1134" s="2" t="str">
        <f>IFERROR(__xludf.DUMMYFUNCTION("""COMPUTED_VALUE"""),"Kingdom of Saudi Arabia")</f>
        <v>Kingdom of Saudi Arabia</v>
      </c>
      <c r="H1134" s="4">
        <f>IFERROR(__xludf.DUMMYFUNCTION("""COMPUTED_VALUE"""),89.09)</f>
        <v>89.09</v>
      </c>
      <c r="I1134" s="3">
        <f>IFERROR(__xludf.DUMMYFUNCTION("""COMPUTED_VALUE"""),0.0)</f>
        <v>0</v>
      </c>
      <c r="J1134" s="4">
        <f>IFERROR(__xludf.DUMMYFUNCTION("""COMPUTED_VALUE"""),22.27)</f>
        <v>22.27</v>
      </c>
      <c r="K1134" s="2"/>
      <c r="L1134" s="2" t="str">
        <f>IFERROR(__xludf.DUMMYFUNCTION("""COMPUTED_VALUE"""),"Delivered")</f>
        <v>Delivered</v>
      </c>
      <c r="M1134" s="2" t="str">
        <f>IFERROR(__xludf.DUMMYFUNCTION("""COMPUTED_VALUE"""),"")</f>
        <v></v>
      </c>
      <c r="N1134" s="2" t="str">
        <f>IFERROR(__xludf.DUMMYFUNCTION("""COMPUTED_VALUE"""),"Credit, Debit, Apple Pay")</f>
        <v>Credit, Debit, Apple Pay</v>
      </c>
      <c r="O1134" s="4">
        <f>IFERROR(__xludf.DUMMYFUNCTION("""COMPUTED_VALUE"""),0.0)</f>
        <v>0</v>
      </c>
      <c r="P1134" s="2">
        <f>IFERROR(__xludf.DUMMYFUNCTION("""COMPUTED_VALUE"""),18.0)</f>
        <v>18</v>
      </c>
      <c r="Q1134" s="2">
        <f>IFERROR(__xludf.DUMMYFUNCTION("""COMPUTED_VALUE"""),9.0)</f>
        <v>9</v>
      </c>
      <c r="R1134" s="2">
        <f>IFERROR(__xludf.DUMMYFUNCTION("""COMPUTED_VALUE"""),2025.0)</f>
        <v>2025</v>
      </c>
      <c r="S1134" s="2" t="str">
        <f>IFERROR(__xludf.DUMMYFUNCTION("""COMPUTED_VALUE"""),"Digizag")</f>
        <v>Digizag</v>
      </c>
      <c r="T1134" s="2" t="str">
        <f>IFERROR(__xludf.DUMMYFUNCTION("""COMPUTED_VALUE"""),"Digizag")</f>
        <v>Digizag</v>
      </c>
      <c r="U1134" s="5">
        <f>IFERROR(__xludf.DUMMYFUNCTION("""COMPUTED_VALUE"""),23.755496238140005)</f>
        <v>23.75549624</v>
      </c>
      <c r="V1134" s="2"/>
      <c r="W1134" s="2"/>
      <c r="X1134" s="2"/>
      <c r="Y1134" s="2"/>
      <c r="Z1134" s="2"/>
    </row>
    <row r="1135">
      <c r="A1135" s="6">
        <f>IFERROR(__xludf.DUMMYFUNCTION("""COMPUTED_VALUE"""),45919.1937037037)</f>
        <v>45919.1937</v>
      </c>
      <c r="B1135" s="2" t="str">
        <f>IFERROR(__xludf.DUMMYFUNCTION("""COMPUTED_VALUE"""),"September")</f>
        <v>September</v>
      </c>
      <c r="C1135" s="3">
        <f>IFERROR(__xludf.DUMMYFUNCTION("""COMPUTED_VALUE"""),577831.0)</f>
        <v>577831</v>
      </c>
      <c r="D1135" s="2" t="str">
        <f>IFERROR(__xludf.DUMMYFUNCTION("""COMPUTED_VALUE"""),"CC22")</f>
        <v>CC22</v>
      </c>
      <c r="E1135" s="2" t="str">
        <f>IFERROR(__xludf.DUMMYFUNCTION("""COMPUTED_VALUE"""),"Imported from file Digizag.xlsx")</f>
        <v>Imported from file Digizag.xlsx</v>
      </c>
      <c r="F1135" s="2" t="str">
        <f>IFERROR(__xludf.DUMMYFUNCTION("""COMPUTED_VALUE"""),"VGD281672")</f>
        <v>VGD281672</v>
      </c>
      <c r="G1135" s="2" t="str">
        <f>IFERROR(__xludf.DUMMYFUNCTION("""COMPUTED_VALUE"""),"UAE")</f>
        <v>UAE</v>
      </c>
      <c r="H1135" s="4">
        <f>IFERROR(__xludf.DUMMYFUNCTION("""COMPUTED_VALUE"""),479.77)</f>
        <v>479.77</v>
      </c>
      <c r="I1135" s="3">
        <f>IFERROR(__xludf.DUMMYFUNCTION("""COMPUTED_VALUE"""),0.0)</f>
        <v>0</v>
      </c>
      <c r="J1135" s="4">
        <f>IFERROR(__xludf.DUMMYFUNCTION("""COMPUTED_VALUE"""),47.97)</f>
        <v>47.97</v>
      </c>
      <c r="K1135" s="2"/>
      <c r="L1135" s="2" t="str">
        <f>IFERROR(__xludf.DUMMYFUNCTION("""COMPUTED_VALUE"""),"Delivered")</f>
        <v>Delivered</v>
      </c>
      <c r="M1135" s="2" t="str">
        <f>IFERROR(__xludf.DUMMYFUNCTION("""COMPUTED_VALUE"""),"")</f>
        <v></v>
      </c>
      <c r="N1135" s="2" t="str">
        <f>IFERROR(__xludf.DUMMYFUNCTION("""COMPUTED_VALUE"""),"Cash")</f>
        <v>Cash</v>
      </c>
      <c r="O1135" s="4">
        <f>IFERROR(__xludf.DUMMYFUNCTION("""COMPUTED_VALUE"""),0.0)</f>
        <v>0</v>
      </c>
      <c r="P1135" s="2">
        <f>IFERROR(__xludf.DUMMYFUNCTION("""COMPUTED_VALUE"""),19.0)</f>
        <v>19</v>
      </c>
      <c r="Q1135" s="2">
        <f>IFERROR(__xludf.DUMMYFUNCTION("""COMPUTED_VALUE"""),9.0)</f>
        <v>9</v>
      </c>
      <c r="R1135" s="2">
        <f>IFERROR(__xludf.DUMMYFUNCTION("""COMPUTED_VALUE"""),2025.0)</f>
        <v>2025</v>
      </c>
      <c r="S1135" s="2" t="str">
        <f>IFERROR(__xludf.DUMMYFUNCTION("""COMPUTED_VALUE"""),"Digizag")</f>
        <v>Digizag</v>
      </c>
      <c r="T1135" s="2" t="str">
        <f>IFERROR(__xludf.DUMMYFUNCTION("""COMPUTED_VALUE"""),"Digizag")</f>
        <v>Digizag</v>
      </c>
      <c r="U1135" s="5">
        <f>IFERROR(__xludf.DUMMYFUNCTION("""COMPUTED_VALUE"""),130.63852980206)</f>
        <v>130.6385298</v>
      </c>
      <c r="V1135" s="2"/>
      <c r="W1135" s="2"/>
      <c r="X1135" s="2"/>
      <c r="Y1135" s="2"/>
      <c r="Z1135" s="2"/>
    </row>
    <row r="1136">
      <c r="A1136" s="6">
        <f>IFERROR(__xludf.DUMMYFUNCTION("""COMPUTED_VALUE"""),45919.29048611111)</f>
        <v>45919.29049</v>
      </c>
      <c r="B1136" s="2" t="str">
        <f>IFERROR(__xludf.DUMMYFUNCTION("""COMPUTED_VALUE"""),"September")</f>
        <v>September</v>
      </c>
      <c r="C1136" s="3">
        <f>IFERROR(__xludf.DUMMYFUNCTION("""COMPUTED_VALUE"""),575178.0)</f>
        <v>575178</v>
      </c>
      <c r="D1136" s="2" t="str">
        <f>IFERROR(__xludf.DUMMYFUNCTION("""COMPUTED_VALUE"""),"MNN27")</f>
        <v>MNN27</v>
      </c>
      <c r="E1136" s="2" t="str">
        <f>IFERROR(__xludf.DUMMYFUNCTION("""COMPUTED_VALUE"""),"Imported from file DigiZag Codes 25Feb25.xlsx")</f>
        <v>Imported from file DigiZag Codes 25Feb25.xlsx</v>
      </c>
      <c r="F1136" s="2" t="str">
        <f>IFERROR(__xludf.DUMMYFUNCTION("""COMPUTED_VALUE"""),"QRQ221229")</f>
        <v>QRQ221229</v>
      </c>
      <c r="G1136" s="2" t="str">
        <f>IFERROR(__xludf.DUMMYFUNCTION("""COMPUTED_VALUE"""),"Kuwait")</f>
        <v>Kuwait</v>
      </c>
      <c r="H1136" s="4">
        <f>IFERROR(__xludf.DUMMYFUNCTION("""COMPUTED_VALUE"""),9.85)</f>
        <v>9.85</v>
      </c>
      <c r="I1136" s="3">
        <f>IFERROR(__xludf.DUMMYFUNCTION("""COMPUTED_VALUE"""),0.0)</f>
        <v>0</v>
      </c>
      <c r="J1136" s="4">
        <f>IFERROR(__xludf.DUMMYFUNCTION("""COMPUTED_VALUE"""),0.985)</f>
        <v>0.985</v>
      </c>
      <c r="K1136" s="2"/>
      <c r="L1136" s="2" t="str">
        <f>IFERROR(__xludf.DUMMYFUNCTION("""COMPUTED_VALUE"""),"Delivered")</f>
        <v>Delivered</v>
      </c>
      <c r="M1136" s="2" t="str">
        <f>IFERROR(__xludf.DUMMYFUNCTION("""COMPUTED_VALUE"""),"KD")</f>
        <v>KD</v>
      </c>
      <c r="N1136" s="2" t="str">
        <f>IFERROR(__xludf.DUMMYFUNCTION("""COMPUTED_VALUE"""),"Credit, Debit, Knet")</f>
        <v>Credit, Debit, Knet</v>
      </c>
      <c r="O1136" s="4">
        <f>IFERROR(__xludf.DUMMYFUNCTION("""COMPUTED_VALUE"""),0.0)</f>
        <v>0</v>
      </c>
      <c r="P1136" s="2">
        <f>IFERROR(__xludf.DUMMYFUNCTION("""COMPUTED_VALUE"""),19.0)</f>
        <v>19</v>
      </c>
      <c r="Q1136" s="2">
        <f>IFERROR(__xludf.DUMMYFUNCTION("""COMPUTED_VALUE"""),9.0)</f>
        <v>9</v>
      </c>
      <c r="R1136" s="2">
        <f>IFERROR(__xludf.DUMMYFUNCTION("""COMPUTED_VALUE"""),2025.0)</f>
        <v>2025</v>
      </c>
      <c r="S1136" s="2" t="str">
        <f>IFERROR(__xludf.DUMMYFUNCTION("""COMPUTED_VALUE"""),"Digizag")</f>
        <v>Digizag</v>
      </c>
      <c r="T1136" s="2" t="str">
        <f>IFERROR(__xludf.DUMMYFUNCTION("""COMPUTED_VALUE"""),"Digizag")</f>
        <v>Digizag</v>
      </c>
      <c r="U1136" s="5">
        <f>IFERROR(__xludf.DUMMYFUNCTION("""COMPUTED_VALUE"""),32.117107)</f>
        <v>32.117107</v>
      </c>
      <c r="V1136" s="2"/>
      <c r="W1136" s="2"/>
      <c r="X1136" s="2"/>
      <c r="Y1136" s="2"/>
      <c r="Z1136" s="2"/>
    </row>
    <row r="1137">
      <c r="A1137" s="6">
        <f>IFERROR(__xludf.DUMMYFUNCTION("""COMPUTED_VALUE"""),45919.308854166666)</f>
        <v>45919.30885</v>
      </c>
      <c r="B1137" s="2" t="str">
        <f>IFERROR(__xludf.DUMMYFUNCTION("""COMPUTED_VALUE"""),"September")</f>
        <v>September</v>
      </c>
      <c r="C1137" s="3">
        <f>IFERROR(__xludf.DUMMYFUNCTION("""COMPUTED_VALUE"""),785408.0)</f>
        <v>785408</v>
      </c>
      <c r="D1137" s="2" t="str">
        <f>IFERROR(__xludf.DUMMYFUNCTION("""COMPUTED_VALUE"""),"CC22")</f>
        <v>CC22</v>
      </c>
      <c r="E1137" s="2" t="str">
        <f>IFERROR(__xludf.DUMMYFUNCTION("""COMPUTED_VALUE"""),"Imported from file Digizag.xlsx")</f>
        <v>Imported from file Digizag.xlsx</v>
      </c>
      <c r="F1137" s="2" t="str">
        <f>IFERROR(__xludf.DUMMYFUNCTION("""COMPUTED_VALUE"""),"QTE639045")</f>
        <v>QTE639045</v>
      </c>
      <c r="G1137" s="2" t="str">
        <f>IFERROR(__xludf.DUMMYFUNCTION("""COMPUTED_VALUE"""),"Kingdom of Saudi Arabia")</f>
        <v>Kingdom of Saudi Arabia</v>
      </c>
      <c r="H1137" s="4">
        <f>IFERROR(__xludf.DUMMYFUNCTION("""COMPUTED_VALUE"""),242.61)</f>
        <v>242.61</v>
      </c>
      <c r="I1137" s="3">
        <f>IFERROR(__xludf.DUMMYFUNCTION("""COMPUTED_VALUE"""),0.0)</f>
        <v>0</v>
      </c>
      <c r="J1137" s="4">
        <f>IFERROR(__xludf.DUMMYFUNCTION("""COMPUTED_VALUE"""),30.0)</f>
        <v>30</v>
      </c>
      <c r="K1137" s="2"/>
      <c r="L1137" s="2" t="str">
        <f>IFERROR(__xludf.DUMMYFUNCTION("""COMPUTED_VALUE"""),"Delivered")</f>
        <v>Delivered</v>
      </c>
      <c r="M1137" s="2" t="str">
        <f>IFERROR(__xludf.DUMMYFUNCTION("""COMPUTED_VALUE"""),"")</f>
        <v></v>
      </c>
      <c r="N1137" s="2" t="str">
        <f>IFERROR(__xludf.DUMMYFUNCTION("""COMPUTED_VALUE"""),"Credit, Debit, Apple Pay")</f>
        <v>Credit, Debit, Apple Pay</v>
      </c>
      <c r="O1137" s="4">
        <f>IFERROR(__xludf.DUMMYFUNCTION("""COMPUTED_VALUE"""),0.0)</f>
        <v>0</v>
      </c>
      <c r="P1137" s="2">
        <f>IFERROR(__xludf.DUMMYFUNCTION("""COMPUTED_VALUE"""),19.0)</f>
        <v>19</v>
      </c>
      <c r="Q1137" s="2">
        <f>IFERROR(__xludf.DUMMYFUNCTION("""COMPUTED_VALUE"""),9.0)</f>
        <v>9</v>
      </c>
      <c r="R1137" s="2">
        <f>IFERROR(__xludf.DUMMYFUNCTION("""COMPUTED_VALUE"""),2025.0)</f>
        <v>2025</v>
      </c>
      <c r="S1137" s="2" t="str">
        <f>IFERROR(__xludf.DUMMYFUNCTION("""COMPUTED_VALUE"""),"Digizag")</f>
        <v>Digizag</v>
      </c>
      <c r="T1137" s="2" t="str">
        <f>IFERROR(__xludf.DUMMYFUNCTION("""COMPUTED_VALUE"""),"Digizag")</f>
        <v>Digizag</v>
      </c>
      <c r="U1137" s="5">
        <f>IFERROR(__xludf.DUMMYFUNCTION("""COMPUTED_VALUE"""),64.69099722006001)</f>
        <v>64.69099722</v>
      </c>
      <c r="V1137" s="2"/>
      <c r="W1137" s="2"/>
      <c r="X1137" s="2"/>
      <c r="Y1137" s="2"/>
      <c r="Z1137" s="2"/>
    </row>
    <row r="1138">
      <c r="A1138" s="6">
        <f>IFERROR(__xludf.DUMMYFUNCTION("""COMPUTED_VALUE"""),45919.54880787037)</f>
        <v>45919.54881</v>
      </c>
      <c r="B1138" s="2" t="str">
        <f>IFERROR(__xludf.DUMMYFUNCTION("""COMPUTED_VALUE"""),"September")</f>
        <v>September</v>
      </c>
      <c r="C1138" s="3">
        <f>IFERROR(__xludf.DUMMYFUNCTION("""COMPUTED_VALUE"""),218929.0)</f>
        <v>218929</v>
      </c>
      <c r="D1138" s="2" t="str">
        <f>IFERROR(__xludf.DUMMYFUNCTION("""COMPUTED_VALUE"""),"JM")</f>
        <v>JM</v>
      </c>
      <c r="E1138" s="2" t="str">
        <f>IFERROR(__xludf.DUMMYFUNCTION("""COMPUTED_VALUE"""),"DigiZag")</f>
        <v>DigiZag</v>
      </c>
      <c r="F1138" s="2" t="str">
        <f>IFERROR(__xludf.DUMMYFUNCTION("""COMPUTED_VALUE"""),"BHB404484")</f>
        <v>BHB404484</v>
      </c>
      <c r="G1138" s="2" t="str">
        <f>IFERROR(__xludf.DUMMYFUNCTION("""COMPUTED_VALUE"""),"UAE")</f>
        <v>UAE</v>
      </c>
      <c r="H1138" s="4">
        <f>IFERROR(__xludf.DUMMYFUNCTION("""COMPUTED_VALUE"""),479.8)</f>
        <v>479.8</v>
      </c>
      <c r="I1138" s="3">
        <f>IFERROR(__xludf.DUMMYFUNCTION("""COMPUTED_VALUE"""),0.0)</f>
        <v>0</v>
      </c>
      <c r="J1138" s="4">
        <f>IFERROR(__xludf.DUMMYFUNCTION("""COMPUTED_VALUE"""),47.98)</f>
        <v>47.98</v>
      </c>
      <c r="K1138" s="2"/>
      <c r="L1138" s="2" t="str">
        <f>IFERROR(__xludf.DUMMYFUNCTION("""COMPUTED_VALUE"""),"Delivered")</f>
        <v>Delivered</v>
      </c>
      <c r="M1138" s="2" t="str">
        <f>IFERROR(__xludf.DUMMYFUNCTION("""COMPUTED_VALUE"""),"")</f>
        <v></v>
      </c>
      <c r="N1138" s="2" t="str">
        <f>IFERROR(__xludf.DUMMYFUNCTION("""COMPUTED_VALUE"""),"Credit, Debit , Apple Pay")</f>
        <v>Credit, Debit , Apple Pay</v>
      </c>
      <c r="O1138" s="4">
        <f>IFERROR(__xludf.DUMMYFUNCTION("""COMPUTED_VALUE"""),0.0)</f>
        <v>0</v>
      </c>
      <c r="P1138" s="2">
        <f>IFERROR(__xludf.DUMMYFUNCTION("""COMPUTED_VALUE"""),19.0)</f>
        <v>19</v>
      </c>
      <c r="Q1138" s="2">
        <f>IFERROR(__xludf.DUMMYFUNCTION("""COMPUTED_VALUE"""),9.0)</f>
        <v>9</v>
      </c>
      <c r="R1138" s="2">
        <f>IFERROR(__xludf.DUMMYFUNCTION("""COMPUTED_VALUE"""),2025.0)</f>
        <v>2025</v>
      </c>
      <c r="S1138" s="2" t="str">
        <f>IFERROR(__xludf.DUMMYFUNCTION("""COMPUTED_VALUE"""),"Digizag")</f>
        <v>Digizag</v>
      </c>
      <c r="T1138" s="2" t="str">
        <f>IFERROR(__xludf.DUMMYFUNCTION("""COMPUTED_VALUE"""),"Digizag")</f>
        <v>Digizag</v>
      </c>
      <c r="U1138" s="5">
        <f>IFERROR(__xludf.DUMMYFUNCTION("""COMPUTED_VALUE"""),130.6466986244)</f>
        <v>130.6466986</v>
      </c>
      <c r="V1138" s="2"/>
      <c r="W1138" s="2"/>
      <c r="X1138" s="2"/>
      <c r="Y1138" s="2"/>
      <c r="Z1138" s="2"/>
    </row>
    <row r="1139">
      <c r="A1139" s="6">
        <f>IFERROR(__xludf.DUMMYFUNCTION("""COMPUTED_VALUE"""),45919.57853009259)</f>
        <v>45919.57853</v>
      </c>
      <c r="B1139" s="2" t="str">
        <f>IFERROR(__xludf.DUMMYFUNCTION("""COMPUTED_VALUE"""),"September")</f>
        <v>September</v>
      </c>
      <c r="C1139" s="3">
        <f>IFERROR(__xludf.DUMMYFUNCTION("""COMPUTED_VALUE"""),189339.0)</f>
        <v>189339</v>
      </c>
      <c r="D1139" s="2" t="str">
        <f>IFERROR(__xludf.DUMMYFUNCTION("""COMPUTED_VALUE"""),"DB7")</f>
        <v>DB7</v>
      </c>
      <c r="E1139" s="2" t="str">
        <f>IFERROR(__xludf.DUMMYFUNCTION("""COMPUTED_VALUE"""),"Digizag")</f>
        <v>Digizag</v>
      </c>
      <c r="F1139" s="2" t="str">
        <f>IFERROR(__xludf.DUMMYFUNCTION("""COMPUTED_VALUE"""),"CUU118686")</f>
        <v>CUU118686</v>
      </c>
      <c r="G1139" s="2" t="str">
        <f>IFERROR(__xludf.DUMMYFUNCTION("""COMPUTED_VALUE"""),"Kuwait")</f>
        <v>Kuwait</v>
      </c>
      <c r="H1139" s="4">
        <f>IFERROR(__xludf.DUMMYFUNCTION("""COMPUTED_VALUE"""),27.1)</f>
        <v>27.1</v>
      </c>
      <c r="I1139" s="3">
        <f>IFERROR(__xludf.DUMMYFUNCTION("""COMPUTED_VALUE"""),0.0)</f>
        <v>0</v>
      </c>
      <c r="J1139" s="4">
        <f>IFERROR(__xludf.DUMMYFUNCTION("""COMPUTED_VALUE"""),2.71)</f>
        <v>2.71</v>
      </c>
      <c r="K1139" s="2"/>
      <c r="L1139" s="2" t="str">
        <f>IFERROR(__xludf.DUMMYFUNCTION("""COMPUTED_VALUE"""),"Delivered")</f>
        <v>Delivered</v>
      </c>
      <c r="M1139" s="2" t="str">
        <f>IFERROR(__xludf.DUMMYFUNCTION("""COMPUTED_VALUE"""),"KD")</f>
        <v>KD</v>
      </c>
      <c r="N1139" s="2" t="str">
        <f>IFERROR(__xludf.DUMMYFUNCTION("""COMPUTED_VALUE"""),"Credit, Debit, Knet")</f>
        <v>Credit, Debit, Knet</v>
      </c>
      <c r="O1139" s="4">
        <f>IFERROR(__xludf.DUMMYFUNCTION("""COMPUTED_VALUE"""),0.0)</f>
        <v>0</v>
      </c>
      <c r="P1139" s="2">
        <f>IFERROR(__xludf.DUMMYFUNCTION("""COMPUTED_VALUE"""),19.0)</f>
        <v>19</v>
      </c>
      <c r="Q1139" s="2">
        <f>IFERROR(__xludf.DUMMYFUNCTION("""COMPUTED_VALUE"""),9.0)</f>
        <v>9</v>
      </c>
      <c r="R1139" s="2">
        <f>IFERROR(__xludf.DUMMYFUNCTION("""COMPUTED_VALUE"""),2025.0)</f>
        <v>2025</v>
      </c>
      <c r="S1139" s="2" t="str">
        <f>IFERROR(__xludf.DUMMYFUNCTION("""COMPUTED_VALUE"""),"Digizag")</f>
        <v>Digizag</v>
      </c>
      <c r="T1139" s="2" t="str">
        <f>IFERROR(__xludf.DUMMYFUNCTION("""COMPUTED_VALUE"""),"Digizag")</f>
        <v>Digizag</v>
      </c>
      <c r="U1139" s="5">
        <f>IFERROR(__xludf.DUMMYFUNCTION("""COMPUTED_VALUE"""),88.362802)</f>
        <v>88.362802</v>
      </c>
      <c r="V1139" s="2"/>
      <c r="W1139" s="2"/>
      <c r="X1139" s="2"/>
      <c r="Y1139" s="2"/>
      <c r="Z1139" s="2"/>
    </row>
    <row r="1140">
      <c r="A1140" s="6">
        <f>IFERROR(__xludf.DUMMYFUNCTION("""COMPUTED_VALUE"""),45919.695451388885)</f>
        <v>45919.69545</v>
      </c>
      <c r="B1140" s="2" t="str">
        <f>IFERROR(__xludf.DUMMYFUNCTION("""COMPUTED_VALUE"""),"September")</f>
        <v>September</v>
      </c>
      <c r="C1140" s="3">
        <f>IFERROR(__xludf.DUMMYFUNCTION("""COMPUTED_VALUE"""),97627.0)</f>
        <v>97627</v>
      </c>
      <c r="D1140" s="2" t="str">
        <f>IFERROR(__xludf.DUMMYFUNCTION("""COMPUTED_VALUE"""),"DB7")</f>
        <v>DB7</v>
      </c>
      <c r="E1140" s="2" t="str">
        <f>IFERROR(__xludf.DUMMYFUNCTION("""COMPUTED_VALUE"""),"Digizag")</f>
        <v>Digizag</v>
      </c>
      <c r="F1140" s="2" t="str">
        <f>IFERROR(__xludf.DUMMYFUNCTION("""COMPUTED_VALUE"""),"CLV213419")</f>
        <v>CLV213419</v>
      </c>
      <c r="G1140" s="2" t="str">
        <f>IFERROR(__xludf.DUMMYFUNCTION("""COMPUTED_VALUE"""),"Kingdom of Saudi Arabia")</f>
        <v>Kingdom of Saudi Arabia</v>
      </c>
      <c r="H1140" s="4">
        <f>IFERROR(__xludf.DUMMYFUNCTION("""COMPUTED_VALUE"""),147.0)</f>
        <v>147</v>
      </c>
      <c r="I1140" s="3">
        <f>IFERROR(__xludf.DUMMYFUNCTION("""COMPUTED_VALUE"""),0.0)</f>
        <v>0</v>
      </c>
      <c r="J1140" s="4">
        <f>IFERROR(__xludf.DUMMYFUNCTION("""COMPUTED_VALUE"""),30.0)</f>
        <v>30</v>
      </c>
      <c r="K1140" s="2"/>
      <c r="L1140" s="2" t="str">
        <f>IFERROR(__xludf.DUMMYFUNCTION("""COMPUTED_VALUE"""),"Delivered")</f>
        <v>Delivered</v>
      </c>
      <c r="M1140" s="2" t="str">
        <f>IFERROR(__xludf.DUMMYFUNCTION("""COMPUTED_VALUE"""),"")</f>
        <v></v>
      </c>
      <c r="N1140" s="2" t="str">
        <f>IFERROR(__xludf.DUMMYFUNCTION("""COMPUTED_VALUE"""),"Credit, Debit, Apple Pay")</f>
        <v>Credit, Debit, Apple Pay</v>
      </c>
      <c r="O1140" s="4">
        <f>IFERROR(__xludf.DUMMYFUNCTION("""COMPUTED_VALUE"""),0.0)</f>
        <v>0</v>
      </c>
      <c r="P1140" s="2">
        <f>IFERROR(__xludf.DUMMYFUNCTION("""COMPUTED_VALUE"""),19.0)</f>
        <v>19</v>
      </c>
      <c r="Q1140" s="2">
        <f>IFERROR(__xludf.DUMMYFUNCTION("""COMPUTED_VALUE"""),9.0)</f>
        <v>9</v>
      </c>
      <c r="R1140" s="2">
        <f>IFERROR(__xludf.DUMMYFUNCTION("""COMPUTED_VALUE"""),2025.0)</f>
        <v>2025</v>
      </c>
      <c r="S1140" s="2" t="str">
        <f>IFERROR(__xludf.DUMMYFUNCTION("""COMPUTED_VALUE"""),"Digizag")</f>
        <v>Digizag</v>
      </c>
      <c r="T1140" s="2" t="str">
        <f>IFERROR(__xludf.DUMMYFUNCTION("""COMPUTED_VALUE"""),"Digizag")</f>
        <v>Digizag</v>
      </c>
      <c r="U1140" s="5">
        <f>IFERROR(__xludf.DUMMYFUNCTION("""COMPUTED_VALUE"""),39.196968762000004)</f>
        <v>39.19696876</v>
      </c>
      <c r="V1140" s="2"/>
      <c r="W1140" s="2"/>
      <c r="X1140" s="2"/>
      <c r="Y1140" s="2"/>
      <c r="Z1140" s="2"/>
    </row>
    <row r="1141">
      <c r="A1141" s="6">
        <f>IFERROR(__xludf.DUMMYFUNCTION("""COMPUTED_VALUE"""),45919.86923611111)</f>
        <v>45919.86924</v>
      </c>
      <c r="B1141" s="2" t="str">
        <f>IFERROR(__xludf.DUMMYFUNCTION("""COMPUTED_VALUE"""),"September")</f>
        <v>September</v>
      </c>
      <c r="C1141" s="3">
        <f>IFERROR(__xludf.DUMMYFUNCTION("""COMPUTED_VALUE"""),803196.0)</f>
        <v>803196</v>
      </c>
      <c r="D1141" s="2" t="str">
        <f>IFERROR(__xludf.DUMMYFUNCTION("""COMPUTED_VALUE"""),"ZM22")</f>
        <v>ZM22</v>
      </c>
      <c r="E1141" s="2" t="str">
        <f>IFERROR(__xludf.DUMMYFUNCTION("""COMPUTED_VALUE"""),"Imported from file Digizag.xlsx")</f>
        <v>Imported from file Digizag.xlsx</v>
      </c>
      <c r="F1141" s="2" t="str">
        <f>IFERROR(__xludf.DUMMYFUNCTION("""COMPUTED_VALUE"""),"PZL445906")</f>
        <v>PZL445906</v>
      </c>
      <c r="G1141" s="2" t="str">
        <f>IFERROR(__xludf.DUMMYFUNCTION("""COMPUTED_VALUE"""),"UAE")</f>
        <v>UAE</v>
      </c>
      <c r="H1141" s="4">
        <f>IFERROR(__xludf.DUMMYFUNCTION("""COMPUTED_VALUE"""),109.0)</f>
        <v>109</v>
      </c>
      <c r="I1141" s="3">
        <f>IFERROR(__xludf.DUMMYFUNCTION("""COMPUTED_VALUE"""),0.0)</f>
        <v>0</v>
      </c>
      <c r="J1141" s="4">
        <f>IFERROR(__xludf.DUMMYFUNCTION("""COMPUTED_VALUE"""),10.9)</f>
        <v>10.9</v>
      </c>
      <c r="K1141" s="2"/>
      <c r="L1141" s="2" t="str">
        <f>IFERROR(__xludf.DUMMYFUNCTION("""COMPUTED_VALUE"""),"Delivered")</f>
        <v>Delivered</v>
      </c>
      <c r="M1141" s="2" t="str">
        <f>IFERROR(__xludf.DUMMYFUNCTION("""COMPUTED_VALUE"""),"")</f>
        <v></v>
      </c>
      <c r="N1141" s="2" t="str">
        <f>IFERROR(__xludf.DUMMYFUNCTION("""COMPUTED_VALUE"""),"Credit, Debit , Apple Pay")</f>
        <v>Credit, Debit , Apple Pay</v>
      </c>
      <c r="O1141" s="4">
        <f>IFERROR(__xludf.DUMMYFUNCTION("""COMPUTED_VALUE"""),0.0)</f>
        <v>0</v>
      </c>
      <c r="P1141" s="2">
        <f>IFERROR(__xludf.DUMMYFUNCTION("""COMPUTED_VALUE"""),19.0)</f>
        <v>19</v>
      </c>
      <c r="Q1141" s="2">
        <f>IFERROR(__xludf.DUMMYFUNCTION("""COMPUTED_VALUE"""),9.0)</f>
        <v>9</v>
      </c>
      <c r="R1141" s="2">
        <f>IFERROR(__xludf.DUMMYFUNCTION("""COMPUTED_VALUE"""),2025.0)</f>
        <v>2025</v>
      </c>
      <c r="S1141" s="2" t="str">
        <f>IFERROR(__xludf.DUMMYFUNCTION("""COMPUTED_VALUE"""),"Digizag")</f>
        <v>Digizag</v>
      </c>
      <c r="T1141" s="2" t="str">
        <f>IFERROR(__xludf.DUMMYFUNCTION("""COMPUTED_VALUE"""),"Digizag")</f>
        <v>Digizag</v>
      </c>
      <c r="U1141" s="5">
        <f>IFERROR(__xludf.DUMMYFUNCTION("""COMPUTED_VALUE"""),29.680054502)</f>
        <v>29.6800545</v>
      </c>
      <c r="V1141" s="2"/>
      <c r="W1141" s="2"/>
      <c r="X1141" s="2"/>
      <c r="Y1141" s="2"/>
      <c r="Z1141" s="2"/>
    </row>
    <row r="1142">
      <c r="A1142" s="6">
        <f>IFERROR(__xludf.DUMMYFUNCTION("""COMPUTED_VALUE"""),45920.57040509259)</f>
        <v>45920.57041</v>
      </c>
      <c r="B1142" s="2" t="str">
        <f>IFERROR(__xludf.DUMMYFUNCTION("""COMPUTED_VALUE"""),"September")</f>
        <v>September</v>
      </c>
      <c r="C1142" s="3">
        <f>IFERROR(__xludf.DUMMYFUNCTION("""COMPUTED_VALUE"""),803445.0)</f>
        <v>803445</v>
      </c>
      <c r="D1142" s="2" t="str">
        <f>IFERROR(__xludf.DUMMYFUNCTION("""COMPUTED_VALUE"""),"RR22")</f>
        <v>RR22</v>
      </c>
      <c r="E1142" s="2" t="str">
        <f>IFERROR(__xludf.DUMMYFUNCTION("""COMPUTED_VALUE"""),"Imported from file Digizag.xlsx")</f>
        <v>Imported from file Digizag.xlsx</v>
      </c>
      <c r="F1142" s="2" t="str">
        <f>IFERROR(__xludf.DUMMYFUNCTION("""COMPUTED_VALUE"""),"ARN466368")</f>
        <v>ARN466368</v>
      </c>
      <c r="G1142" s="2" t="str">
        <f>IFERROR(__xludf.DUMMYFUNCTION("""COMPUTED_VALUE"""),"UAE")</f>
        <v>UAE</v>
      </c>
      <c r="H1142" s="4">
        <f>IFERROR(__xludf.DUMMYFUNCTION("""COMPUTED_VALUE"""),1132.3)</f>
        <v>1132.3</v>
      </c>
      <c r="I1142" s="3">
        <f>IFERROR(__xludf.DUMMYFUNCTION("""COMPUTED_VALUE"""),0.0)</f>
        <v>0</v>
      </c>
      <c r="J1142" s="4">
        <f>IFERROR(__xludf.DUMMYFUNCTION("""COMPUTED_VALUE"""),113.23)</f>
        <v>113.23</v>
      </c>
      <c r="K1142" s="2"/>
      <c r="L1142" s="2" t="str">
        <f>IFERROR(__xludf.DUMMYFUNCTION("""COMPUTED_VALUE"""),"Delivered")</f>
        <v>Delivered</v>
      </c>
      <c r="M1142" s="2" t="str">
        <f>IFERROR(__xludf.DUMMYFUNCTION("""COMPUTED_VALUE"""),"")</f>
        <v></v>
      </c>
      <c r="N1142" s="2" t="str">
        <f>IFERROR(__xludf.DUMMYFUNCTION("""COMPUTED_VALUE"""),"Credit, Debit , Apple Pay")</f>
        <v>Credit, Debit , Apple Pay</v>
      </c>
      <c r="O1142" s="4">
        <f>IFERROR(__xludf.DUMMYFUNCTION("""COMPUTED_VALUE"""),0.0)</f>
        <v>0</v>
      </c>
      <c r="P1142" s="2">
        <f>IFERROR(__xludf.DUMMYFUNCTION("""COMPUTED_VALUE"""),20.0)</f>
        <v>20</v>
      </c>
      <c r="Q1142" s="2">
        <f>IFERROR(__xludf.DUMMYFUNCTION("""COMPUTED_VALUE"""),9.0)</f>
        <v>9</v>
      </c>
      <c r="R1142" s="2">
        <f>IFERROR(__xludf.DUMMYFUNCTION("""COMPUTED_VALUE"""),2025.0)</f>
        <v>2025</v>
      </c>
      <c r="S1142" s="2" t="str">
        <f>IFERROR(__xludf.DUMMYFUNCTION("""COMPUTED_VALUE"""),"Digizag")</f>
        <v>Digizag</v>
      </c>
      <c r="T1142" s="2" t="str">
        <f>IFERROR(__xludf.DUMMYFUNCTION("""COMPUTED_VALUE"""),"Digizag")</f>
        <v>Digizag</v>
      </c>
      <c r="U1142" s="5">
        <f>IFERROR(__xludf.DUMMYFUNCTION("""COMPUTED_VALUE"""),308.31858451939996)</f>
        <v>308.3185845</v>
      </c>
      <c r="V1142" s="2"/>
      <c r="W1142" s="2"/>
      <c r="X1142" s="2"/>
      <c r="Y1142" s="2"/>
      <c r="Z1142" s="2"/>
    </row>
    <row r="1143">
      <c r="A1143" s="6">
        <f>IFERROR(__xludf.DUMMYFUNCTION("""COMPUTED_VALUE"""),45920.9393287037)</f>
        <v>45920.93933</v>
      </c>
      <c r="B1143" s="2" t="str">
        <f>IFERROR(__xludf.DUMMYFUNCTION("""COMPUTED_VALUE"""),"September")</f>
        <v>September</v>
      </c>
      <c r="C1143" s="3">
        <f>IFERROR(__xludf.DUMMYFUNCTION("""COMPUTED_VALUE"""),783152.0)</f>
        <v>783152</v>
      </c>
      <c r="D1143" s="2" t="str">
        <f>IFERROR(__xludf.DUMMYFUNCTION("""COMPUTED_VALUE"""),"MNN27")</f>
        <v>MNN27</v>
      </c>
      <c r="E1143" s="2" t="str">
        <f>IFERROR(__xludf.DUMMYFUNCTION("""COMPUTED_VALUE"""),"Imported from file DigiZag Codes 25Feb25.xlsx")</f>
        <v>Imported from file DigiZag Codes 25Feb25.xlsx</v>
      </c>
      <c r="F1143" s="2" t="str">
        <f>IFERROR(__xludf.DUMMYFUNCTION("""COMPUTED_VALUE"""),"WRV471152")</f>
        <v>WRV471152</v>
      </c>
      <c r="G1143" s="2" t="str">
        <f>IFERROR(__xludf.DUMMYFUNCTION("""COMPUTED_VALUE"""),"UAE")</f>
        <v>UAE</v>
      </c>
      <c r="H1143" s="4">
        <f>IFERROR(__xludf.DUMMYFUNCTION("""COMPUTED_VALUE"""),110.0)</f>
        <v>110</v>
      </c>
      <c r="I1143" s="3">
        <f>IFERROR(__xludf.DUMMYFUNCTION("""COMPUTED_VALUE"""),0.0)</f>
        <v>0</v>
      </c>
      <c r="J1143" s="4">
        <f>IFERROR(__xludf.DUMMYFUNCTION("""COMPUTED_VALUE"""),11.0)</f>
        <v>11</v>
      </c>
      <c r="K1143" s="2"/>
      <c r="L1143" s="2" t="str">
        <f>IFERROR(__xludf.DUMMYFUNCTION("""COMPUTED_VALUE"""),"Delivered")</f>
        <v>Delivered</v>
      </c>
      <c r="M1143" s="2" t="str">
        <f>IFERROR(__xludf.DUMMYFUNCTION("""COMPUTED_VALUE"""),"")</f>
        <v></v>
      </c>
      <c r="N1143" s="2" t="str">
        <f>IFERROR(__xludf.DUMMYFUNCTION("""COMPUTED_VALUE"""),"Cash")</f>
        <v>Cash</v>
      </c>
      <c r="O1143" s="4">
        <f>IFERROR(__xludf.DUMMYFUNCTION("""COMPUTED_VALUE"""),0.0)</f>
        <v>0</v>
      </c>
      <c r="P1143" s="2">
        <f>IFERROR(__xludf.DUMMYFUNCTION("""COMPUTED_VALUE"""),20.0)</f>
        <v>20</v>
      </c>
      <c r="Q1143" s="2">
        <f>IFERROR(__xludf.DUMMYFUNCTION("""COMPUTED_VALUE"""),9.0)</f>
        <v>9</v>
      </c>
      <c r="R1143" s="2">
        <f>IFERROR(__xludf.DUMMYFUNCTION("""COMPUTED_VALUE"""),2025.0)</f>
        <v>2025</v>
      </c>
      <c r="S1143" s="2" t="str">
        <f>IFERROR(__xludf.DUMMYFUNCTION("""COMPUTED_VALUE"""),"Digizag")</f>
        <v>Digizag</v>
      </c>
      <c r="T1143" s="2" t="str">
        <f>IFERROR(__xludf.DUMMYFUNCTION("""COMPUTED_VALUE"""),"Digizag")</f>
        <v>Digizag</v>
      </c>
      <c r="U1143" s="5">
        <f>IFERROR(__xludf.DUMMYFUNCTION("""COMPUTED_VALUE"""),29.95234858)</f>
        <v>29.95234858</v>
      </c>
      <c r="V1143" s="2"/>
      <c r="W1143" s="2"/>
      <c r="X1143" s="2"/>
      <c r="Y1143" s="2"/>
      <c r="Z1143" s="2"/>
    </row>
    <row r="1144">
      <c r="A1144" s="6">
        <f>IFERROR(__xludf.DUMMYFUNCTION("""COMPUTED_VALUE"""),45922.56478009259)</f>
        <v>45922.56478</v>
      </c>
      <c r="B1144" s="2" t="str">
        <f>IFERROR(__xludf.DUMMYFUNCTION("""COMPUTED_VALUE"""),"September")</f>
        <v>September</v>
      </c>
      <c r="C1144" s="3">
        <f>IFERROR(__xludf.DUMMYFUNCTION("""COMPUTED_VALUE"""),796075.0)</f>
        <v>796075</v>
      </c>
      <c r="D1144" s="2" t="str">
        <f>IFERROR(__xludf.DUMMYFUNCTION("""COMPUTED_VALUE"""),"DB6")</f>
        <v>DB6</v>
      </c>
      <c r="E1144" s="2" t="str">
        <f>IFERROR(__xludf.DUMMYFUNCTION("""COMPUTED_VALUE"""),"Digizag")</f>
        <v>Digizag</v>
      </c>
      <c r="F1144" s="2" t="str">
        <f>IFERROR(__xludf.DUMMYFUNCTION("""COMPUTED_VALUE"""),"ZEU216771")</f>
        <v>ZEU216771</v>
      </c>
      <c r="G1144" s="2" t="str">
        <f>IFERROR(__xludf.DUMMYFUNCTION("""COMPUTED_VALUE"""),"UAE")</f>
        <v>UAE</v>
      </c>
      <c r="H1144" s="4">
        <f>IFERROR(__xludf.DUMMYFUNCTION("""COMPUTED_VALUE"""),126.0)</f>
        <v>126</v>
      </c>
      <c r="I1144" s="3">
        <f>IFERROR(__xludf.DUMMYFUNCTION("""COMPUTED_VALUE"""),0.0)</f>
        <v>0</v>
      </c>
      <c r="J1144" s="4">
        <f>IFERROR(__xludf.DUMMYFUNCTION("""COMPUTED_VALUE"""),0.0)</f>
        <v>0</v>
      </c>
      <c r="K1144" s="2"/>
      <c r="L1144" s="2" t="str">
        <f>IFERROR(__xludf.DUMMYFUNCTION("""COMPUTED_VALUE"""),"Delivered")</f>
        <v>Delivered</v>
      </c>
      <c r="M1144" s="2" t="str">
        <f>IFERROR(__xludf.DUMMYFUNCTION("""COMPUTED_VALUE"""),"")</f>
        <v></v>
      </c>
      <c r="N1144" s="2" t="str">
        <f>IFERROR(__xludf.DUMMYFUNCTION("""COMPUTED_VALUE"""),"Cash")</f>
        <v>Cash</v>
      </c>
      <c r="O1144" s="4">
        <f>IFERROR(__xludf.DUMMYFUNCTION("""COMPUTED_VALUE"""),0.0)</f>
        <v>0</v>
      </c>
      <c r="P1144" s="2">
        <f>IFERROR(__xludf.DUMMYFUNCTION("""COMPUTED_VALUE"""),22.0)</f>
        <v>22</v>
      </c>
      <c r="Q1144" s="2">
        <f>IFERROR(__xludf.DUMMYFUNCTION("""COMPUTED_VALUE"""),9.0)</f>
        <v>9</v>
      </c>
      <c r="R1144" s="2">
        <f>IFERROR(__xludf.DUMMYFUNCTION("""COMPUTED_VALUE"""),2025.0)</f>
        <v>2025</v>
      </c>
      <c r="S1144" s="2" t="str">
        <f>IFERROR(__xludf.DUMMYFUNCTION("""COMPUTED_VALUE"""),"Digizag")</f>
        <v>Digizag</v>
      </c>
      <c r="T1144" s="2" t="str">
        <f>IFERROR(__xludf.DUMMYFUNCTION("""COMPUTED_VALUE"""),"Digizag")</f>
        <v>Digizag</v>
      </c>
      <c r="U1144" s="5">
        <f>IFERROR(__xludf.DUMMYFUNCTION("""COMPUTED_VALUE"""),34.309053827999996)</f>
        <v>34.30905383</v>
      </c>
      <c r="V1144" s="2"/>
      <c r="W1144" s="2"/>
      <c r="X1144" s="2"/>
      <c r="Y1144" s="2"/>
      <c r="Z1144" s="2"/>
    </row>
    <row r="1145">
      <c r="A1145" s="6">
        <f>IFERROR(__xludf.DUMMYFUNCTION("""COMPUTED_VALUE"""),45922.63988425926)</f>
        <v>45922.63988</v>
      </c>
      <c r="B1145" s="2" t="str">
        <f>IFERROR(__xludf.DUMMYFUNCTION("""COMPUTED_VALUE"""),"September")</f>
        <v>September</v>
      </c>
      <c r="C1145" s="3">
        <f>IFERROR(__xludf.DUMMYFUNCTION("""COMPUTED_VALUE"""),801592.0)</f>
        <v>801592</v>
      </c>
      <c r="D1145" s="2" t="str">
        <f>IFERROR(__xludf.DUMMYFUNCTION("""COMPUTED_VALUE"""),"MNN27")</f>
        <v>MNN27</v>
      </c>
      <c r="E1145" s="2" t="str">
        <f>IFERROR(__xludf.DUMMYFUNCTION("""COMPUTED_VALUE"""),"Imported from file DigiZag Bidding Codes.xlsx")</f>
        <v>Imported from file DigiZag Bidding Codes.xlsx</v>
      </c>
      <c r="F1145" s="2" t="str">
        <f>IFERROR(__xludf.DUMMYFUNCTION("""COMPUTED_VALUE"""),"UAR258225")</f>
        <v>UAR258225</v>
      </c>
      <c r="G1145" s="2" t="str">
        <f>IFERROR(__xludf.DUMMYFUNCTION("""COMPUTED_VALUE"""),"Kingdom of Saudi Arabia")</f>
        <v>Kingdom of Saudi Arabia</v>
      </c>
      <c r="H1145" s="4">
        <f>IFERROR(__xludf.DUMMYFUNCTION("""COMPUTED_VALUE"""),129.0)</f>
        <v>129</v>
      </c>
      <c r="I1145" s="3">
        <f>IFERROR(__xludf.DUMMYFUNCTION("""COMPUTED_VALUE"""),1.0)</f>
        <v>1</v>
      </c>
      <c r="J1145" s="4">
        <f>IFERROR(__xludf.DUMMYFUNCTION("""COMPUTED_VALUE"""),30.0)</f>
        <v>30</v>
      </c>
      <c r="K1145" s="2"/>
      <c r="L1145" s="2" t="str">
        <f>IFERROR(__xludf.DUMMYFUNCTION("""COMPUTED_VALUE"""),"Cancelled")</f>
        <v>Cancelled</v>
      </c>
      <c r="M1145" s="2" t="str">
        <f>IFERROR(__xludf.DUMMYFUNCTION("""COMPUTED_VALUE"""),"")</f>
        <v></v>
      </c>
      <c r="N1145" s="2" t="str">
        <f>IFERROR(__xludf.DUMMYFUNCTION("""COMPUTED_VALUE"""),"Cash")</f>
        <v>Cash</v>
      </c>
      <c r="O1145" s="4">
        <f>IFERROR(__xludf.DUMMYFUNCTION("""COMPUTED_VALUE"""),129.0)</f>
        <v>129</v>
      </c>
      <c r="P1145" s="2">
        <f>IFERROR(__xludf.DUMMYFUNCTION("""COMPUTED_VALUE"""),22.0)</f>
        <v>22</v>
      </c>
      <c r="Q1145" s="2">
        <f>IFERROR(__xludf.DUMMYFUNCTION("""COMPUTED_VALUE"""),9.0)</f>
        <v>9</v>
      </c>
      <c r="R1145" s="2">
        <f>IFERROR(__xludf.DUMMYFUNCTION("""COMPUTED_VALUE"""),2025.0)</f>
        <v>2025</v>
      </c>
      <c r="S1145" s="2" t="str">
        <f>IFERROR(__xludf.DUMMYFUNCTION("""COMPUTED_VALUE"""),"Digizag")</f>
        <v>Digizag</v>
      </c>
      <c r="T1145" s="2" t="str">
        <f>IFERROR(__xludf.DUMMYFUNCTION("""COMPUTED_VALUE"""),"Digizag")</f>
        <v>Digizag</v>
      </c>
      <c r="U1145" s="5">
        <f>IFERROR(__xludf.DUMMYFUNCTION("""COMPUTED_VALUE"""),34.397339934)</f>
        <v>34.39733993</v>
      </c>
      <c r="V1145" s="2"/>
      <c r="W1145" s="2"/>
      <c r="X1145" s="2"/>
      <c r="Y1145" s="2"/>
      <c r="Z1145" s="2"/>
    </row>
    <row r="1146">
      <c r="A1146" s="6">
        <f>IFERROR(__xludf.DUMMYFUNCTION("""COMPUTED_VALUE"""),45922.739282407405)</f>
        <v>45922.73928</v>
      </c>
      <c r="B1146" s="2" t="str">
        <f>IFERROR(__xludf.DUMMYFUNCTION("""COMPUTED_VALUE"""),"September")</f>
        <v>September</v>
      </c>
      <c r="C1146" s="3">
        <f>IFERROR(__xludf.DUMMYFUNCTION("""COMPUTED_VALUE"""),47760.0)</f>
        <v>47760</v>
      </c>
      <c r="D1146" s="2" t="str">
        <f>IFERROR(__xludf.DUMMYFUNCTION("""COMPUTED_VALUE"""),"DG5")</f>
        <v>DG5</v>
      </c>
      <c r="E1146" s="2" t="str">
        <f>IFERROR(__xludf.DUMMYFUNCTION("""COMPUTED_VALUE"""),"Imported from file Digizag.xlsx")</f>
        <v>Imported from file Digizag.xlsx</v>
      </c>
      <c r="F1146" s="2" t="str">
        <f>IFERROR(__xludf.DUMMYFUNCTION("""COMPUTED_VALUE"""),"MMN811727")</f>
        <v>MMN811727</v>
      </c>
      <c r="G1146" s="2" t="str">
        <f>IFERROR(__xludf.DUMMYFUNCTION("""COMPUTED_VALUE"""),"Kuwait")</f>
        <v>Kuwait</v>
      </c>
      <c r="H1146" s="4">
        <f>IFERROR(__xludf.DUMMYFUNCTION("""COMPUTED_VALUE"""),11.95)</f>
        <v>11.95</v>
      </c>
      <c r="I1146" s="3">
        <f>IFERROR(__xludf.DUMMYFUNCTION("""COMPUTED_VALUE"""),0.0)</f>
        <v>0</v>
      </c>
      <c r="J1146" s="4">
        <f>IFERROR(__xludf.DUMMYFUNCTION("""COMPUTED_VALUE"""),1.195)</f>
        <v>1.195</v>
      </c>
      <c r="K1146" s="2"/>
      <c r="L1146" s="2" t="str">
        <f>IFERROR(__xludf.DUMMYFUNCTION("""COMPUTED_VALUE"""),"Delivered")</f>
        <v>Delivered</v>
      </c>
      <c r="M1146" s="2" t="str">
        <f>IFERROR(__xludf.DUMMYFUNCTION("""COMPUTED_VALUE"""),"KD")</f>
        <v>KD</v>
      </c>
      <c r="N1146" s="2" t="str">
        <f>IFERROR(__xludf.DUMMYFUNCTION("""COMPUTED_VALUE"""),"Credit, Debit, Knet")</f>
        <v>Credit, Debit, Knet</v>
      </c>
      <c r="O1146" s="4">
        <f>IFERROR(__xludf.DUMMYFUNCTION("""COMPUTED_VALUE"""),0.0)</f>
        <v>0</v>
      </c>
      <c r="P1146" s="2">
        <f>IFERROR(__xludf.DUMMYFUNCTION("""COMPUTED_VALUE"""),22.0)</f>
        <v>22</v>
      </c>
      <c r="Q1146" s="2">
        <f>IFERROR(__xludf.DUMMYFUNCTION("""COMPUTED_VALUE"""),9.0)</f>
        <v>9</v>
      </c>
      <c r="R1146" s="2">
        <f>IFERROR(__xludf.DUMMYFUNCTION("""COMPUTED_VALUE"""),2025.0)</f>
        <v>2025</v>
      </c>
      <c r="S1146" s="2" t="str">
        <f>IFERROR(__xludf.DUMMYFUNCTION("""COMPUTED_VALUE"""),"Digizag")</f>
        <v>Digizag</v>
      </c>
      <c r="T1146" s="2" t="str">
        <f>IFERROR(__xludf.DUMMYFUNCTION("""COMPUTED_VALUE"""),"Digizag")</f>
        <v>Digizag</v>
      </c>
      <c r="U1146" s="5">
        <f>IFERROR(__xludf.DUMMYFUNCTION("""COMPUTED_VALUE"""),38.964408999999996)</f>
        <v>38.964409</v>
      </c>
      <c r="V1146" s="2"/>
      <c r="W1146" s="2"/>
      <c r="X1146" s="2"/>
      <c r="Y1146" s="2"/>
      <c r="Z1146" s="2"/>
    </row>
    <row r="1147">
      <c r="A1147" s="6">
        <f>IFERROR(__xludf.DUMMYFUNCTION("""COMPUTED_VALUE"""),45923.246620370366)</f>
        <v>45923.24662</v>
      </c>
      <c r="B1147" s="2" t="str">
        <f>IFERROR(__xludf.DUMMYFUNCTION("""COMPUTED_VALUE"""),"September")</f>
        <v>September</v>
      </c>
      <c r="C1147" s="3">
        <f>IFERROR(__xludf.DUMMYFUNCTION("""COMPUTED_VALUE"""),769636.0)</f>
        <v>769636</v>
      </c>
      <c r="D1147" s="2" t="str">
        <f>IFERROR(__xludf.DUMMYFUNCTION("""COMPUTED_VALUE"""),"MNN27")</f>
        <v>MNN27</v>
      </c>
      <c r="E1147" s="2" t="str">
        <f>IFERROR(__xludf.DUMMYFUNCTION("""COMPUTED_VALUE"""),"Imported from file DigiZag Bidding Codes.xlsx")</f>
        <v>Imported from file DigiZag Bidding Codes.xlsx</v>
      </c>
      <c r="F1147" s="2" t="str">
        <f>IFERROR(__xludf.DUMMYFUNCTION("""COMPUTED_VALUE"""),"SRR632425")</f>
        <v>SRR632425</v>
      </c>
      <c r="G1147" s="2" t="str">
        <f>IFERROR(__xludf.DUMMYFUNCTION("""COMPUTED_VALUE"""),"Kingdom of Saudi Arabia")</f>
        <v>Kingdom of Saudi Arabia</v>
      </c>
      <c r="H1147" s="4">
        <f>IFERROR(__xludf.DUMMYFUNCTION("""COMPUTED_VALUE"""),133.1)</f>
        <v>133.1</v>
      </c>
      <c r="I1147" s="3">
        <f>IFERROR(__xludf.DUMMYFUNCTION("""COMPUTED_VALUE"""),0.0)</f>
        <v>0</v>
      </c>
      <c r="J1147" s="4">
        <f>IFERROR(__xludf.DUMMYFUNCTION("""COMPUTED_VALUE"""),30.0)</f>
        <v>30</v>
      </c>
      <c r="K1147" s="2"/>
      <c r="L1147" s="2" t="str">
        <f>IFERROR(__xludf.DUMMYFUNCTION("""COMPUTED_VALUE"""),"Delivered")</f>
        <v>Delivered</v>
      </c>
      <c r="M1147" s="2" t="str">
        <f>IFERROR(__xludf.DUMMYFUNCTION("""COMPUTED_VALUE"""),"")</f>
        <v></v>
      </c>
      <c r="N1147" s="2" t="str">
        <f>IFERROR(__xludf.DUMMYFUNCTION("""COMPUTED_VALUE"""),"Credit, Debit, Apple Pay")</f>
        <v>Credit, Debit, Apple Pay</v>
      </c>
      <c r="O1147" s="4">
        <f>IFERROR(__xludf.DUMMYFUNCTION("""COMPUTED_VALUE"""),0.0)</f>
        <v>0</v>
      </c>
      <c r="P1147" s="2">
        <f>IFERROR(__xludf.DUMMYFUNCTION("""COMPUTED_VALUE"""),23.0)</f>
        <v>23</v>
      </c>
      <c r="Q1147" s="2">
        <f>IFERROR(__xludf.DUMMYFUNCTION("""COMPUTED_VALUE"""),9.0)</f>
        <v>9</v>
      </c>
      <c r="R1147" s="2">
        <f>IFERROR(__xludf.DUMMYFUNCTION("""COMPUTED_VALUE"""),2025.0)</f>
        <v>2025</v>
      </c>
      <c r="S1147" s="2" t="str">
        <f>IFERROR(__xludf.DUMMYFUNCTION("""COMPUTED_VALUE"""),"Digizag")</f>
        <v>Digizag</v>
      </c>
      <c r="T1147" s="2" t="str">
        <f>IFERROR(__xludf.DUMMYFUNCTION("""COMPUTED_VALUE"""),"Digizag")</f>
        <v>Digizag</v>
      </c>
      <c r="U1147" s="5">
        <f>IFERROR(__xludf.DUMMYFUNCTION("""COMPUTED_VALUE"""),35.4905887226)</f>
        <v>35.49058872</v>
      </c>
      <c r="V1147" s="2"/>
      <c r="W1147" s="2"/>
      <c r="X1147" s="2"/>
      <c r="Y1147" s="2"/>
      <c r="Z1147" s="2"/>
    </row>
    <row r="1148">
      <c r="A1148" s="6">
        <f>IFERROR(__xludf.DUMMYFUNCTION("""COMPUTED_VALUE"""),45923.28184027778)</f>
        <v>45923.28184</v>
      </c>
      <c r="B1148" s="2" t="str">
        <f>IFERROR(__xludf.DUMMYFUNCTION("""COMPUTED_VALUE"""),"September")</f>
        <v>September</v>
      </c>
      <c r="C1148" s="3">
        <f>IFERROR(__xludf.DUMMYFUNCTION("""COMPUTED_VALUE"""),769636.0)</f>
        <v>769636</v>
      </c>
      <c r="D1148" s="2" t="str">
        <f>IFERROR(__xludf.DUMMYFUNCTION("""COMPUTED_VALUE"""),"MNN27")</f>
        <v>MNN27</v>
      </c>
      <c r="E1148" s="2" t="str">
        <f>IFERROR(__xludf.DUMMYFUNCTION("""COMPUTED_VALUE"""),"Imported from file DigiZag Bidding Codes.xlsx")</f>
        <v>Imported from file DigiZag Bidding Codes.xlsx</v>
      </c>
      <c r="F1148" s="2" t="str">
        <f>IFERROR(__xludf.DUMMYFUNCTION("""COMPUTED_VALUE"""),"VXX314227")</f>
        <v>VXX314227</v>
      </c>
      <c r="G1148" s="2" t="str">
        <f>IFERROR(__xludf.DUMMYFUNCTION("""COMPUTED_VALUE"""),"Kingdom of Saudi Arabia")</f>
        <v>Kingdom of Saudi Arabia</v>
      </c>
      <c r="H1148" s="4">
        <f>IFERROR(__xludf.DUMMYFUNCTION("""COMPUTED_VALUE"""),173.04)</f>
        <v>173.04</v>
      </c>
      <c r="I1148" s="3">
        <f>IFERROR(__xludf.DUMMYFUNCTION("""COMPUTED_VALUE"""),0.0)</f>
        <v>0</v>
      </c>
      <c r="J1148" s="4">
        <f>IFERROR(__xludf.DUMMYFUNCTION("""COMPUTED_VALUE"""),30.0)</f>
        <v>30</v>
      </c>
      <c r="K1148" s="2"/>
      <c r="L1148" s="2" t="str">
        <f>IFERROR(__xludf.DUMMYFUNCTION("""COMPUTED_VALUE"""),"Delivered")</f>
        <v>Delivered</v>
      </c>
      <c r="M1148" s="2" t="str">
        <f>IFERROR(__xludf.DUMMYFUNCTION("""COMPUTED_VALUE"""),"")</f>
        <v></v>
      </c>
      <c r="N1148" s="2" t="str">
        <f>IFERROR(__xludf.DUMMYFUNCTION("""COMPUTED_VALUE"""),"Credit, Debit, Apple Pay")</f>
        <v>Credit, Debit, Apple Pay</v>
      </c>
      <c r="O1148" s="4">
        <f>IFERROR(__xludf.DUMMYFUNCTION("""COMPUTED_VALUE"""),0.0)</f>
        <v>0</v>
      </c>
      <c r="P1148" s="2">
        <f>IFERROR(__xludf.DUMMYFUNCTION("""COMPUTED_VALUE"""),23.0)</f>
        <v>23</v>
      </c>
      <c r="Q1148" s="2">
        <f>IFERROR(__xludf.DUMMYFUNCTION("""COMPUTED_VALUE"""),9.0)</f>
        <v>9</v>
      </c>
      <c r="R1148" s="2">
        <f>IFERROR(__xludf.DUMMYFUNCTION("""COMPUTED_VALUE"""),2025.0)</f>
        <v>2025</v>
      </c>
      <c r="S1148" s="2" t="str">
        <f>IFERROR(__xludf.DUMMYFUNCTION("""COMPUTED_VALUE"""),"Digizag")</f>
        <v>Digizag</v>
      </c>
      <c r="T1148" s="2" t="str">
        <f>IFERROR(__xludf.DUMMYFUNCTION("""COMPUTED_VALUE"""),"Digizag")</f>
        <v>Digizag</v>
      </c>
      <c r="U1148" s="5">
        <f>IFERROR(__xludf.DUMMYFUNCTION("""COMPUTED_VALUE"""),46.14043179984)</f>
        <v>46.1404318</v>
      </c>
      <c r="V1148" s="2"/>
      <c r="W1148" s="2"/>
      <c r="X1148" s="2"/>
      <c r="Y1148" s="2"/>
      <c r="Z1148" s="2"/>
    </row>
    <row r="1149">
      <c r="A1149" s="6">
        <f>IFERROR(__xludf.DUMMYFUNCTION("""COMPUTED_VALUE"""),45923.473553240736)</f>
        <v>45923.47355</v>
      </c>
      <c r="B1149" s="2" t="str">
        <f>IFERROR(__xludf.DUMMYFUNCTION("""COMPUTED_VALUE"""),"September")</f>
        <v>September</v>
      </c>
      <c r="C1149" s="3">
        <f>IFERROR(__xludf.DUMMYFUNCTION("""COMPUTED_VALUE"""),135681.0)</f>
        <v>135681</v>
      </c>
      <c r="D1149" s="2" t="str">
        <f>IFERROR(__xludf.DUMMYFUNCTION("""COMPUTED_VALUE"""),"JM")</f>
        <v>JM</v>
      </c>
      <c r="E1149" s="2" t="str">
        <f>IFERROR(__xludf.DUMMYFUNCTION("""COMPUTED_VALUE"""),"DigiZag")</f>
        <v>DigiZag</v>
      </c>
      <c r="F1149" s="2" t="str">
        <f>IFERROR(__xludf.DUMMYFUNCTION("""COMPUTED_VALUE"""),"CYU375418")</f>
        <v>CYU375418</v>
      </c>
      <c r="G1149" s="2" t="str">
        <f>IFERROR(__xludf.DUMMYFUNCTION("""COMPUTED_VALUE"""),"Kingdom of Saudi Arabia")</f>
        <v>Kingdom of Saudi Arabia</v>
      </c>
      <c r="H1149" s="4">
        <f>IFERROR(__xludf.DUMMYFUNCTION("""COMPUTED_VALUE"""),173.04)</f>
        <v>173.04</v>
      </c>
      <c r="I1149" s="3">
        <f>IFERROR(__xludf.DUMMYFUNCTION("""COMPUTED_VALUE"""),0.0)</f>
        <v>0</v>
      </c>
      <c r="J1149" s="4">
        <f>IFERROR(__xludf.DUMMYFUNCTION("""COMPUTED_VALUE"""),30.0)</f>
        <v>30</v>
      </c>
      <c r="K1149" s="2"/>
      <c r="L1149" s="2" t="str">
        <f>IFERROR(__xludf.DUMMYFUNCTION("""COMPUTED_VALUE"""),"Delivered")</f>
        <v>Delivered</v>
      </c>
      <c r="M1149" s="2" t="str">
        <f>IFERROR(__xludf.DUMMYFUNCTION("""COMPUTED_VALUE"""),"")</f>
        <v></v>
      </c>
      <c r="N1149" s="2" t="str">
        <f>IFERROR(__xludf.DUMMYFUNCTION("""COMPUTED_VALUE"""),"Credit, Debit, Apple Pay")</f>
        <v>Credit, Debit, Apple Pay</v>
      </c>
      <c r="O1149" s="4">
        <f>IFERROR(__xludf.DUMMYFUNCTION("""COMPUTED_VALUE"""),0.0)</f>
        <v>0</v>
      </c>
      <c r="P1149" s="2">
        <f>IFERROR(__xludf.DUMMYFUNCTION("""COMPUTED_VALUE"""),23.0)</f>
        <v>23</v>
      </c>
      <c r="Q1149" s="2">
        <f>IFERROR(__xludf.DUMMYFUNCTION("""COMPUTED_VALUE"""),9.0)</f>
        <v>9</v>
      </c>
      <c r="R1149" s="2">
        <f>IFERROR(__xludf.DUMMYFUNCTION("""COMPUTED_VALUE"""),2025.0)</f>
        <v>2025</v>
      </c>
      <c r="S1149" s="2" t="str">
        <f>IFERROR(__xludf.DUMMYFUNCTION("""COMPUTED_VALUE"""),"Digizag")</f>
        <v>Digizag</v>
      </c>
      <c r="T1149" s="2" t="str">
        <f>IFERROR(__xludf.DUMMYFUNCTION("""COMPUTED_VALUE"""),"Digizag")</f>
        <v>Digizag</v>
      </c>
      <c r="U1149" s="5">
        <f>IFERROR(__xludf.DUMMYFUNCTION("""COMPUTED_VALUE"""),46.14043179984)</f>
        <v>46.1404318</v>
      </c>
      <c r="V1149" s="2"/>
      <c r="W1149" s="2"/>
      <c r="X1149" s="2"/>
      <c r="Y1149" s="2"/>
      <c r="Z1149" s="2"/>
    </row>
    <row r="1150">
      <c r="A1150" s="6">
        <f>IFERROR(__xludf.DUMMYFUNCTION("""COMPUTED_VALUE"""),45923.56601851852)</f>
        <v>45923.56602</v>
      </c>
      <c r="B1150" s="2" t="str">
        <f>IFERROR(__xludf.DUMMYFUNCTION("""COMPUTED_VALUE"""),"September")</f>
        <v>September</v>
      </c>
      <c r="C1150" s="3">
        <f>IFERROR(__xludf.DUMMYFUNCTION("""COMPUTED_VALUE"""),732413.0)</f>
        <v>732413</v>
      </c>
      <c r="D1150" s="2" t="str">
        <f>IFERROR(__xludf.DUMMYFUNCTION("""COMPUTED_VALUE"""),"CC22")</f>
        <v>CC22</v>
      </c>
      <c r="E1150" s="2" t="str">
        <f>IFERROR(__xludf.DUMMYFUNCTION("""COMPUTED_VALUE"""),"Imported from file Digizag.xlsx")</f>
        <v>Imported from file Digizag.xlsx</v>
      </c>
      <c r="F1150" s="2" t="str">
        <f>IFERROR(__xludf.DUMMYFUNCTION("""COMPUTED_VALUE"""),"GJD680583")</f>
        <v>GJD680583</v>
      </c>
      <c r="G1150" s="2" t="str">
        <f>IFERROR(__xludf.DUMMYFUNCTION("""COMPUTED_VALUE"""),"Kingdom of Saudi Arabia")</f>
        <v>Kingdom of Saudi Arabia</v>
      </c>
      <c r="H1150" s="4">
        <f>IFERROR(__xludf.DUMMYFUNCTION("""COMPUTED_VALUE"""),438.42)</f>
        <v>438.42</v>
      </c>
      <c r="I1150" s="3">
        <f>IFERROR(__xludf.DUMMYFUNCTION("""COMPUTED_VALUE"""),0.0)</f>
        <v>0</v>
      </c>
      <c r="J1150" s="4">
        <f>IFERROR(__xludf.DUMMYFUNCTION("""COMPUTED_VALUE"""),30.0)</f>
        <v>30</v>
      </c>
      <c r="K1150" s="2"/>
      <c r="L1150" s="2" t="str">
        <f>IFERROR(__xludf.DUMMYFUNCTION("""COMPUTED_VALUE"""),"Delivered")</f>
        <v>Delivered</v>
      </c>
      <c r="M1150" s="2" t="str">
        <f>IFERROR(__xludf.DUMMYFUNCTION("""COMPUTED_VALUE"""),"")</f>
        <v></v>
      </c>
      <c r="N1150" s="2" t="str">
        <f>IFERROR(__xludf.DUMMYFUNCTION("""COMPUTED_VALUE"""),"Credit, Debit, Apple Pay")</f>
        <v>Credit, Debit, Apple Pay</v>
      </c>
      <c r="O1150" s="4">
        <f>IFERROR(__xludf.DUMMYFUNCTION("""COMPUTED_VALUE"""),0.0)</f>
        <v>0</v>
      </c>
      <c r="P1150" s="2">
        <f>IFERROR(__xludf.DUMMYFUNCTION("""COMPUTED_VALUE"""),23.0)</f>
        <v>23</v>
      </c>
      <c r="Q1150" s="2">
        <f>IFERROR(__xludf.DUMMYFUNCTION("""COMPUTED_VALUE"""),9.0)</f>
        <v>9</v>
      </c>
      <c r="R1150" s="2">
        <f>IFERROR(__xludf.DUMMYFUNCTION("""COMPUTED_VALUE"""),2025.0)</f>
        <v>2025</v>
      </c>
      <c r="S1150" s="2" t="str">
        <f>IFERROR(__xludf.DUMMYFUNCTION("""COMPUTED_VALUE"""),"Digizag")</f>
        <v>Digizag</v>
      </c>
      <c r="T1150" s="2" t="str">
        <f>IFERROR(__xludf.DUMMYFUNCTION("""COMPUTED_VALUE"""),"Digizag")</f>
        <v>Digizag</v>
      </c>
      <c r="U1150" s="5">
        <f>IFERROR(__xludf.DUMMYFUNCTION("""COMPUTED_VALUE"""),116.90295948732002)</f>
        <v>116.9029595</v>
      </c>
      <c r="V1150" s="2"/>
      <c r="W1150" s="2"/>
      <c r="X1150" s="2"/>
      <c r="Y1150" s="2"/>
      <c r="Z1150" s="2"/>
    </row>
    <row r="1151">
      <c r="A1151" s="6">
        <f>IFERROR(__xludf.DUMMYFUNCTION("""COMPUTED_VALUE"""),45923.99018518518)</f>
        <v>45923.99019</v>
      </c>
      <c r="B1151" s="2" t="str">
        <f>IFERROR(__xludf.DUMMYFUNCTION("""COMPUTED_VALUE"""),"September")</f>
        <v>September</v>
      </c>
      <c r="C1151" s="3">
        <f>IFERROR(__xludf.DUMMYFUNCTION("""COMPUTED_VALUE"""),640895.0)</f>
        <v>640895</v>
      </c>
      <c r="D1151" s="2" t="str">
        <f>IFERROR(__xludf.DUMMYFUNCTION("""COMPUTED_VALUE"""),"DB7")</f>
        <v>DB7</v>
      </c>
      <c r="E1151" s="2" t="str">
        <f>IFERROR(__xludf.DUMMYFUNCTION("""COMPUTED_VALUE"""),"Digizag")</f>
        <v>Digizag</v>
      </c>
      <c r="F1151" s="2" t="str">
        <f>IFERROR(__xludf.DUMMYFUNCTION("""COMPUTED_VALUE"""),"NKR741010")</f>
        <v>NKR741010</v>
      </c>
      <c r="G1151" s="2" t="str">
        <f>IFERROR(__xludf.DUMMYFUNCTION("""COMPUTED_VALUE"""),"UAE")</f>
        <v>UAE</v>
      </c>
      <c r="H1151" s="4">
        <f>IFERROR(__xludf.DUMMYFUNCTION("""COMPUTED_VALUE"""),58.0)</f>
        <v>58</v>
      </c>
      <c r="I1151" s="3">
        <f>IFERROR(__xludf.DUMMYFUNCTION("""COMPUTED_VALUE"""),0.0)</f>
        <v>0</v>
      </c>
      <c r="J1151" s="4">
        <f>IFERROR(__xludf.DUMMYFUNCTION("""COMPUTED_VALUE"""),5.8)</f>
        <v>5.8</v>
      </c>
      <c r="K1151" s="2"/>
      <c r="L1151" s="2" t="str">
        <f>IFERROR(__xludf.DUMMYFUNCTION("""COMPUTED_VALUE"""),"Delivered")</f>
        <v>Delivered</v>
      </c>
      <c r="M1151" s="2" t="str">
        <f>IFERROR(__xludf.DUMMYFUNCTION("""COMPUTED_VALUE"""),"")</f>
        <v></v>
      </c>
      <c r="N1151" s="2" t="str">
        <f>IFERROR(__xludf.DUMMYFUNCTION("""COMPUTED_VALUE"""),"Credit, Debit , Apple Pay")</f>
        <v>Credit, Debit , Apple Pay</v>
      </c>
      <c r="O1151" s="4">
        <f>IFERROR(__xludf.DUMMYFUNCTION("""COMPUTED_VALUE"""),0.0)</f>
        <v>0</v>
      </c>
      <c r="P1151" s="2">
        <f>IFERROR(__xludf.DUMMYFUNCTION("""COMPUTED_VALUE"""),23.0)</f>
        <v>23</v>
      </c>
      <c r="Q1151" s="2">
        <f>IFERROR(__xludf.DUMMYFUNCTION("""COMPUTED_VALUE"""),9.0)</f>
        <v>9</v>
      </c>
      <c r="R1151" s="2">
        <f>IFERROR(__xludf.DUMMYFUNCTION("""COMPUTED_VALUE"""),2025.0)</f>
        <v>2025</v>
      </c>
      <c r="S1151" s="2" t="str">
        <f>IFERROR(__xludf.DUMMYFUNCTION("""COMPUTED_VALUE"""),"Digizag")</f>
        <v>Digizag</v>
      </c>
      <c r="T1151" s="2" t="str">
        <f>IFERROR(__xludf.DUMMYFUNCTION("""COMPUTED_VALUE"""),"Digizag")</f>
        <v>Digizag</v>
      </c>
      <c r="U1151" s="5">
        <f>IFERROR(__xludf.DUMMYFUNCTION("""COMPUTED_VALUE"""),15.793056523999999)</f>
        <v>15.79305652</v>
      </c>
      <c r="V1151" s="2"/>
      <c r="W1151" s="2"/>
      <c r="X1151" s="2"/>
      <c r="Y1151" s="2"/>
      <c r="Z1151" s="2"/>
    </row>
    <row r="1152">
      <c r="A1152" s="6">
        <f>IFERROR(__xludf.DUMMYFUNCTION("""COMPUTED_VALUE"""),45924.54520833333)</f>
        <v>45924.54521</v>
      </c>
      <c r="B1152" s="2" t="str">
        <f>IFERROR(__xludf.DUMMYFUNCTION("""COMPUTED_VALUE"""),"September")</f>
        <v>September</v>
      </c>
      <c r="C1152" s="3">
        <f>IFERROR(__xludf.DUMMYFUNCTION("""COMPUTED_VALUE"""),758364.0)</f>
        <v>758364</v>
      </c>
      <c r="D1152" s="2" t="str">
        <f>IFERROR(__xludf.DUMMYFUNCTION("""COMPUTED_VALUE"""),"ZM22")</f>
        <v>ZM22</v>
      </c>
      <c r="E1152" s="2" t="str">
        <f>IFERROR(__xludf.DUMMYFUNCTION("""COMPUTED_VALUE"""),"Imported from file Digizag.xlsx")</f>
        <v>Imported from file Digizag.xlsx</v>
      </c>
      <c r="F1152" s="2" t="str">
        <f>IFERROR(__xludf.DUMMYFUNCTION("""COMPUTED_VALUE"""),"VXW730370")</f>
        <v>VXW730370</v>
      </c>
      <c r="G1152" s="2" t="str">
        <f>IFERROR(__xludf.DUMMYFUNCTION("""COMPUTED_VALUE"""),"UAE")</f>
        <v>UAE</v>
      </c>
      <c r="H1152" s="4">
        <f>IFERROR(__xludf.DUMMYFUNCTION("""COMPUTED_VALUE"""),179.0)</f>
        <v>179</v>
      </c>
      <c r="I1152" s="3">
        <f>IFERROR(__xludf.DUMMYFUNCTION("""COMPUTED_VALUE"""),0.0)</f>
        <v>0</v>
      </c>
      <c r="J1152" s="4">
        <f>IFERROR(__xludf.DUMMYFUNCTION("""COMPUTED_VALUE"""),17.9)</f>
        <v>17.9</v>
      </c>
      <c r="K1152" s="2"/>
      <c r="L1152" s="2" t="str">
        <f>IFERROR(__xludf.DUMMYFUNCTION("""COMPUTED_VALUE"""),"Delivered")</f>
        <v>Delivered</v>
      </c>
      <c r="M1152" s="2" t="str">
        <f>IFERROR(__xludf.DUMMYFUNCTION("""COMPUTED_VALUE"""),"")</f>
        <v></v>
      </c>
      <c r="N1152" s="2" t="str">
        <f>IFERROR(__xludf.DUMMYFUNCTION("""COMPUTED_VALUE"""),"Credit, Debit , Apple Pay")</f>
        <v>Credit, Debit , Apple Pay</v>
      </c>
      <c r="O1152" s="4">
        <f>IFERROR(__xludf.DUMMYFUNCTION("""COMPUTED_VALUE"""),0.0)</f>
        <v>0</v>
      </c>
      <c r="P1152" s="2">
        <f>IFERROR(__xludf.DUMMYFUNCTION("""COMPUTED_VALUE"""),24.0)</f>
        <v>24</v>
      </c>
      <c r="Q1152" s="2">
        <f>IFERROR(__xludf.DUMMYFUNCTION("""COMPUTED_VALUE"""),9.0)</f>
        <v>9</v>
      </c>
      <c r="R1152" s="2">
        <f>IFERROR(__xludf.DUMMYFUNCTION("""COMPUTED_VALUE"""),2025.0)</f>
        <v>2025</v>
      </c>
      <c r="S1152" s="2" t="str">
        <f>IFERROR(__xludf.DUMMYFUNCTION("""COMPUTED_VALUE"""),"Digizag")</f>
        <v>Digizag</v>
      </c>
      <c r="T1152" s="2" t="str">
        <f>IFERROR(__xludf.DUMMYFUNCTION("""COMPUTED_VALUE"""),"Digizag")</f>
        <v>Digizag</v>
      </c>
      <c r="U1152" s="5">
        <f>IFERROR(__xludf.DUMMYFUNCTION("""COMPUTED_VALUE"""),48.740639961999996)</f>
        <v>48.74063996</v>
      </c>
      <c r="V1152" s="2"/>
      <c r="W1152" s="2"/>
      <c r="X1152" s="2"/>
      <c r="Y1152" s="2"/>
      <c r="Z1152" s="2"/>
    </row>
    <row r="1153">
      <c r="A1153" s="6">
        <f>IFERROR(__xludf.DUMMYFUNCTION("""COMPUTED_VALUE"""),45924.60623842593)</f>
        <v>45924.60624</v>
      </c>
      <c r="B1153" s="2" t="str">
        <f>IFERROR(__xludf.DUMMYFUNCTION("""COMPUTED_VALUE"""),"September")</f>
        <v>September</v>
      </c>
      <c r="C1153" s="3">
        <f>IFERROR(__xludf.DUMMYFUNCTION("""COMPUTED_VALUE"""),805072.0)</f>
        <v>805072</v>
      </c>
      <c r="D1153" s="2" t="str">
        <f>IFERROR(__xludf.DUMMYFUNCTION("""COMPUTED_VALUE"""),"DB7")</f>
        <v>DB7</v>
      </c>
      <c r="E1153" s="2" t="str">
        <f>IFERROR(__xludf.DUMMYFUNCTION("""COMPUTED_VALUE"""),"Digizag")</f>
        <v>Digizag</v>
      </c>
      <c r="F1153" s="2" t="str">
        <f>IFERROR(__xludf.DUMMYFUNCTION("""COMPUTED_VALUE"""),"VHY892576")</f>
        <v>VHY892576</v>
      </c>
      <c r="G1153" s="2" t="str">
        <f>IFERROR(__xludf.DUMMYFUNCTION("""COMPUTED_VALUE"""),"Kuwait")</f>
        <v>Kuwait</v>
      </c>
      <c r="H1153" s="4">
        <f>IFERROR(__xludf.DUMMYFUNCTION("""COMPUTED_VALUE"""),13.4)</f>
        <v>13.4</v>
      </c>
      <c r="I1153" s="3">
        <f>IFERROR(__xludf.DUMMYFUNCTION("""COMPUTED_VALUE"""),0.0)</f>
        <v>0</v>
      </c>
      <c r="J1153" s="4">
        <f>IFERROR(__xludf.DUMMYFUNCTION("""COMPUTED_VALUE"""),1.34)</f>
        <v>1.34</v>
      </c>
      <c r="K1153" s="2"/>
      <c r="L1153" s="2" t="str">
        <f>IFERROR(__xludf.DUMMYFUNCTION("""COMPUTED_VALUE"""),"Delivered")</f>
        <v>Delivered</v>
      </c>
      <c r="M1153" s="2" t="str">
        <f>IFERROR(__xludf.DUMMYFUNCTION("""COMPUTED_VALUE"""),"KD")</f>
        <v>KD</v>
      </c>
      <c r="N1153" s="2" t="str">
        <f>IFERROR(__xludf.DUMMYFUNCTION("""COMPUTED_VALUE"""),"Credit, Debit, Knet")</f>
        <v>Credit, Debit, Knet</v>
      </c>
      <c r="O1153" s="4">
        <f>IFERROR(__xludf.DUMMYFUNCTION("""COMPUTED_VALUE"""),0.0)</f>
        <v>0</v>
      </c>
      <c r="P1153" s="2">
        <f>IFERROR(__xludf.DUMMYFUNCTION("""COMPUTED_VALUE"""),24.0)</f>
        <v>24</v>
      </c>
      <c r="Q1153" s="2">
        <f>IFERROR(__xludf.DUMMYFUNCTION("""COMPUTED_VALUE"""),9.0)</f>
        <v>9</v>
      </c>
      <c r="R1153" s="2">
        <f>IFERROR(__xludf.DUMMYFUNCTION("""COMPUTED_VALUE"""),2025.0)</f>
        <v>2025</v>
      </c>
      <c r="S1153" s="2" t="str">
        <f>IFERROR(__xludf.DUMMYFUNCTION("""COMPUTED_VALUE"""),"Digizag")</f>
        <v>Digizag</v>
      </c>
      <c r="T1153" s="2" t="str">
        <f>IFERROR(__xludf.DUMMYFUNCTION("""COMPUTED_VALUE"""),"Digizag")</f>
        <v>Digizag</v>
      </c>
      <c r="U1153" s="5">
        <f>IFERROR(__xludf.DUMMYFUNCTION("""COMPUTED_VALUE"""),43.692308)</f>
        <v>43.692308</v>
      </c>
      <c r="V1153" s="2"/>
      <c r="W1153" s="2"/>
      <c r="X1153" s="2"/>
      <c r="Y1153" s="2"/>
      <c r="Z1153" s="2"/>
    </row>
    <row r="1154">
      <c r="A1154" s="6">
        <f>IFERROR(__xludf.DUMMYFUNCTION("""COMPUTED_VALUE"""),45924.86686342592)</f>
        <v>45924.86686</v>
      </c>
      <c r="B1154" s="2" t="str">
        <f>IFERROR(__xludf.DUMMYFUNCTION("""COMPUTED_VALUE"""),"September")</f>
        <v>September</v>
      </c>
      <c r="C1154" s="3">
        <f>IFERROR(__xludf.DUMMYFUNCTION("""COMPUTED_VALUE"""),725763.0)</f>
        <v>725763</v>
      </c>
      <c r="D1154" s="2" t="str">
        <f>IFERROR(__xludf.DUMMYFUNCTION("""COMPUTED_VALUE"""),"CC22")</f>
        <v>CC22</v>
      </c>
      <c r="E1154" s="2" t="str">
        <f>IFERROR(__xludf.DUMMYFUNCTION("""COMPUTED_VALUE"""),"Imported from file Digizag.xlsx")</f>
        <v>Imported from file Digizag.xlsx</v>
      </c>
      <c r="F1154" s="2" t="str">
        <f>IFERROR(__xludf.DUMMYFUNCTION("""COMPUTED_VALUE"""),"MHZ634495")</f>
        <v>MHZ634495</v>
      </c>
      <c r="G1154" s="2" t="str">
        <f>IFERROR(__xludf.DUMMYFUNCTION("""COMPUTED_VALUE"""),"Kingdom of Saudi Arabia")</f>
        <v>Kingdom of Saudi Arabia</v>
      </c>
      <c r="H1154" s="4">
        <f>IFERROR(__xludf.DUMMYFUNCTION("""COMPUTED_VALUE"""),205.0)</f>
        <v>205</v>
      </c>
      <c r="I1154" s="3">
        <f>IFERROR(__xludf.DUMMYFUNCTION("""COMPUTED_VALUE"""),0.0)</f>
        <v>0</v>
      </c>
      <c r="J1154" s="4">
        <f>IFERROR(__xludf.DUMMYFUNCTION("""COMPUTED_VALUE"""),30.0)</f>
        <v>30</v>
      </c>
      <c r="K1154" s="2"/>
      <c r="L1154" s="2" t="str">
        <f>IFERROR(__xludf.DUMMYFUNCTION("""COMPUTED_VALUE"""),"Delivered")</f>
        <v>Delivered</v>
      </c>
      <c r="M1154" s="2" t="str">
        <f>IFERROR(__xludf.DUMMYFUNCTION("""COMPUTED_VALUE"""),"")</f>
        <v></v>
      </c>
      <c r="N1154" s="2" t="str">
        <f>IFERROR(__xludf.DUMMYFUNCTION("""COMPUTED_VALUE"""),"Credit, Debit, Apple Pay")</f>
        <v>Credit, Debit, Apple Pay</v>
      </c>
      <c r="O1154" s="4">
        <f>IFERROR(__xludf.DUMMYFUNCTION("""COMPUTED_VALUE"""),0.0)</f>
        <v>0</v>
      </c>
      <c r="P1154" s="2">
        <f>IFERROR(__xludf.DUMMYFUNCTION("""COMPUTED_VALUE"""),24.0)</f>
        <v>24</v>
      </c>
      <c r="Q1154" s="2">
        <f>IFERROR(__xludf.DUMMYFUNCTION("""COMPUTED_VALUE"""),9.0)</f>
        <v>9</v>
      </c>
      <c r="R1154" s="2">
        <f>IFERROR(__xludf.DUMMYFUNCTION("""COMPUTED_VALUE"""),2025.0)</f>
        <v>2025</v>
      </c>
      <c r="S1154" s="2" t="str">
        <f>IFERROR(__xludf.DUMMYFUNCTION("""COMPUTED_VALUE"""),"Digizag")</f>
        <v>Digizag</v>
      </c>
      <c r="T1154" s="2" t="str">
        <f>IFERROR(__xludf.DUMMYFUNCTION("""COMPUTED_VALUE"""),"Digizag")</f>
        <v>Digizag</v>
      </c>
      <c r="U1154" s="5">
        <f>IFERROR(__xludf.DUMMYFUNCTION("""COMPUTED_VALUE"""),54.662439430000006)</f>
        <v>54.66243943</v>
      </c>
      <c r="V1154" s="2"/>
      <c r="W1154" s="2"/>
      <c r="X1154" s="2"/>
      <c r="Y1154" s="2"/>
      <c r="Z1154" s="2"/>
    </row>
    <row r="1155">
      <c r="A1155" s="6">
        <f>IFERROR(__xludf.DUMMYFUNCTION("""COMPUTED_VALUE"""),45924.90534722222)</f>
        <v>45924.90535</v>
      </c>
      <c r="B1155" s="2" t="str">
        <f>IFERROR(__xludf.DUMMYFUNCTION("""COMPUTED_VALUE"""),"September")</f>
        <v>September</v>
      </c>
      <c r="C1155" s="3">
        <f>IFERROR(__xludf.DUMMYFUNCTION("""COMPUTED_VALUE"""),347892.0)</f>
        <v>347892</v>
      </c>
      <c r="D1155" s="2" t="str">
        <f>IFERROR(__xludf.DUMMYFUNCTION("""COMPUTED_VALUE"""),"CC22")</f>
        <v>CC22</v>
      </c>
      <c r="E1155" s="2" t="str">
        <f>IFERROR(__xludf.DUMMYFUNCTION("""COMPUTED_VALUE"""),"Imported from file Digizag.xlsx")</f>
        <v>Imported from file Digizag.xlsx</v>
      </c>
      <c r="F1155" s="2" t="str">
        <f>IFERROR(__xludf.DUMMYFUNCTION("""COMPUTED_VALUE"""),"BCB171602")</f>
        <v>BCB171602</v>
      </c>
      <c r="G1155" s="2" t="str">
        <f>IFERROR(__xludf.DUMMYFUNCTION("""COMPUTED_VALUE"""),"Kingdom of Saudi Arabia")</f>
        <v>Kingdom of Saudi Arabia</v>
      </c>
      <c r="H1155" s="4">
        <f>IFERROR(__xludf.DUMMYFUNCTION("""COMPUTED_VALUE"""),173.04)</f>
        <v>173.04</v>
      </c>
      <c r="I1155" s="3">
        <f>IFERROR(__xludf.DUMMYFUNCTION("""COMPUTED_VALUE"""),0.0)</f>
        <v>0</v>
      </c>
      <c r="J1155" s="4">
        <f>IFERROR(__xludf.DUMMYFUNCTION("""COMPUTED_VALUE"""),30.0)</f>
        <v>30</v>
      </c>
      <c r="K1155" s="2"/>
      <c r="L1155" s="2" t="str">
        <f>IFERROR(__xludf.DUMMYFUNCTION("""COMPUTED_VALUE"""),"Delivered")</f>
        <v>Delivered</v>
      </c>
      <c r="M1155" s="2" t="str">
        <f>IFERROR(__xludf.DUMMYFUNCTION("""COMPUTED_VALUE"""),"")</f>
        <v></v>
      </c>
      <c r="N1155" s="2" t="str">
        <f>IFERROR(__xludf.DUMMYFUNCTION("""COMPUTED_VALUE"""),"Credit, Debit, Apple Pay")</f>
        <v>Credit, Debit, Apple Pay</v>
      </c>
      <c r="O1155" s="4">
        <f>IFERROR(__xludf.DUMMYFUNCTION("""COMPUTED_VALUE"""),0.0)</f>
        <v>0</v>
      </c>
      <c r="P1155" s="2">
        <f>IFERROR(__xludf.DUMMYFUNCTION("""COMPUTED_VALUE"""),24.0)</f>
        <v>24</v>
      </c>
      <c r="Q1155" s="2">
        <f>IFERROR(__xludf.DUMMYFUNCTION("""COMPUTED_VALUE"""),9.0)</f>
        <v>9</v>
      </c>
      <c r="R1155" s="2">
        <f>IFERROR(__xludf.DUMMYFUNCTION("""COMPUTED_VALUE"""),2025.0)</f>
        <v>2025</v>
      </c>
      <c r="S1155" s="2" t="str">
        <f>IFERROR(__xludf.DUMMYFUNCTION("""COMPUTED_VALUE"""),"Digizag")</f>
        <v>Digizag</v>
      </c>
      <c r="T1155" s="2" t="str">
        <f>IFERROR(__xludf.DUMMYFUNCTION("""COMPUTED_VALUE"""),"Digizag")</f>
        <v>Digizag</v>
      </c>
      <c r="U1155" s="5">
        <f>IFERROR(__xludf.DUMMYFUNCTION("""COMPUTED_VALUE"""),46.14043179984)</f>
        <v>46.1404318</v>
      </c>
      <c r="V1155" s="2"/>
      <c r="W1155" s="2"/>
      <c r="X1155" s="2"/>
      <c r="Y1155" s="2"/>
      <c r="Z1155" s="2"/>
    </row>
    <row r="1156">
      <c r="A1156" s="6">
        <f>IFERROR(__xludf.DUMMYFUNCTION("""COMPUTED_VALUE"""),45925.34390046296)</f>
        <v>45925.3439</v>
      </c>
      <c r="B1156" s="2" t="str">
        <f>IFERROR(__xludf.DUMMYFUNCTION("""COMPUTED_VALUE"""),"September")</f>
        <v>September</v>
      </c>
      <c r="C1156" s="3">
        <f>IFERROR(__xludf.DUMMYFUNCTION("""COMPUTED_VALUE"""),222508.0)</f>
        <v>222508</v>
      </c>
      <c r="D1156" s="2" t="str">
        <f>IFERROR(__xludf.DUMMYFUNCTION("""COMPUTED_VALUE"""),"ZM22")</f>
        <v>ZM22</v>
      </c>
      <c r="E1156" s="2" t="str">
        <f>IFERROR(__xludf.DUMMYFUNCTION("""COMPUTED_VALUE"""),"Imported from file Digizag.xlsx")</f>
        <v>Imported from file Digizag.xlsx</v>
      </c>
      <c r="F1156" s="2" t="str">
        <f>IFERROR(__xludf.DUMMYFUNCTION("""COMPUTED_VALUE"""),"HDB563327")</f>
        <v>HDB563327</v>
      </c>
      <c r="G1156" s="2" t="str">
        <f>IFERROR(__xludf.DUMMYFUNCTION("""COMPUTED_VALUE"""),"Bahrain")</f>
        <v>Bahrain</v>
      </c>
      <c r="H1156" s="4">
        <f>IFERROR(__xludf.DUMMYFUNCTION("""COMPUTED_VALUE"""),25.74)</f>
        <v>25.74</v>
      </c>
      <c r="I1156" s="3">
        <f>IFERROR(__xludf.DUMMYFUNCTION("""COMPUTED_VALUE"""),0.0)</f>
        <v>0</v>
      </c>
      <c r="J1156" s="4">
        <f>IFERROR(__xludf.DUMMYFUNCTION("""COMPUTED_VALUE"""),2.55)</f>
        <v>2.55</v>
      </c>
      <c r="K1156" s="2"/>
      <c r="L1156" s="2" t="str">
        <f>IFERROR(__xludf.DUMMYFUNCTION("""COMPUTED_VALUE"""),"Delivered")</f>
        <v>Delivered</v>
      </c>
      <c r="M1156" s="2" t="str">
        <f>IFERROR(__xludf.DUMMYFUNCTION("""COMPUTED_VALUE"""),"BHD")</f>
        <v>BHD</v>
      </c>
      <c r="N1156" s="2" t="str">
        <f>IFERROR(__xludf.DUMMYFUNCTION("""COMPUTED_VALUE"""),"Credit, Debit")</f>
        <v>Credit, Debit</v>
      </c>
      <c r="O1156" s="4">
        <f>IFERROR(__xludf.DUMMYFUNCTION("""COMPUTED_VALUE"""),0.0)</f>
        <v>0</v>
      </c>
      <c r="P1156" s="2">
        <f>IFERROR(__xludf.DUMMYFUNCTION("""COMPUTED_VALUE"""),25.0)</f>
        <v>25</v>
      </c>
      <c r="Q1156" s="2">
        <f>IFERROR(__xludf.DUMMYFUNCTION("""COMPUTED_VALUE"""),9.0)</f>
        <v>9</v>
      </c>
      <c r="R1156" s="2">
        <f>IFERROR(__xludf.DUMMYFUNCTION("""COMPUTED_VALUE"""),2025.0)</f>
        <v>2025</v>
      </c>
      <c r="S1156" s="2" t="str">
        <f>IFERROR(__xludf.DUMMYFUNCTION("""COMPUTED_VALUE"""),"Digizag")</f>
        <v>Digizag</v>
      </c>
      <c r="T1156" s="2" t="str">
        <f>IFERROR(__xludf.DUMMYFUNCTION("""COMPUTED_VALUE"""),"Digizag")</f>
        <v>Digizag</v>
      </c>
      <c r="U1156" s="5">
        <f>IFERROR(__xludf.DUMMYFUNCTION("""COMPUTED_VALUE"""),68.28608358)</f>
        <v>68.28608358</v>
      </c>
      <c r="V1156" s="2"/>
      <c r="W1156" s="2"/>
      <c r="X1156" s="2"/>
      <c r="Y1156" s="2"/>
      <c r="Z1156" s="2"/>
    </row>
    <row r="1157">
      <c r="A1157" s="6">
        <f>IFERROR(__xludf.DUMMYFUNCTION("""COMPUTED_VALUE"""),45925.43598379629)</f>
        <v>45925.43598</v>
      </c>
      <c r="B1157" s="2" t="str">
        <f>IFERROR(__xludf.DUMMYFUNCTION("""COMPUTED_VALUE"""),"September")</f>
        <v>September</v>
      </c>
      <c r="C1157" s="3">
        <f>IFERROR(__xludf.DUMMYFUNCTION("""COMPUTED_VALUE"""),470509.0)</f>
        <v>470509</v>
      </c>
      <c r="D1157" s="2" t="str">
        <f>IFERROR(__xludf.DUMMYFUNCTION("""COMPUTED_VALUE"""),"DB7")</f>
        <v>DB7</v>
      </c>
      <c r="E1157" s="2" t="str">
        <f>IFERROR(__xludf.DUMMYFUNCTION("""COMPUTED_VALUE"""),"Digizag")</f>
        <v>Digizag</v>
      </c>
      <c r="F1157" s="2" t="str">
        <f>IFERROR(__xludf.DUMMYFUNCTION("""COMPUTED_VALUE"""),"HQX440576")</f>
        <v>HQX440576</v>
      </c>
      <c r="G1157" s="2" t="str">
        <f>IFERROR(__xludf.DUMMYFUNCTION("""COMPUTED_VALUE"""),"Kingdom of Saudi Arabia")</f>
        <v>Kingdom of Saudi Arabia</v>
      </c>
      <c r="H1157" s="4">
        <f>IFERROR(__xludf.DUMMYFUNCTION("""COMPUTED_VALUE"""),153.0)</f>
        <v>153</v>
      </c>
      <c r="I1157" s="3">
        <f>IFERROR(__xludf.DUMMYFUNCTION("""COMPUTED_VALUE"""),0.0)</f>
        <v>0</v>
      </c>
      <c r="J1157" s="4">
        <f>IFERROR(__xludf.DUMMYFUNCTION("""COMPUTED_VALUE"""),30.0)</f>
        <v>30</v>
      </c>
      <c r="K1157" s="2"/>
      <c r="L1157" s="2" t="str">
        <f>IFERROR(__xludf.DUMMYFUNCTION("""COMPUTED_VALUE"""),"Delivered")</f>
        <v>Delivered</v>
      </c>
      <c r="M1157" s="2" t="str">
        <f>IFERROR(__xludf.DUMMYFUNCTION("""COMPUTED_VALUE"""),"")</f>
        <v></v>
      </c>
      <c r="N1157" s="2" t="str">
        <f>IFERROR(__xludf.DUMMYFUNCTION("""COMPUTED_VALUE"""),"Credit, Debit, Apple Pay")</f>
        <v>Credit, Debit, Apple Pay</v>
      </c>
      <c r="O1157" s="4">
        <f>IFERROR(__xludf.DUMMYFUNCTION("""COMPUTED_VALUE"""),0.0)</f>
        <v>0</v>
      </c>
      <c r="P1157" s="2">
        <f>IFERROR(__xludf.DUMMYFUNCTION("""COMPUTED_VALUE"""),25.0)</f>
        <v>25</v>
      </c>
      <c r="Q1157" s="2">
        <f>IFERROR(__xludf.DUMMYFUNCTION("""COMPUTED_VALUE"""),9.0)</f>
        <v>9</v>
      </c>
      <c r="R1157" s="2">
        <f>IFERROR(__xludf.DUMMYFUNCTION("""COMPUTED_VALUE"""),2025.0)</f>
        <v>2025</v>
      </c>
      <c r="S1157" s="2" t="str">
        <f>IFERROR(__xludf.DUMMYFUNCTION("""COMPUTED_VALUE"""),"Digizag")</f>
        <v>Digizag</v>
      </c>
      <c r="T1157" s="2" t="str">
        <f>IFERROR(__xludf.DUMMYFUNCTION("""COMPUTED_VALUE"""),"Digizag")</f>
        <v>Digizag</v>
      </c>
      <c r="U1157" s="5">
        <f>IFERROR(__xludf.DUMMYFUNCTION("""COMPUTED_VALUE"""),40.796845038)</f>
        <v>40.79684504</v>
      </c>
      <c r="V1157" s="2"/>
      <c r="W1157" s="2"/>
      <c r="X1157" s="2"/>
      <c r="Y1157" s="2"/>
      <c r="Z1157" s="2"/>
    </row>
    <row r="1158">
      <c r="A1158" s="6">
        <f>IFERROR(__xludf.DUMMYFUNCTION("""COMPUTED_VALUE"""),45925.47212962963)</f>
        <v>45925.47213</v>
      </c>
      <c r="B1158" s="2" t="str">
        <f>IFERROR(__xludf.DUMMYFUNCTION("""COMPUTED_VALUE"""),"September")</f>
        <v>September</v>
      </c>
      <c r="C1158" s="3">
        <f>IFERROR(__xludf.DUMMYFUNCTION("""COMPUTED_VALUE"""),23298.0)</f>
        <v>23298</v>
      </c>
      <c r="D1158" s="2" t="str">
        <f>IFERROR(__xludf.DUMMYFUNCTION("""COMPUTED_VALUE"""),"JM")</f>
        <v>JM</v>
      </c>
      <c r="E1158" s="2" t="str">
        <f>IFERROR(__xludf.DUMMYFUNCTION("""COMPUTED_VALUE"""),"Digizag")</f>
        <v>Digizag</v>
      </c>
      <c r="F1158" s="2" t="str">
        <f>IFERROR(__xludf.DUMMYFUNCTION("""COMPUTED_VALUE"""),"BBS323897")</f>
        <v>BBS323897</v>
      </c>
      <c r="G1158" s="2" t="str">
        <f>IFERROR(__xludf.DUMMYFUNCTION("""COMPUTED_VALUE"""),"Kuwait")</f>
        <v>Kuwait</v>
      </c>
      <c r="H1158" s="4">
        <f>IFERROR(__xludf.DUMMYFUNCTION("""COMPUTED_VALUE"""),23.8)</f>
        <v>23.8</v>
      </c>
      <c r="I1158" s="3">
        <f>IFERROR(__xludf.DUMMYFUNCTION("""COMPUTED_VALUE"""),0.0)</f>
        <v>0</v>
      </c>
      <c r="J1158" s="4">
        <f>IFERROR(__xludf.DUMMYFUNCTION("""COMPUTED_VALUE"""),2.38)</f>
        <v>2.38</v>
      </c>
      <c r="K1158" s="2"/>
      <c r="L1158" s="2" t="str">
        <f>IFERROR(__xludf.DUMMYFUNCTION("""COMPUTED_VALUE"""),"Delivered")</f>
        <v>Delivered</v>
      </c>
      <c r="M1158" s="2" t="str">
        <f>IFERROR(__xludf.DUMMYFUNCTION("""COMPUTED_VALUE"""),"KD")</f>
        <v>KD</v>
      </c>
      <c r="N1158" s="2" t="str">
        <f>IFERROR(__xludf.DUMMYFUNCTION("""COMPUTED_VALUE"""),"Credit, Debit, Knet")</f>
        <v>Credit, Debit, Knet</v>
      </c>
      <c r="O1158" s="4">
        <f>IFERROR(__xludf.DUMMYFUNCTION("""COMPUTED_VALUE"""),0.0)</f>
        <v>0</v>
      </c>
      <c r="P1158" s="2">
        <f>IFERROR(__xludf.DUMMYFUNCTION("""COMPUTED_VALUE"""),25.0)</f>
        <v>25</v>
      </c>
      <c r="Q1158" s="2">
        <f>IFERROR(__xludf.DUMMYFUNCTION("""COMPUTED_VALUE"""),9.0)</f>
        <v>9</v>
      </c>
      <c r="R1158" s="2">
        <f>IFERROR(__xludf.DUMMYFUNCTION("""COMPUTED_VALUE"""),2025.0)</f>
        <v>2025</v>
      </c>
      <c r="S1158" s="2" t="str">
        <f>IFERROR(__xludf.DUMMYFUNCTION("""COMPUTED_VALUE"""),"Digizag")</f>
        <v>Digizag</v>
      </c>
      <c r="T1158" s="2" t="str">
        <f>IFERROR(__xludf.DUMMYFUNCTION("""COMPUTED_VALUE"""),"Digizag")</f>
        <v>Digizag</v>
      </c>
      <c r="U1158" s="5">
        <f>IFERROR(__xludf.DUMMYFUNCTION("""COMPUTED_VALUE"""),77.602756)</f>
        <v>77.602756</v>
      </c>
      <c r="V1158" s="2"/>
      <c r="W1158" s="2"/>
      <c r="X1158" s="2"/>
      <c r="Y1158" s="2"/>
      <c r="Z1158" s="2"/>
    </row>
    <row r="1159">
      <c r="A1159" s="6">
        <f>IFERROR(__xludf.DUMMYFUNCTION("""COMPUTED_VALUE"""),45925.49328703703)</f>
        <v>45925.49329</v>
      </c>
      <c r="B1159" s="2" t="str">
        <f>IFERROR(__xludf.DUMMYFUNCTION("""COMPUTED_VALUE"""),"September")</f>
        <v>September</v>
      </c>
      <c r="C1159" s="3">
        <f>IFERROR(__xludf.DUMMYFUNCTION("""COMPUTED_VALUE"""),805518.0)</f>
        <v>805518</v>
      </c>
      <c r="D1159" s="2" t="str">
        <f>IFERROR(__xludf.DUMMYFUNCTION("""COMPUTED_VALUE"""),"MNN27")</f>
        <v>MNN27</v>
      </c>
      <c r="E1159" s="2" t="str">
        <f>IFERROR(__xludf.DUMMYFUNCTION("""COMPUTED_VALUE"""),"Imported from file DigiZag Codes 25Feb25.xlsx")</f>
        <v>Imported from file DigiZag Codes 25Feb25.xlsx</v>
      </c>
      <c r="F1159" s="2" t="str">
        <f>IFERROR(__xludf.DUMMYFUNCTION("""COMPUTED_VALUE"""),"LYB834497")</f>
        <v>LYB834497</v>
      </c>
      <c r="G1159" s="2" t="str">
        <f>IFERROR(__xludf.DUMMYFUNCTION("""COMPUTED_VALUE"""),"Kuwait")</f>
        <v>Kuwait</v>
      </c>
      <c r="H1159" s="4">
        <f>IFERROR(__xludf.DUMMYFUNCTION("""COMPUTED_VALUE"""),22.9)</f>
        <v>22.9</v>
      </c>
      <c r="I1159" s="3">
        <f>IFERROR(__xludf.DUMMYFUNCTION("""COMPUTED_VALUE"""),0.0)</f>
        <v>0</v>
      </c>
      <c r="J1159" s="4">
        <f>IFERROR(__xludf.DUMMYFUNCTION("""COMPUTED_VALUE"""),2.29)</f>
        <v>2.29</v>
      </c>
      <c r="K1159" s="2"/>
      <c r="L1159" s="2" t="str">
        <f>IFERROR(__xludf.DUMMYFUNCTION("""COMPUTED_VALUE"""),"Delivered")</f>
        <v>Delivered</v>
      </c>
      <c r="M1159" s="2" t="str">
        <f>IFERROR(__xludf.DUMMYFUNCTION("""COMPUTED_VALUE"""),"KD")</f>
        <v>KD</v>
      </c>
      <c r="N1159" s="2" t="str">
        <f>IFERROR(__xludf.DUMMYFUNCTION("""COMPUTED_VALUE"""),"Credit, Debit, Knet")</f>
        <v>Credit, Debit, Knet</v>
      </c>
      <c r="O1159" s="4">
        <f>IFERROR(__xludf.DUMMYFUNCTION("""COMPUTED_VALUE"""),0.0)</f>
        <v>0</v>
      </c>
      <c r="P1159" s="2">
        <f>IFERROR(__xludf.DUMMYFUNCTION("""COMPUTED_VALUE"""),25.0)</f>
        <v>25</v>
      </c>
      <c r="Q1159" s="2">
        <f>IFERROR(__xludf.DUMMYFUNCTION("""COMPUTED_VALUE"""),9.0)</f>
        <v>9</v>
      </c>
      <c r="R1159" s="2">
        <f>IFERROR(__xludf.DUMMYFUNCTION("""COMPUTED_VALUE"""),2025.0)</f>
        <v>2025</v>
      </c>
      <c r="S1159" s="2" t="str">
        <f>IFERROR(__xludf.DUMMYFUNCTION("""COMPUTED_VALUE"""),"Digizag")</f>
        <v>Digizag</v>
      </c>
      <c r="T1159" s="2" t="str">
        <f>IFERROR(__xludf.DUMMYFUNCTION("""COMPUTED_VALUE"""),"Digizag")</f>
        <v>Digizag</v>
      </c>
      <c r="U1159" s="5">
        <f>IFERROR(__xludf.DUMMYFUNCTION("""COMPUTED_VALUE"""),74.66819799999999)</f>
        <v>74.668198</v>
      </c>
      <c r="V1159" s="2"/>
      <c r="W1159" s="2"/>
      <c r="X1159" s="2"/>
      <c r="Y1159" s="2"/>
      <c r="Z1159" s="2"/>
    </row>
    <row r="1160">
      <c r="A1160" s="6">
        <f>IFERROR(__xludf.DUMMYFUNCTION("""COMPUTED_VALUE"""),45925.62511574074)</f>
        <v>45925.62512</v>
      </c>
      <c r="B1160" s="2" t="str">
        <f>IFERROR(__xludf.DUMMYFUNCTION("""COMPUTED_VALUE"""),"September")</f>
        <v>September</v>
      </c>
      <c r="C1160" s="3">
        <f>IFERROR(__xludf.DUMMYFUNCTION("""COMPUTED_VALUE"""),133871.0)</f>
        <v>133871</v>
      </c>
      <c r="D1160" s="2" t="str">
        <f>IFERROR(__xludf.DUMMYFUNCTION("""COMPUTED_VALUE"""),"CC22")</f>
        <v>CC22</v>
      </c>
      <c r="E1160" s="2" t="str">
        <f>IFERROR(__xludf.DUMMYFUNCTION("""COMPUTED_VALUE"""),"Imported from file Digizag.xlsx")</f>
        <v>Imported from file Digizag.xlsx</v>
      </c>
      <c r="F1160" s="2" t="str">
        <f>IFERROR(__xludf.DUMMYFUNCTION("""COMPUTED_VALUE"""),"TWA493232")</f>
        <v>TWA493232</v>
      </c>
      <c r="G1160" s="2" t="str">
        <f>IFERROR(__xludf.DUMMYFUNCTION("""COMPUTED_VALUE"""),"Kuwait")</f>
        <v>Kuwait</v>
      </c>
      <c r="H1160" s="4">
        <f>IFERROR(__xludf.DUMMYFUNCTION("""COMPUTED_VALUE"""),16.9)</f>
        <v>16.9</v>
      </c>
      <c r="I1160" s="3">
        <f>IFERROR(__xludf.DUMMYFUNCTION("""COMPUTED_VALUE"""),0.0)</f>
        <v>0</v>
      </c>
      <c r="J1160" s="4">
        <f>IFERROR(__xludf.DUMMYFUNCTION("""COMPUTED_VALUE"""),1.69)</f>
        <v>1.69</v>
      </c>
      <c r="K1160" s="2"/>
      <c r="L1160" s="2" t="str">
        <f>IFERROR(__xludf.DUMMYFUNCTION("""COMPUTED_VALUE"""),"Delivered")</f>
        <v>Delivered</v>
      </c>
      <c r="M1160" s="2" t="str">
        <f>IFERROR(__xludf.DUMMYFUNCTION("""COMPUTED_VALUE"""),"KD")</f>
        <v>KD</v>
      </c>
      <c r="N1160" s="2" t="str">
        <f>IFERROR(__xludf.DUMMYFUNCTION("""COMPUTED_VALUE"""),"Credit, Debit, Knet")</f>
        <v>Credit, Debit, Knet</v>
      </c>
      <c r="O1160" s="4">
        <f>IFERROR(__xludf.DUMMYFUNCTION("""COMPUTED_VALUE"""),0.0)</f>
        <v>0</v>
      </c>
      <c r="P1160" s="2">
        <f>IFERROR(__xludf.DUMMYFUNCTION("""COMPUTED_VALUE"""),25.0)</f>
        <v>25</v>
      </c>
      <c r="Q1160" s="2">
        <f>IFERROR(__xludf.DUMMYFUNCTION("""COMPUTED_VALUE"""),9.0)</f>
        <v>9</v>
      </c>
      <c r="R1160" s="2">
        <f>IFERROR(__xludf.DUMMYFUNCTION("""COMPUTED_VALUE"""),2025.0)</f>
        <v>2025</v>
      </c>
      <c r="S1160" s="2" t="str">
        <f>IFERROR(__xludf.DUMMYFUNCTION("""COMPUTED_VALUE"""),"Digizag")</f>
        <v>Digizag</v>
      </c>
      <c r="T1160" s="2" t="str">
        <f>IFERROR(__xludf.DUMMYFUNCTION("""COMPUTED_VALUE"""),"Digizag")</f>
        <v>Digizag</v>
      </c>
      <c r="U1160" s="5">
        <f>IFERROR(__xludf.DUMMYFUNCTION("""COMPUTED_VALUE"""),55.10447799999999)</f>
        <v>55.104478</v>
      </c>
      <c r="V1160" s="2"/>
      <c r="W1160" s="2"/>
      <c r="X1160" s="2"/>
      <c r="Y1160" s="2"/>
      <c r="Z1160" s="2"/>
    </row>
    <row r="1161">
      <c r="A1161" s="6">
        <f>IFERROR(__xludf.DUMMYFUNCTION("""COMPUTED_VALUE"""),45925.650671296295)</f>
        <v>45925.65067</v>
      </c>
      <c r="B1161" s="2" t="str">
        <f>IFERROR(__xludf.DUMMYFUNCTION("""COMPUTED_VALUE"""),"September")</f>
        <v>September</v>
      </c>
      <c r="C1161" s="3">
        <f>IFERROR(__xludf.DUMMYFUNCTION("""COMPUTED_VALUE"""),298233.0)</f>
        <v>298233</v>
      </c>
      <c r="D1161" s="2" t="str">
        <f>IFERROR(__xludf.DUMMYFUNCTION("""COMPUTED_VALUE"""),"DB7")</f>
        <v>DB7</v>
      </c>
      <c r="E1161" s="2" t="str">
        <f>IFERROR(__xludf.DUMMYFUNCTION("""COMPUTED_VALUE"""),"Digizag")</f>
        <v>Digizag</v>
      </c>
      <c r="F1161" s="2" t="str">
        <f>IFERROR(__xludf.DUMMYFUNCTION("""COMPUTED_VALUE"""),"MYT689653")</f>
        <v>MYT689653</v>
      </c>
      <c r="G1161" s="2" t="str">
        <f>IFERROR(__xludf.DUMMYFUNCTION("""COMPUTED_VALUE"""),"Kuwait")</f>
        <v>Kuwait</v>
      </c>
      <c r="H1161" s="4">
        <f>IFERROR(__xludf.DUMMYFUNCTION("""COMPUTED_VALUE"""),21.9)</f>
        <v>21.9</v>
      </c>
      <c r="I1161" s="3">
        <f>IFERROR(__xludf.DUMMYFUNCTION("""COMPUTED_VALUE"""),0.0)</f>
        <v>0</v>
      </c>
      <c r="J1161" s="4">
        <f>IFERROR(__xludf.DUMMYFUNCTION("""COMPUTED_VALUE"""),2.19)</f>
        <v>2.19</v>
      </c>
      <c r="K1161" s="2"/>
      <c r="L1161" s="2" t="str">
        <f>IFERROR(__xludf.DUMMYFUNCTION("""COMPUTED_VALUE"""),"Delivered")</f>
        <v>Delivered</v>
      </c>
      <c r="M1161" s="2" t="str">
        <f>IFERROR(__xludf.DUMMYFUNCTION("""COMPUTED_VALUE"""),"KD")</f>
        <v>KD</v>
      </c>
      <c r="N1161" s="2" t="str">
        <f>IFERROR(__xludf.DUMMYFUNCTION("""COMPUTED_VALUE"""),"Credit, Debit, Knet")</f>
        <v>Credit, Debit, Knet</v>
      </c>
      <c r="O1161" s="4">
        <f>IFERROR(__xludf.DUMMYFUNCTION("""COMPUTED_VALUE"""),0.0)</f>
        <v>0</v>
      </c>
      <c r="P1161" s="2">
        <f>IFERROR(__xludf.DUMMYFUNCTION("""COMPUTED_VALUE"""),25.0)</f>
        <v>25</v>
      </c>
      <c r="Q1161" s="2">
        <f>IFERROR(__xludf.DUMMYFUNCTION("""COMPUTED_VALUE"""),9.0)</f>
        <v>9</v>
      </c>
      <c r="R1161" s="2">
        <f>IFERROR(__xludf.DUMMYFUNCTION("""COMPUTED_VALUE"""),2025.0)</f>
        <v>2025</v>
      </c>
      <c r="S1161" s="2" t="str">
        <f>IFERROR(__xludf.DUMMYFUNCTION("""COMPUTED_VALUE"""),"Digizag")</f>
        <v>Digizag</v>
      </c>
      <c r="T1161" s="2" t="str">
        <f>IFERROR(__xludf.DUMMYFUNCTION("""COMPUTED_VALUE"""),"Digizag")</f>
        <v>Digizag</v>
      </c>
      <c r="U1161" s="5">
        <f>IFERROR(__xludf.DUMMYFUNCTION("""COMPUTED_VALUE"""),71.40757799999999)</f>
        <v>71.407578</v>
      </c>
      <c r="V1161" s="2"/>
      <c r="W1161" s="2"/>
      <c r="X1161" s="2"/>
      <c r="Y1161" s="2"/>
      <c r="Z1161" s="2"/>
    </row>
    <row r="1162">
      <c r="A1162" s="6">
        <f>IFERROR(__xludf.DUMMYFUNCTION("""COMPUTED_VALUE"""),45925.674259259256)</f>
        <v>45925.67426</v>
      </c>
      <c r="B1162" s="2" t="str">
        <f>IFERROR(__xludf.DUMMYFUNCTION("""COMPUTED_VALUE"""),"September")</f>
        <v>September</v>
      </c>
      <c r="C1162" s="3">
        <f>IFERROR(__xludf.DUMMYFUNCTION("""COMPUTED_VALUE"""),387318.0)</f>
        <v>387318</v>
      </c>
      <c r="D1162" s="2" t="str">
        <f>IFERROR(__xludf.DUMMYFUNCTION("""COMPUTED_VALUE"""),"ZM22")</f>
        <v>ZM22</v>
      </c>
      <c r="E1162" s="2" t="str">
        <f>IFERROR(__xludf.DUMMYFUNCTION("""COMPUTED_VALUE"""),"Imported from file Digizag.xlsx")</f>
        <v>Imported from file Digizag.xlsx</v>
      </c>
      <c r="F1162" s="2" t="str">
        <f>IFERROR(__xludf.DUMMYFUNCTION("""COMPUTED_VALUE"""),"BMZ184036")</f>
        <v>BMZ184036</v>
      </c>
      <c r="G1162" s="2" t="str">
        <f>IFERROR(__xludf.DUMMYFUNCTION("""COMPUTED_VALUE"""),"UAE")</f>
        <v>UAE</v>
      </c>
      <c r="H1162" s="4">
        <f>IFERROR(__xludf.DUMMYFUNCTION("""COMPUTED_VALUE"""),328.05)</f>
        <v>328.05</v>
      </c>
      <c r="I1162" s="3">
        <f>IFERROR(__xludf.DUMMYFUNCTION("""COMPUTED_VALUE"""),0.0)</f>
        <v>0</v>
      </c>
      <c r="J1162" s="4">
        <f>IFERROR(__xludf.DUMMYFUNCTION("""COMPUTED_VALUE"""),32.8)</f>
        <v>32.8</v>
      </c>
      <c r="K1162" s="2"/>
      <c r="L1162" s="2" t="str">
        <f>IFERROR(__xludf.DUMMYFUNCTION("""COMPUTED_VALUE"""),"Delivered")</f>
        <v>Delivered</v>
      </c>
      <c r="M1162" s="2" t="str">
        <f>IFERROR(__xludf.DUMMYFUNCTION("""COMPUTED_VALUE"""),"")</f>
        <v></v>
      </c>
      <c r="N1162" s="2" t="str">
        <f>IFERROR(__xludf.DUMMYFUNCTION("""COMPUTED_VALUE"""),"Credit, Debit , Apple Pay")</f>
        <v>Credit, Debit , Apple Pay</v>
      </c>
      <c r="O1162" s="4">
        <f>IFERROR(__xludf.DUMMYFUNCTION("""COMPUTED_VALUE"""),0.0)</f>
        <v>0</v>
      </c>
      <c r="P1162" s="2">
        <f>IFERROR(__xludf.DUMMYFUNCTION("""COMPUTED_VALUE"""),25.0)</f>
        <v>25</v>
      </c>
      <c r="Q1162" s="2">
        <f>IFERROR(__xludf.DUMMYFUNCTION("""COMPUTED_VALUE"""),9.0)</f>
        <v>9</v>
      </c>
      <c r="R1162" s="2">
        <f>IFERROR(__xludf.DUMMYFUNCTION("""COMPUTED_VALUE"""),2025.0)</f>
        <v>2025</v>
      </c>
      <c r="S1162" s="2" t="str">
        <f>IFERROR(__xludf.DUMMYFUNCTION("""COMPUTED_VALUE"""),"Digizag")</f>
        <v>Digizag</v>
      </c>
      <c r="T1162" s="2" t="str">
        <f>IFERROR(__xludf.DUMMYFUNCTION("""COMPUTED_VALUE"""),"Digizag")</f>
        <v>Digizag</v>
      </c>
      <c r="U1162" s="5">
        <f>IFERROR(__xludf.DUMMYFUNCTION("""COMPUTED_VALUE"""),89.3260722879)</f>
        <v>89.32607229</v>
      </c>
      <c r="V1162" s="2"/>
      <c r="W1162" s="2"/>
      <c r="X1162" s="2"/>
      <c r="Y1162" s="2"/>
      <c r="Z1162" s="2"/>
    </row>
    <row r="1163">
      <c r="A1163" s="6">
        <f>IFERROR(__xludf.DUMMYFUNCTION("""COMPUTED_VALUE"""),45925.71680555555)</f>
        <v>45925.71681</v>
      </c>
      <c r="B1163" s="2" t="str">
        <f>IFERROR(__xludf.DUMMYFUNCTION("""COMPUTED_VALUE"""),"September")</f>
        <v>September</v>
      </c>
      <c r="C1163" s="3">
        <f>IFERROR(__xludf.DUMMYFUNCTION("""COMPUTED_VALUE"""),39580.0)</f>
        <v>39580</v>
      </c>
      <c r="D1163" s="2" t="str">
        <f>IFERROR(__xludf.DUMMYFUNCTION("""COMPUTED_VALUE"""),"RR22")</f>
        <v>RR22</v>
      </c>
      <c r="E1163" s="2" t="str">
        <f>IFERROR(__xludf.DUMMYFUNCTION("""COMPUTED_VALUE"""),"Imported from file Digizag.xlsx")</f>
        <v>Imported from file Digizag.xlsx</v>
      </c>
      <c r="F1163" s="2" t="str">
        <f>IFERROR(__xludf.DUMMYFUNCTION("""COMPUTED_VALUE"""),"MMK277074")</f>
        <v>MMK277074</v>
      </c>
      <c r="G1163" s="2" t="str">
        <f>IFERROR(__xludf.DUMMYFUNCTION("""COMPUTED_VALUE"""),"UAE")</f>
        <v>UAE</v>
      </c>
      <c r="H1163" s="4">
        <f>IFERROR(__xludf.DUMMYFUNCTION("""COMPUTED_VALUE"""),358.0)</f>
        <v>358</v>
      </c>
      <c r="I1163" s="3">
        <f>IFERROR(__xludf.DUMMYFUNCTION("""COMPUTED_VALUE"""),0.0)</f>
        <v>0</v>
      </c>
      <c r="J1163" s="4">
        <f>IFERROR(__xludf.DUMMYFUNCTION("""COMPUTED_VALUE"""),35.8)</f>
        <v>35.8</v>
      </c>
      <c r="K1163" s="2"/>
      <c r="L1163" s="2" t="str">
        <f>IFERROR(__xludf.DUMMYFUNCTION("""COMPUTED_VALUE"""),"Delivered")</f>
        <v>Delivered</v>
      </c>
      <c r="M1163" s="2" t="str">
        <f>IFERROR(__xludf.DUMMYFUNCTION("""COMPUTED_VALUE"""),"")</f>
        <v></v>
      </c>
      <c r="N1163" s="2" t="str">
        <f>IFERROR(__xludf.DUMMYFUNCTION("""COMPUTED_VALUE"""),"Credit, Debit , Apple Pay")</f>
        <v>Credit, Debit , Apple Pay</v>
      </c>
      <c r="O1163" s="4">
        <f>IFERROR(__xludf.DUMMYFUNCTION("""COMPUTED_VALUE"""),0.0)</f>
        <v>0</v>
      </c>
      <c r="P1163" s="2">
        <f>IFERROR(__xludf.DUMMYFUNCTION("""COMPUTED_VALUE"""),25.0)</f>
        <v>25</v>
      </c>
      <c r="Q1163" s="2">
        <f>IFERROR(__xludf.DUMMYFUNCTION("""COMPUTED_VALUE"""),9.0)</f>
        <v>9</v>
      </c>
      <c r="R1163" s="2">
        <f>IFERROR(__xludf.DUMMYFUNCTION("""COMPUTED_VALUE"""),2025.0)</f>
        <v>2025</v>
      </c>
      <c r="S1163" s="2" t="str">
        <f>IFERROR(__xludf.DUMMYFUNCTION("""COMPUTED_VALUE"""),"Digizag")</f>
        <v>Digizag</v>
      </c>
      <c r="T1163" s="2" t="str">
        <f>IFERROR(__xludf.DUMMYFUNCTION("""COMPUTED_VALUE"""),"Digizag")</f>
        <v>Digizag</v>
      </c>
      <c r="U1163" s="5">
        <f>IFERROR(__xludf.DUMMYFUNCTION("""COMPUTED_VALUE"""),97.48127992399999)</f>
        <v>97.48127992</v>
      </c>
      <c r="V1163" s="2"/>
      <c r="W1163" s="2"/>
      <c r="X1163" s="2"/>
      <c r="Y1163" s="2"/>
      <c r="Z1163" s="2"/>
    </row>
    <row r="1164">
      <c r="A1164" s="6">
        <f>IFERROR(__xludf.DUMMYFUNCTION("""COMPUTED_VALUE"""),45925.75912037037)</f>
        <v>45925.75912</v>
      </c>
      <c r="B1164" s="2" t="str">
        <f>IFERROR(__xludf.DUMMYFUNCTION("""COMPUTED_VALUE"""),"September")</f>
        <v>September</v>
      </c>
      <c r="C1164" s="3">
        <f>IFERROR(__xludf.DUMMYFUNCTION("""COMPUTED_VALUE"""),805590.0)</f>
        <v>805590</v>
      </c>
      <c r="D1164" s="2" t="str">
        <f>IFERROR(__xludf.DUMMYFUNCTION("""COMPUTED_VALUE"""),"RR22")</f>
        <v>RR22</v>
      </c>
      <c r="E1164" s="2" t="str">
        <f>IFERROR(__xludf.DUMMYFUNCTION("""COMPUTED_VALUE"""),"Imported from file Digizag.xlsx")</f>
        <v>Imported from file Digizag.xlsx</v>
      </c>
      <c r="F1164" s="2" t="str">
        <f>IFERROR(__xludf.DUMMYFUNCTION("""COMPUTED_VALUE"""),"WVS154113")</f>
        <v>WVS154113</v>
      </c>
      <c r="G1164" s="2" t="str">
        <f>IFERROR(__xludf.DUMMYFUNCTION("""COMPUTED_VALUE"""),"UAE")</f>
        <v>UAE</v>
      </c>
      <c r="H1164" s="4">
        <f>IFERROR(__xludf.DUMMYFUNCTION("""COMPUTED_VALUE"""),643.27)</f>
        <v>643.27</v>
      </c>
      <c r="I1164" s="3">
        <f>IFERROR(__xludf.DUMMYFUNCTION("""COMPUTED_VALUE"""),0.0)</f>
        <v>0</v>
      </c>
      <c r="J1164" s="4">
        <f>IFERROR(__xludf.DUMMYFUNCTION("""COMPUTED_VALUE"""),64.28)</f>
        <v>64.28</v>
      </c>
      <c r="K1164" s="2"/>
      <c r="L1164" s="2" t="str">
        <f>IFERROR(__xludf.DUMMYFUNCTION("""COMPUTED_VALUE"""),"Delivered")</f>
        <v>Delivered</v>
      </c>
      <c r="M1164" s="2" t="str">
        <f>IFERROR(__xludf.DUMMYFUNCTION("""COMPUTED_VALUE"""),"")</f>
        <v></v>
      </c>
      <c r="N1164" s="2" t="str">
        <f>IFERROR(__xludf.DUMMYFUNCTION("""COMPUTED_VALUE"""),"Credit, Debit , Apple Pay")</f>
        <v>Credit, Debit , Apple Pay</v>
      </c>
      <c r="O1164" s="4">
        <f>IFERROR(__xludf.DUMMYFUNCTION("""COMPUTED_VALUE"""),0.0)</f>
        <v>0</v>
      </c>
      <c r="P1164" s="2">
        <f>IFERROR(__xludf.DUMMYFUNCTION("""COMPUTED_VALUE"""),25.0)</f>
        <v>25</v>
      </c>
      <c r="Q1164" s="2">
        <f>IFERROR(__xludf.DUMMYFUNCTION("""COMPUTED_VALUE"""),9.0)</f>
        <v>9</v>
      </c>
      <c r="R1164" s="2">
        <f>IFERROR(__xludf.DUMMYFUNCTION("""COMPUTED_VALUE"""),2025.0)</f>
        <v>2025</v>
      </c>
      <c r="S1164" s="2" t="str">
        <f>IFERROR(__xludf.DUMMYFUNCTION("""COMPUTED_VALUE"""),"Digizag")</f>
        <v>Digizag</v>
      </c>
      <c r="T1164" s="2" t="str">
        <f>IFERROR(__xludf.DUMMYFUNCTION("""COMPUTED_VALUE"""),"Digizag")</f>
        <v>Digizag</v>
      </c>
      <c r="U1164" s="5">
        <f>IFERROR(__xludf.DUMMYFUNCTION("""COMPUTED_VALUE"""),175.15861155506)</f>
        <v>175.1586116</v>
      </c>
      <c r="V1164" s="2"/>
      <c r="W1164" s="2"/>
      <c r="X1164" s="2"/>
      <c r="Y1164" s="2"/>
      <c r="Z1164" s="2"/>
    </row>
    <row r="1165">
      <c r="A1165" s="6">
        <f>IFERROR(__xludf.DUMMYFUNCTION("""COMPUTED_VALUE"""),45926.36105324074)</f>
        <v>45926.36105</v>
      </c>
      <c r="B1165" s="2" t="str">
        <f>IFERROR(__xludf.DUMMYFUNCTION("""COMPUTED_VALUE"""),"September")</f>
        <v>September</v>
      </c>
      <c r="C1165" s="3">
        <f>IFERROR(__xludf.DUMMYFUNCTION("""COMPUTED_VALUE"""),194108.0)</f>
        <v>194108</v>
      </c>
      <c r="D1165" s="2" t="str">
        <f>IFERROR(__xludf.DUMMYFUNCTION("""COMPUTED_VALUE"""),"DB6")</f>
        <v>DB6</v>
      </c>
      <c r="E1165" s="2" t="str">
        <f>IFERROR(__xludf.DUMMYFUNCTION("""COMPUTED_VALUE"""),"Digizag")</f>
        <v>Digizag</v>
      </c>
      <c r="F1165" s="2" t="str">
        <f>IFERROR(__xludf.DUMMYFUNCTION("""COMPUTED_VALUE"""),"ZRE887523")</f>
        <v>ZRE887523</v>
      </c>
      <c r="G1165" s="2" t="str">
        <f>IFERROR(__xludf.DUMMYFUNCTION("""COMPUTED_VALUE"""),"Kingdom of Saudi Arabia")</f>
        <v>Kingdom of Saudi Arabia</v>
      </c>
      <c r="H1165" s="4">
        <f>IFERROR(__xludf.DUMMYFUNCTION("""COMPUTED_VALUE"""),85.14)</f>
        <v>85.14</v>
      </c>
      <c r="I1165" s="3">
        <f>IFERROR(__xludf.DUMMYFUNCTION("""COMPUTED_VALUE"""),0.0)</f>
        <v>0</v>
      </c>
      <c r="J1165" s="4">
        <f>IFERROR(__xludf.DUMMYFUNCTION("""COMPUTED_VALUE"""),21.28)</f>
        <v>21.28</v>
      </c>
      <c r="K1165" s="2"/>
      <c r="L1165" s="2" t="str">
        <f>IFERROR(__xludf.DUMMYFUNCTION("""COMPUTED_VALUE"""),"Delivered")</f>
        <v>Delivered</v>
      </c>
      <c r="M1165" s="2" t="str">
        <f>IFERROR(__xludf.DUMMYFUNCTION("""COMPUTED_VALUE"""),"")</f>
        <v></v>
      </c>
      <c r="N1165" s="2" t="str">
        <f>IFERROR(__xludf.DUMMYFUNCTION("""COMPUTED_VALUE"""),"Credit, Debit, Apple Pay")</f>
        <v>Credit, Debit, Apple Pay</v>
      </c>
      <c r="O1165" s="4">
        <f>IFERROR(__xludf.DUMMYFUNCTION("""COMPUTED_VALUE"""),0.0)</f>
        <v>0</v>
      </c>
      <c r="P1165" s="2">
        <f>IFERROR(__xludf.DUMMYFUNCTION("""COMPUTED_VALUE"""),26.0)</f>
        <v>26</v>
      </c>
      <c r="Q1165" s="2">
        <f>IFERROR(__xludf.DUMMYFUNCTION("""COMPUTED_VALUE"""),9.0)</f>
        <v>9</v>
      </c>
      <c r="R1165" s="2">
        <f>IFERROR(__xludf.DUMMYFUNCTION("""COMPUTED_VALUE"""),2025.0)</f>
        <v>2025</v>
      </c>
      <c r="S1165" s="2" t="str">
        <f>IFERROR(__xludf.DUMMYFUNCTION("""COMPUTED_VALUE"""),"Digizag")</f>
        <v>Digizag</v>
      </c>
      <c r="T1165" s="2" t="str">
        <f>IFERROR(__xludf.DUMMYFUNCTION("""COMPUTED_VALUE"""),"Digizag")</f>
        <v>Digizag</v>
      </c>
      <c r="U1165" s="5">
        <f>IFERROR(__xludf.DUMMYFUNCTION("""COMPUTED_VALUE"""),22.70224435644)</f>
        <v>22.70224436</v>
      </c>
      <c r="V1165" s="2"/>
      <c r="W1165" s="2"/>
      <c r="X1165" s="2"/>
      <c r="Y1165" s="2"/>
      <c r="Z1165" s="2"/>
    </row>
    <row r="1166">
      <c r="A1166" s="6">
        <f>IFERROR(__xludf.DUMMYFUNCTION("""COMPUTED_VALUE"""),45926.507384259254)</f>
        <v>45926.50738</v>
      </c>
      <c r="B1166" s="2" t="str">
        <f>IFERROR(__xludf.DUMMYFUNCTION("""COMPUTED_VALUE"""),"September")</f>
        <v>September</v>
      </c>
      <c r="C1166" s="3">
        <f>IFERROR(__xludf.DUMMYFUNCTION("""COMPUTED_VALUE"""),89580.0)</f>
        <v>89580</v>
      </c>
      <c r="D1166" s="2" t="str">
        <f>IFERROR(__xludf.DUMMYFUNCTION("""COMPUTED_VALUE"""),"DB7")</f>
        <v>DB7</v>
      </c>
      <c r="E1166" s="2" t="str">
        <f>IFERROR(__xludf.DUMMYFUNCTION("""COMPUTED_VALUE"""),"Digizag")</f>
        <v>Digizag</v>
      </c>
      <c r="F1166" s="2" t="str">
        <f>IFERROR(__xludf.DUMMYFUNCTION("""COMPUTED_VALUE"""),"ZUV949092")</f>
        <v>ZUV949092</v>
      </c>
      <c r="G1166" s="2" t="str">
        <f>IFERROR(__xludf.DUMMYFUNCTION("""COMPUTED_VALUE"""),"Kingdom of Saudi Arabia")</f>
        <v>Kingdom of Saudi Arabia</v>
      </c>
      <c r="H1166" s="4">
        <f>IFERROR(__xludf.DUMMYFUNCTION("""COMPUTED_VALUE"""),92.7)</f>
        <v>92.7</v>
      </c>
      <c r="I1166" s="3">
        <f>IFERROR(__xludf.DUMMYFUNCTION("""COMPUTED_VALUE"""),0.0)</f>
        <v>0</v>
      </c>
      <c r="J1166" s="4">
        <f>IFERROR(__xludf.DUMMYFUNCTION("""COMPUTED_VALUE"""),23.17)</f>
        <v>23.17</v>
      </c>
      <c r="K1166" s="2"/>
      <c r="L1166" s="2" t="str">
        <f>IFERROR(__xludf.DUMMYFUNCTION("""COMPUTED_VALUE"""),"Delivered")</f>
        <v>Delivered</v>
      </c>
      <c r="M1166" s="2" t="str">
        <f>IFERROR(__xludf.DUMMYFUNCTION("""COMPUTED_VALUE"""),"")</f>
        <v></v>
      </c>
      <c r="N1166" s="2" t="str">
        <f>IFERROR(__xludf.DUMMYFUNCTION("""COMPUTED_VALUE"""),"Credit, Debit, Apple Pay")</f>
        <v>Credit, Debit, Apple Pay</v>
      </c>
      <c r="O1166" s="4">
        <f>IFERROR(__xludf.DUMMYFUNCTION("""COMPUTED_VALUE"""),0.0)</f>
        <v>0</v>
      </c>
      <c r="P1166" s="2">
        <f>IFERROR(__xludf.DUMMYFUNCTION("""COMPUTED_VALUE"""),26.0)</f>
        <v>26</v>
      </c>
      <c r="Q1166" s="2">
        <f>IFERROR(__xludf.DUMMYFUNCTION("""COMPUTED_VALUE"""),9.0)</f>
        <v>9</v>
      </c>
      <c r="R1166" s="2">
        <f>IFERROR(__xludf.DUMMYFUNCTION("""COMPUTED_VALUE"""),2025.0)</f>
        <v>2025</v>
      </c>
      <c r="S1166" s="2" t="str">
        <f>IFERROR(__xludf.DUMMYFUNCTION("""COMPUTED_VALUE"""),"Digizag")</f>
        <v>Digizag</v>
      </c>
      <c r="T1166" s="2" t="str">
        <f>IFERROR(__xludf.DUMMYFUNCTION("""COMPUTED_VALUE"""),"Digizag")</f>
        <v>Digizag</v>
      </c>
      <c r="U1166" s="5">
        <f>IFERROR(__xludf.DUMMYFUNCTION("""COMPUTED_VALUE"""),24.718088464200004)</f>
        <v>24.71808846</v>
      </c>
      <c r="V1166" s="2"/>
      <c r="W1166" s="2"/>
      <c r="X1166" s="2"/>
      <c r="Y1166" s="2"/>
      <c r="Z1166" s="2"/>
    </row>
    <row r="1167">
      <c r="A1167" s="6">
        <f>IFERROR(__xludf.DUMMYFUNCTION("""COMPUTED_VALUE"""),45926.55883101852)</f>
        <v>45926.55883</v>
      </c>
      <c r="B1167" s="2" t="str">
        <f>IFERROR(__xludf.DUMMYFUNCTION("""COMPUTED_VALUE"""),"September")</f>
        <v>September</v>
      </c>
      <c r="C1167" s="3">
        <f>IFERROR(__xludf.DUMMYFUNCTION("""COMPUTED_VALUE"""),806386.0)</f>
        <v>806386</v>
      </c>
      <c r="D1167" s="2" t="str">
        <f>IFERROR(__xludf.DUMMYFUNCTION("""COMPUTED_VALUE"""),"ZM22")</f>
        <v>ZM22</v>
      </c>
      <c r="E1167" s="2" t="str">
        <f>IFERROR(__xludf.DUMMYFUNCTION("""COMPUTED_VALUE"""),"Imported from file Digizag.xlsx")</f>
        <v>Imported from file Digizag.xlsx</v>
      </c>
      <c r="F1167" s="2" t="str">
        <f>IFERROR(__xludf.DUMMYFUNCTION("""COMPUTED_VALUE"""),"CLQ170171")</f>
        <v>CLQ170171</v>
      </c>
      <c r="G1167" s="2" t="str">
        <f>IFERROR(__xludf.DUMMYFUNCTION("""COMPUTED_VALUE"""),"UAE")</f>
        <v>UAE</v>
      </c>
      <c r="H1167" s="4">
        <f>IFERROR(__xludf.DUMMYFUNCTION("""COMPUTED_VALUE"""),722.0)</f>
        <v>722</v>
      </c>
      <c r="I1167" s="3">
        <f>IFERROR(__xludf.DUMMYFUNCTION("""COMPUTED_VALUE"""),0.0)</f>
        <v>0</v>
      </c>
      <c r="J1167" s="4">
        <f>IFERROR(__xludf.DUMMYFUNCTION("""COMPUTED_VALUE"""),72.2)</f>
        <v>72.2</v>
      </c>
      <c r="K1167" s="2"/>
      <c r="L1167" s="2" t="str">
        <f>IFERROR(__xludf.DUMMYFUNCTION("""COMPUTED_VALUE"""),"Delivered")</f>
        <v>Delivered</v>
      </c>
      <c r="M1167" s="2" t="str">
        <f>IFERROR(__xludf.DUMMYFUNCTION("""COMPUTED_VALUE"""),"")</f>
        <v></v>
      </c>
      <c r="N1167" s="2" t="str">
        <f>IFERROR(__xludf.DUMMYFUNCTION("""COMPUTED_VALUE"""),"Credit, Debit , Apple Pay")</f>
        <v>Credit, Debit , Apple Pay</v>
      </c>
      <c r="O1167" s="4">
        <f>IFERROR(__xludf.DUMMYFUNCTION("""COMPUTED_VALUE"""),0.0)</f>
        <v>0</v>
      </c>
      <c r="P1167" s="2">
        <f>IFERROR(__xludf.DUMMYFUNCTION("""COMPUTED_VALUE"""),26.0)</f>
        <v>26</v>
      </c>
      <c r="Q1167" s="2">
        <f>IFERROR(__xludf.DUMMYFUNCTION("""COMPUTED_VALUE"""),9.0)</f>
        <v>9</v>
      </c>
      <c r="R1167" s="2">
        <f>IFERROR(__xludf.DUMMYFUNCTION("""COMPUTED_VALUE"""),2025.0)</f>
        <v>2025</v>
      </c>
      <c r="S1167" s="2" t="str">
        <f>IFERROR(__xludf.DUMMYFUNCTION("""COMPUTED_VALUE"""),"Digizag")</f>
        <v>Digizag</v>
      </c>
      <c r="T1167" s="2" t="str">
        <f>IFERROR(__xludf.DUMMYFUNCTION("""COMPUTED_VALUE"""),"Digizag")</f>
        <v>Digizag</v>
      </c>
      <c r="U1167" s="5">
        <f>IFERROR(__xludf.DUMMYFUNCTION("""COMPUTED_VALUE"""),196.596324316)</f>
        <v>196.5963243</v>
      </c>
      <c r="V1167" s="2"/>
      <c r="W1167" s="2"/>
      <c r="X1167" s="2"/>
      <c r="Y1167" s="2"/>
      <c r="Z1167" s="2"/>
    </row>
    <row r="1168">
      <c r="A1168" s="6">
        <f>IFERROR(__xludf.DUMMYFUNCTION("""COMPUTED_VALUE"""),45926.74915509259)</f>
        <v>45926.74916</v>
      </c>
      <c r="B1168" s="2" t="str">
        <f>IFERROR(__xludf.DUMMYFUNCTION("""COMPUTED_VALUE"""),"September")</f>
        <v>September</v>
      </c>
      <c r="C1168" s="3">
        <f>IFERROR(__xludf.DUMMYFUNCTION("""COMPUTED_VALUE"""),193225.0)</f>
        <v>193225</v>
      </c>
      <c r="D1168" s="2" t="str">
        <f>IFERROR(__xludf.DUMMYFUNCTION("""COMPUTED_VALUE"""),"DB6")</f>
        <v>DB6</v>
      </c>
      <c r="E1168" s="2" t="str">
        <f>IFERROR(__xludf.DUMMYFUNCTION("""COMPUTED_VALUE"""),"Digizag")</f>
        <v>Digizag</v>
      </c>
      <c r="F1168" s="2" t="str">
        <f>IFERROR(__xludf.DUMMYFUNCTION("""COMPUTED_VALUE"""),"LKR343838")</f>
        <v>LKR343838</v>
      </c>
      <c r="G1168" s="2" t="str">
        <f>IFERROR(__xludf.DUMMYFUNCTION("""COMPUTED_VALUE"""),"Kingdom of Saudi Arabia")</f>
        <v>Kingdom of Saudi Arabia</v>
      </c>
      <c r="H1168" s="4">
        <f>IFERROR(__xludf.DUMMYFUNCTION("""COMPUTED_VALUE"""),132.0)</f>
        <v>132</v>
      </c>
      <c r="I1168" s="3">
        <f>IFERROR(__xludf.DUMMYFUNCTION("""COMPUTED_VALUE"""),0.0)</f>
        <v>0</v>
      </c>
      <c r="J1168" s="4">
        <f>IFERROR(__xludf.DUMMYFUNCTION("""COMPUTED_VALUE"""),30.0)</f>
        <v>30</v>
      </c>
      <c r="K1168" s="2"/>
      <c r="L1168" s="2" t="str">
        <f>IFERROR(__xludf.DUMMYFUNCTION("""COMPUTED_VALUE"""),"Delivered")</f>
        <v>Delivered</v>
      </c>
      <c r="M1168" s="2" t="str">
        <f>IFERROR(__xludf.DUMMYFUNCTION("""COMPUTED_VALUE"""),"")</f>
        <v></v>
      </c>
      <c r="N1168" s="2" t="str">
        <f>IFERROR(__xludf.DUMMYFUNCTION("""COMPUTED_VALUE"""),"Credit, Debit, Apple Pay")</f>
        <v>Credit, Debit, Apple Pay</v>
      </c>
      <c r="O1168" s="4">
        <f>IFERROR(__xludf.DUMMYFUNCTION("""COMPUTED_VALUE"""),0.0)</f>
        <v>0</v>
      </c>
      <c r="P1168" s="2">
        <f>IFERROR(__xludf.DUMMYFUNCTION("""COMPUTED_VALUE"""),26.0)</f>
        <v>26</v>
      </c>
      <c r="Q1168" s="2">
        <f>IFERROR(__xludf.DUMMYFUNCTION("""COMPUTED_VALUE"""),9.0)</f>
        <v>9</v>
      </c>
      <c r="R1168" s="2">
        <f>IFERROR(__xludf.DUMMYFUNCTION("""COMPUTED_VALUE"""),2025.0)</f>
        <v>2025</v>
      </c>
      <c r="S1168" s="2" t="str">
        <f>IFERROR(__xludf.DUMMYFUNCTION("""COMPUTED_VALUE"""),"Digizag")</f>
        <v>Digizag</v>
      </c>
      <c r="T1168" s="2" t="str">
        <f>IFERROR(__xludf.DUMMYFUNCTION("""COMPUTED_VALUE"""),"Digizag")</f>
        <v>Digizag</v>
      </c>
      <c r="U1168" s="5">
        <f>IFERROR(__xludf.DUMMYFUNCTION("""COMPUTED_VALUE"""),35.197278072)</f>
        <v>35.19727807</v>
      </c>
      <c r="V1168" s="2"/>
      <c r="W1168" s="2"/>
      <c r="X1168" s="2"/>
      <c r="Y1168" s="2"/>
      <c r="Z1168" s="2"/>
    </row>
    <row r="1169">
      <c r="A1169" s="6">
        <f>IFERROR(__xludf.DUMMYFUNCTION("""COMPUTED_VALUE"""),45926.981574074074)</f>
        <v>45926.98157</v>
      </c>
      <c r="B1169" s="2" t="str">
        <f>IFERROR(__xludf.DUMMYFUNCTION("""COMPUTED_VALUE"""),"September")</f>
        <v>September</v>
      </c>
      <c r="C1169" s="3">
        <f>IFERROR(__xludf.DUMMYFUNCTION("""COMPUTED_VALUE"""),806747.0)</f>
        <v>806747</v>
      </c>
      <c r="D1169" s="2" t="str">
        <f>IFERROR(__xludf.DUMMYFUNCTION("""COMPUTED_VALUE"""),"DB7")</f>
        <v>DB7</v>
      </c>
      <c r="E1169" s="2" t="str">
        <f>IFERROR(__xludf.DUMMYFUNCTION("""COMPUTED_VALUE"""),"Digizag")</f>
        <v>Digizag</v>
      </c>
      <c r="F1169" s="2" t="str">
        <f>IFERROR(__xludf.DUMMYFUNCTION("""COMPUTED_VALUE"""),"LHT228394")</f>
        <v>LHT228394</v>
      </c>
      <c r="G1169" s="2" t="str">
        <f>IFERROR(__xludf.DUMMYFUNCTION("""COMPUTED_VALUE"""),"Kingdom of Saudi Arabia")</f>
        <v>Kingdom of Saudi Arabia</v>
      </c>
      <c r="H1169" s="4">
        <f>IFERROR(__xludf.DUMMYFUNCTION("""COMPUTED_VALUE"""),94.78)</f>
        <v>94.78</v>
      </c>
      <c r="I1169" s="3">
        <f>IFERROR(__xludf.DUMMYFUNCTION("""COMPUTED_VALUE"""),0.0)</f>
        <v>0</v>
      </c>
      <c r="J1169" s="4">
        <f>IFERROR(__xludf.DUMMYFUNCTION("""COMPUTED_VALUE"""),23.69)</f>
        <v>23.69</v>
      </c>
      <c r="K1169" s="2"/>
      <c r="L1169" s="2" t="str">
        <f>IFERROR(__xludf.DUMMYFUNCTION("""COMPUTED_VALUE"""),"Delivered")</f>
        <v>Delivered</v>
      </c>
      <c r="M1169" s="2" t="str">
        <f>IFERROR(__xludf.DUMMYFUNCTION("""COMPUTED_VALUE"""),"")</f>
        <v></v>
      </c>
      <c r="N1169" s="2" t="str">
        <f>IFERROR(__xludf.DUMMYFUNCTION("""COMPUTED_VALUE"""),"Credit, Debit, Apple Pay")</f>
        <v>Credit, Debit, Apple Pay</v>
      </c>
      <c r="O1169" s="4">
        <f>IFERROR(__xludf.DUMMYFUNCTION("""COMPUTED_VALUE"""),0.0)</f>
        <v>0</v>
      </c>
      <c r="P1169" s="2">
        <f>IFERROR(__xludf.DUMMYFUNCTION("""COMPUTED_VALUE"""),26.0)</f>
        <v>26</v>
      </c>
      <c r="Q1169" s="2">
        <f>IFERROR(__xludf.DUMMYFUNCTION("""COMPUTED_VALUE"""),9.0)</f>
        <v>9</v>
      </c>
      <c r="R1169" s="2">
        <f>IFERROR(__xludf.DUMMYFUNCTION("""COMPUTED_VALUE"""),2025.0)</f>
        <v>2025</v>
      </c>
      <c r="S1169" s="2" t="str">
        <f>IFERROR(__xludf.DUMMYFUNCTION("""COMPUTED_VALUE"""),"Digizag")</f>
        <v>Digizag</v>
      </c>
      <c r="T1169" s="2" t="str">
        <f>IFERROR(__xludf.DUMMYFUNCTION("""COMPUTED_VALUE"""),"Digizag")</f>
        <v>Digizag</v>
      </c>
      <c r="U1169" s="5">
        <f>IFERROR(__xludf.DUMMYFUNCTION("""COMPUTED_VALUE"""),25.272712239880004)</f>
        <v>25.27271224</v>
      </c>
      <c r="V1169" s="2"/>
      <c r="W1169" s="2"/>
      <c r="X1169" s="2"/>
      <c r="Y1169" s="2"/>
      <c r="Z1169" s="2"/>
    </row>
    <row r="1170">
      <c r="A1170" s="6">
        <f>IFERROR(__xludf.DUMMYFUNCTION("""COMPUTED_VALUE"""),45927.48950231481)</f>
        <v>45927.4895</v>
      </c>
      <c r="B1170" s="2" t="str">
        <f>IFERROR(__xludf.DUMMYFUNCTION("""COMPUTED_VALUE"""),"September")</f>
        <v>September</v>
      </c>
      <c r="C1170" s="3">
        <f>IFERROR(__xludf.DUMMYFUNCTION("""COMPUTED_VALUE"""),806961.0)</f>
        <v>806961</v>
      </c>
      <c r="D1170" s="2" t="str">
        <f>IFERROR(__xludf.DUMMYFUNCTION("""COMPUTED_VALUE"""),"CC22")</f>
        <v>CC22</v>
      </c>
      <c r="E1170" s="2" t="str">
        <f>IFERROR(__xludf.DUMMYFUNCTION("""COMPUTED_VALUE"""),"Imported from file Digizag.xlsx")</f>
        <v>Imported from file Digizag.xlsx</v>
      </c>
      <c r="F1170" s="2" t="str">
        <f>IFERROR(__xludf.DUMMYFUNCTION("""COMPUTED_VALUE"""),"LET495874")</f>
        <v>LET495874</v>
      </c>
      <c r="G1170" s="2" t="str">
        <f>IFERROR(__xludf.DUMMYFUNCTION("""COMPUTED_VALUE"""),"Kuwait")</f>
        <v>Kuwait</v>
      </c>
      <c r="H1170" s="4">
        <f>IFERROR(__xludf.DUMMYFUNCTION("""COMPUTED_VALUE"""),22.2)</f>
        <v>22.2</v>
      </c>
      <c r="I1170" s="3">
        <f>IFERROR(__xludf.DUMMYFUNCTION("""COMPUTED_VALUE"""),0.0)</f>
        <v>0</v>
      </c>
      <c r="J1170" s="4">
        <f>IFERROR(__xludf.DUMMYFUNCTION("""COMPUTED_VALUE"""),2.22)</f>
        <v>2.22</v>
      </c>
      <c r="K1170" s="2"/>
      <c r="L1170" s="2" t="str">
        <f>IFERROR(__xludf.DUMMYFUNCTION("""COMPUTED_VALUE"""),"Delivered")</f>
        <v>Delivered</v>
      </c>
      <c r="M1170" s="2" t="str">
        <f>IFERROR(__xludf.DUMMYFUNCTION("""COMPUTED_VALUE"""),"KD")</f>
        <v>KD</v>
      </c>
      <c r="N1170" s="2" t="str">
        <f>IFERROR(__xludf.DUMMYFUNCTION("""COMPUTED_VALUE"""),"Credit, Debit, Knet")</f>
        <v>Credit, Debit, Knet</v>
      </c>
      <c r="O1170" s="4">
        <f>IFERROR(__xludf.DUMMYFUNCTION("""COMPUTED_VALUE"""),0.0)</f>
        <v>0</v>
      </c>
      <c r="P1170" s="2">
        <f>IFERROR(__xludf.DUMMYFUNCTION("""COMPUTED_VALUE"""),27.0)</f>
        <v>27</v>
      </c>
      <c r="Q1170" s="2">
        <f>IFERROR(__xludf.DUMMYFUNCTION("""COMPUTED_VALUE"""),9.0)</f>
        <v>9</v>
      </c>
      <c r="R1170" s="2">
        <f>IFERROR(__xludf.DUMMYFUNCTION("""COMPUTED_VALUE"""),2025.0)</f>
        <v>2025</v>
      </c>
      <c r="S1170" s="2" t="str">
        <f>IFERROR(__xludf.DUMMYFUNCTION("""COMPUTED_VALUE"""),"Digizag")</f>
        <v>Digizag</v>
      </c>
      <c r="T1170" s="2" t="str">
        <f>IFERROR(__xludf.DUMMYFUNCTION("""COMPUTED_VALUE"""),"Digizag")</f>
        <v>Digizag</v>
      </c>
      <c r="U1170" s="5">
        <f>IFERROR(__xludf.DUMMYFUNCTION("""COMPUTED_VALUE"""),72.385764)</f>
        <v>72.385764</v>
      </c>
      <c r="V1170" s="2"/>
      <c r="W1170" s="2"/>
      <c r="X1170" s="2"/>
      <c r="Y1170" s="2"/>
      <c r="Z1170" s="2"/>
    </row>
    <row r="1171">
      <c r="A1171" s="6">
        <f>IFERROR(__xludf.DUMMYFUNCTION("""COMPUTED_VALUE"""),45928.394965277774)</f>
        <v>45928.39497</v>
      </c>
      <c r="B1171" s="2" t="str">
        <f>IFERROR(__xludf.DUMMYFUNCTION("""COMPUTED_VALUE"""),"September")</f>
        <v>September</v>
      </c>
      <c r="C1171" s="3">
        <f>IFERROR(__xludf.DUMMYFUNCTION("""COMPUTED_VALUE"""),96976.0)</f>
        <v>96976</v>
      </c>
      <c r="D1171" s="2" t="str">
        <f>IFERROR(__xludf.DUMMYFUNCTION("""COMPUTED_VALUE"""),"CC22")</f>
        <v>CC22</v>
      </c>
      <c r="E1171" s="2" t="str">
        <f>IFERROR(__xludf.DUMMYFUNCTION("""COMPUTED_VALUE"""),"Imported from file Digizag.xlsx")</f>
        <v>Imported from file Digizag.xlsx</v>
      </c>
      <c r="F1171" s="2" t="str">
        <f>IFERROR(__xludf.DUMMYFUNCTION("""COMPUTED_VALUE"""),"VLS199657")</f>
        <v>VLS199657</v>
      </c>
      <c r="G1171" s="2" t="str">
        <f>IFERROR(__xludf.DUMMYFUNCTION("""COMPUTED_VALUE"""),"UAE")</f>
        <v>UAE</v>
      </c>
      <c r="H1171" s="4">
        <f>IFERROR(__xludf.DUMMYFUNCTION("""COMPUTED_VALUE"""),297.0)</f>
        <v>297</v>
      </c>
      <c r="I1171" s="3">
        <f>IFERROR(__xludf.DUMMYFUNCTION("""COMPUTED_VALUE"""),0.0)</f>
        <v>0</v>
      </c>
      <c r="J1171" s="4">
        <f>IFERROR(__xludf.DUMMYFUNCTION("""COMPUTED_VALUE"""),29.7)</f>
        <v>29.7</v>
      </c>
      <c r="K1171" s="2"/>
      <c r="L1171" s="2" t="str">
        <f>IFERROR(__xludf.DUMMYFUNCTION("""COMPUTED_VALUE"""),"Delivered")</f>
        <v>Delivered</v>
      </c>
      <c r="M1171" s="2" t="str">
        <f>IFERROR(__xludf.DUMMYFUNCTION("""COMPUTED_VALUE"""),"")</f>
        <v></v>
      </c>
      <c r="N1171" s="2" t="str">
        <f>IFERROR(__xludf.DUMMYFUNCTION("""COMPUTED_VALUE"""),"Credit, Debit , Apple Pay")</f>
        <v>Credit, Debit , Apple Pay</v>
      </c>
      <c r="O1171" s="4">
        <f>IFERROR(__xludf.DUMMYFUNCTION("""COMPUTED_VALUE"""),0.0)</f>
        <v>0</v>
      </c>
      <c r="P1171" s="2">
        <f>IFERROR(__xludf.DUMMYFUNCTION("""COMPUTED_VALUE"""),28.0)</f>
        <v>28</v>
      </c>
      <c r="Q1171" s="2">
        <f>IFERROR(__xludf.DUMMYFUNCTION("""COMPUTED_VALUE"""),9.0)</f>
        <v>9</v>
      </c>
      <c r="R1171" s="2">
        <f>IFERROR(__xludf.DUMMYFUNCTION("""COMPUTED_VALUE"""),2025.0)</f>
        <v>2025</v>
      </c>
      <c r="S1171" s="2" t="str">
        <f>IFERROR(__xludf.DUMMYFUNCTION("""COMPUTED_VALUE"""),"Digizag")</f>
        <v>Digizag</v>
      </c>
      <c r="T1171" s="2" t="str">
        <f>IFERROR(__xludf.DUMMYFUNCTION("""COMPUTED_VALUE"""),"Digizag")</f>
        <v>Digizag</v>
      </c>
      <c r="U1171" s="5">
        <f>IFERROR(__xludf.DUMMYFUNCTION("""COMPUTED_VALUE"""),80.871341166)</f>
        <v>80.87134117</v>
      </c>
      <c r="V1171" s="2"/>
      <c r="W1171" s="2"/>
      <c r="X1171" s="2"/>
      <c r="Y1171" s="2"/>
      <c r="Z1171" s="2"/>
    </row>
    <row r="1172">
      <c r="A1172" s="6">
        <f>IFERROR(__xludf.DUMMYFUNCTION("""COMPUTED_VALUE"""),45928.40387731481)</f>
        <v>45928.40388</v>
      </c>
      <c r="B1172" s="2" t="str">
        <f>IFERROR(__xludf.DUMMYFUNCTION("""COMPUTED_VALUE"""),"September")</f>
        <v>September</v>
      </c>
      <c r="C1172" s="3">
        <f>IFERROR(__xludf.DUMMYFUNCTION("""COMPUTED_VALUE"""),223588.0)</f>
        <v>223588</v>
      </c>
      <c r="D1172" s="2" t="str">
        <f>IFERROR(__xludf.DUMMYFUNCTION("""COMPUTED_VALUE"""),"DB7")</f>
        <v>DB7</v>
      </c>
      <c r="E1172" s="2" t="str">
        <f>IFERROR(__xludf.DUMMYFUNCTION("""COMPUTED_VALUE"""),"Digizag")</f>
        <v>Digizag</v>
      </c>
      <c r="F1172" s="2" t="str">
        <f>IFERROR(__xludf.DUMMYFUNCTION("""COMPUTED_VALUE"""),"CCS955579")</f>
        <v>CCS955579</v>
      </c>
      <c r="G1172" s="2" t="str">
        <f>IFERROR(__xludf.DUMMYFUNCTION("""COMPUTED_VALUE"""),"Kuwait")</f>
        <v>Kuwait</v>
      </c>
      <c r="H1172" s="4">
        <f>IFERROR(__xludf.DUMMYFUNCTION("""COMPUTED_VALUE"""),16.35)</f>
        <v>16.35</v>
      </c>
      <c r="I1172" s="3">
        <f>IFERROR(__xludf.DUMMYFUNCTION("""COMPUTED_VALUE"""),0.0)</f>
        <v>0</v>
      </c>
      <c r="J1172" s="4">
        <f>IFERROR(__xludf.DUMMYFUNCTION("""COMPUTED_VALUE"""),1.635)</f>
        <v>1.635</v>
      </c>
      <c r="K1172" s="2"/>
      <c r="L1172" s="2" t="str">
        <f>IFERROR(__xludf.DUMMYFUNCTION("""COMPUTED_VALUE"""),"Partially Cancelled")</f>
        <v>Partially Cancelled</v>
      </c>
      <c r="M1172" s="2" t="str">
        <f>IFERROR(__xludf.DUMMYFUNCTION("""COMPUTED_VALUE"""),"KD")</f>
        <v>KD</v>
      </c>
      <c r="N1172" s="2" t="str">
        <f>IFERROR(__xludf.DUMMYFUNCTION("""COMPUTED_VALUE"""),"Credit, Debit, Knet")</f>
        <v>Credit, Debit, Knet</v>
      </c>
      <c r="O1172" s="4">
        <f>IFERROR(__xludf.DUMMYFUNCTION("""COMPUTED_VALUE"""),2.655)</f>
        <v>2.655</v>
      </c>
      <c r="P1172" s="2">
        <f>IFERROR(__xludf.DUMMYFUNCTION("""COMPUTED_VALUE"""),28.0)</f>
        <v>28</v>
      </c>
      <c r="Q1172" s="2">
        <f>IFERROR(__xludf.DUMMYFUNCTION("""COMPUTED_VALUE"""),9.0)</f>
        <v>9</v>
      </c>
      <c r="R1172" s="2">
        <f>IFERROR(__xludf.DUMMYFUNCTION("""COMPUTED_VALUE"""),2025.0)</f>
        <v>2025</v>
      </c>
      <c r="S1172" s="2" t="str">
        <f>IFERROR(__xludf.DUMMYFUNCTION("""COMPUTED_VALUE"""),"Digizag")</f>
        <v>Digizag</v>
      </c>
      <c r="T1172" s="2" t="str">
        <f>IFERROR(__xludf.DUMMYFUNCTION("""COMPUTED_VALUE"""),"Digizag")</f>
        <v>Digizag</v>
      </c>
      <c r="U1172" s="5">
        <f>IFERROR(__xludf.DUMMYFUNCTION("""COMPUTED_VALUE"""),53.311137)</f>
        <v>53.311137</v>
      </c>
      <c r="V1172" s="2"/>
      <c r="W1172" s="2"/>
      <c r="X1172" s="2"/>
      <c r="Y1172" s="2"/>
      <c r="Z1172" s="2"/>
    </row>
    <row r="1173">
      <c r="A1173" s="6">
        <f>IFERROR(__xludf.DUMMYFUNCTION("""COMPUTED_VALUE"""),45928.40387731481)</f>
        <v>45928.40388</v>
      </c>
      <c r="B1173" s="2" t="str">
        <f>IFERROR(__xludf.DUMMYFUNCTION("""COMPUTED_VALUE"""),"September")</f>
        <v>September</v>
      </c>
      <c r="C1173" s="3">
        <f>IFERROR(__xludf.DUMMYFUNCTION("""COMPUTED_VALUE"""),223588.0)</f>
        <v>223588</v>
      </c>
      <c r="D1173" s="2" t="str">
        <f>IFERROR(__xludf.DUMMYFUNCTION("""COMPUTED_VALUE"""),"DB7")</f>
        <v>DB7</v>
      </c>
      <c r="E1173" s="2" t="str">
        <f>IFERROR(__xludf.DUMMYFUNCTION("""COMPUTED_VALUE"""),"Digizag")</f>
        <v>Digizag</v>
      </c>
      <c r="F1173" s="2" t="str">
        <f>IFERROR(__xludf.DUMMYFUNCTION("""COMPUTED_VALUE"""),"CCS955579")</f>
        <v>CCS955579</v>
      </c>
      <c r="G1173" s="2" t="str">
        <f>IFERROR(__xludf.DUMMYFUNCTION("""COMPUTED_VALUE"""),"Kuwait")</f>
        <v>Kuwait</v>
      </c>
      <c r="H1173" s="4">
        <f>IFERROR(__xludf.DUMMYFUNCTION("""COMPUTED_VALUE"""),16.35)</f>
        <v>16.35</v>
      </c>
      <c r="I1173" s="3">
        <f>IFERROR(__xludf.DUMMYFUNCTION("""COMPUTED_VALUE"""),1.0)</f>
        <v>1</v>
      </c>
      <c r="J1173" s="4">
        <f>IFERROR(__xludf.DUMMYFUNCTION("""COMPUTED_VALUE"""),1.635)</f>
        <v>1.635</v>
      </c>
      <c r="K1173" s="2"/>
      <c r="L1173" s="2" t="str">
        <f>IFERROR(__xludf.DUMMYFUNCTION("""COMPUTED_VALUE"""),"Partially Cancelled")</f>
        <v>Partially Cancelled</v>
      </c>
      <c r="M1173" s="2" t="str">
        <f>IFERROR(__xludf.DUMMYFUNCTION("""COMPUTED_VALUE"""),"KD")</f>
        <v>KD</v>
      </c>
      <c r="N1173" s="2" t="str">
        <f>IFERROR(__xludf.DUMMYFUNCTION("""COMPUTED_VALUE"""),"Credit, Debit, Knet")</f>
        <v>Credit, Debit, Knet</v>
      </c>
      <c r="O1173" s="4">
        <f>IFERROR(__xludf.DUMMYFUNCTION("""COMPUTED_VALUE"""),2.655)</f>
        <v>2.655</v>
      </c>
      <c r="P1173" s="2">
        <f>IFERROR(__xludf.DUMMYFUNCTION("""COMPUTED_VALUE"""),28.0)</f>
        <v>28</v>
      </c>
      <c r="Q1173" s="2">
        <f>IFERROR(__xludf.DUMMYFUNCTION("""COMPUTED_VALUE"""),9.0)</f>
        <v>9</v>
      </c>
      <c r="R1173" s="2">
        <f>IFERROR(__xludf.DUMMYFUNCTION("""COMPUTED_VALUE"""),2025.0)</f>
        <v>2025</v>
      </c>
      <c r="S1173" s="2" t="str">
        <f>IFERROR(__xludf.DUMMYFUNCTION("""COMPUTED_VALUE"""),"Digizag")</f>
        <v>Digizag</v>
      </c>
      <c r="T1173" s="2" t="str">
        <f>IFERROR(__xludf.DUMMYFUNCTION("""COMPUTED_VALUE"""),"Digizag")</f>
        <v>Digizag</v>
      </c>
      <c r="U1173" s="5">
        <f>IFERROR(__xludf.DUMMYFUNCTION("""COMPUTED_VALUE"""),53.311137)</f>
        <v>53.311137</v>
      </c>
      <c r="V1173" s="2"/>
      <c r="W1173" s="2"/>
      <c r="X1173" s="2"/>
      <c r="Y1173" s="2"/>
      <c r="Z1173" s="2"/>
    </row>
    <row r="1174">
      <c r="A1174" s="6">
        <f>IFERROR(__xludf.DUMMYFUNCTION("""COMPUTED_VALUE"""),45928.41978009259)</f>
        <v>45928.41978</v>
      </c>
      <c r="B1174" s="2" t="str">
        <f>IFERROR(__xludf.DUMMYFUNCTION("""COMPUTED_VALUE"""),"September")</f>
        <v>September</v>
      </c>
      <c r="C1174" s="3">
        <f>IFERROR(__xludf.DUMMYFUNCTION("""COMPUTED_VALUE"""),801199.0)</f>
        <v>801199</v>
      </c>
      <c r="D1174" s="2" t="str">
        <f>IFERROR(__xludf.DUMMYFUNCTION("""COMPUTED_VALUE"""),"JM")</f>
        <v>JM</v>
      </c>
      <c r="E1174" s="2" t="str">
        <f>IFERROR(__xludf.DUMMYFUNCTION("""COMPUTED_VALUE"""),"DigiZag")</f>
        <v>DigiZag</v>
      </c>
      <c r="F1174" s="2" t="str">
        <f>IFERROR(__xludf.DUMMYFUNCTION("""COMPUTED_VALUE"""),"MQJ452060")</f>
        <v>MQJ452060</v>
      </c>
      <c r="G1174" s="2" t="str">
        <f>IFERROR(__xludf.DUMMYFUNCTION("""COMPUTED_VALUE"""),"Kingdom of Saudi Arabia")</f>
        <v>Kingdom of Saudi Arabia</v>
      </c>
      <c r="H1174" s="4">
        <f>IFERROR(__xludf.DUMMYFUNCTION("""COMPUTED_VALUE"""),67.82)</f>
        <v>67.82</v>
      </c>
      <c r="I1174" s="3">
        <f>IFERROR(__xludf.DUMMYFUNCTION("""COMPUTED_VALUE"""),0.0)</f>
        <v>0</v>
      </c>
      <c r="J1174" s="4">
        <f>IFERROR(__xludf.DUMMYFUNCTION("""COMPUTED_VALUE"""),16.94)</f>
        <v>16.94</v>
      </c>
      <c r="K1174" s="2"/>
      <c r="L1174" s="2" t="str">
        <f>IFERROR(__xludf.DUMMYFUNCTION("""COMPUTED_VALUE"""),"Delivered")</f>
        <v>Delivered</v>
      </c>
      <c r="M1174" s="2" t="str">
        <f>IFERROR(__xludf.DUMMYFUNCTION("""COMPUTED_VALUE"""),"")</f>
        <v></v>
      </c>
      <c r="N1174" s="2" t="str">
        <f>IFERROR(__xludf.DUMMYFUNCTION("""COMPUTED_VALUE"""),"Credit, Debit, Apple Pay")</f>
        <v>Credit, Debit, Apple Pay</v>
      </c>
      <c r="O1174" s="4">
        <f>IFERROR(__xludf.DUMMYFUNCTION("""COMPUTED_VALUE"""),0.0)</f>
        <v>0</v>
      </c>
      <c r="P1174" s="2">
        <f>IFERROR(__xludf.DUMMYFUNCTION("""COMPUTED_VALUE"""),28.0)</f>
        <v>28</v>
      </c>
      <c r="Q1174" s="2">
        <f>IFERROR(__xludf.DUMMYFUNCTION("""COMPUTED_VALUE"""),9.0)</f>
        <v>9</v>
      </c>
      <c r="R1174" s="2">
        <f>IFERROR(__xludf.DUMMYFUNCTION("""COMPUTED_VALUE"""),2025.0)</f>
        <v>2025</v>
      </c>
      <c r="S1174" s="2" t="str">
        <f>IFERROR(__xludf.DUMMYFUNCTION("""COMPUTED_VALUE"""),"Digizag")</f>
        <v>Digizag</v>
      </c>
      <c r="T1174" s="2" t="str">
        <f>IFERROR(__xludf.DUMMYFUNCTION("""COMPUTED_VALUE"""),"Digizag")</f>
        <v>Digizag</v>
      </c>
      <c r="U1174" s="5">
        <f>IFERROR(__xludf.DUMMYFUNCTION("""COMPUTED_VALUE"""),18.08393483972)</f>
        <v>18.08393484</v>
      </c>
      <c r="V1174" s="2"/>
      <c r="W1174" s="2"/>
      <c r="X1174" s="2"/>
      <c r="Y1174" s="2"/>
      <c r="Z1174" s="2"/>
    </row>
    <row r="1175">
      <c r="A1175" s="6">
        <f>IFERROR(__xludf.DUMMYFUNCTION("""COMPUTED_VALUE"""),45928.47841435185)</f>
        <v>45928.47841</v>
      </c>
      <c r="B1175" s="2" t="str">
        <f>IFERROR(__xludf.DUMMYFUNCTION("""COMPUTED_VALUE"""),"September")</f>
        <v>September</v>
      </c>
      <c r="C1175" s="3">
        <f>IFERROR(__xludf.DUMMYFUNCTION("""COMPUTED_VALUE"""),442008.0)</f>
        <v>442008</v>
      </c>
      <c r="D1175" s="2" t="str">
        <f>IFERROR(__xludf.DUMMYFUNCTION("""COMPUTED_VALUE"""),"CC22")</f>
        <v>CC22</v>
      </c>
      <c r="E1175" s="2" t="str">
        <f>IFERROR(__xludf.DUMMYFUNCTION("""COMPUTED_VALUE"""),"Imported from file Digizag.xlsx")</f>
        <v>Imported from file Digizag.xlsx</v>
      </c>
      <c r="F1175" s="2" t="str">
        <f>IFERROR(__xludf.DUMMYFUNCTION("""COMPUTED_VALUE"""),"EXL612498")</f>
        <v>EXL612498</v>
      </c>
      <c r="G1175" s="2" t="str">
        <f>IFERROR(__xludf.DUMMYFUNCTION("""COMPUTED_VALUE"""),"Kingdom of Saudi Arabia")</f>
        <v>Kingdom of Saudi Arabia</v>
      </c>
      <c r="H1175" s="4">
        <f>IFERROR(__xludf.DUMMYFUNCTION("""COMPUTED_VALUE"""),202.0)</f>
        <v>202</v>
      </c>
      <c r="I1175" s="3">
        <f>IFERROR(__xludf.DUMMYFUNCTION("""COMPUTED_VALUE"""),0.0)</f>
        <v>0</v>
      </c>
      <c r="J1175" s="4">
        <f>IFERROR(__xludf.DUMMYFUNCTION("""COMPUTED_VALUE"""),30.0)</f>
        <v>30</v>
      </c>
      <c r="K1175" s="2"/>
      <c r="L1175" s="2" t="str">
        <f>IFERROR(__xludf.DUMMYFUNCTION("""COMPUTED_VALUE"""),"Delivered")</f>
        <v>Delivered</v>
      </c>
      <c r="M1175" s="2" t="str">
        <f>IFERROR(__xludf.DUMMYFUNCTION("""COMPUTED_VALUE"""),"")</f>
        <v></v>
      </c>
      <c r="N1175" s="2" t="str">
        <f>IFERROR(__xludf.DUMMYFUNCTION("""COMPUTED_VALUE"""),"Pay in 4. No interest, no fees")</f>
        <v>Pay in 4. No interest, no fees</v>
      </c>
      <c r="O1175" s="4">
        <f>IFERROR(__xludf.DUMMYFUNCTION("""COMPUTED_VALUE"""),0.0)</f>
        <v>0</v>
      </c>
      <c r="P1175" s="2">
        <f>IFERROR(__xludf.DUMMYFUNCTION("""COMPUTED_VALUE"""),28.0)</f>
        <v>28</v>
      </c>
      <c r="Q1175" s="2">
        <f>IFERROR(__xludf.DUMMYFUNCTION("""COMPUTED_VALUE"""),9.0)</f>
        <v>9</v>
      </c>
      <c r="R1175" s="2">
        <f>IFERROR(__xludf.DUMMYFUNCTION("""COMPUTED_VALUE"""),2025.0)</f>
        <v>2025</v>
      </c>
      <c r="S1175" s="2" t="str">
        <f>IFERROR(__xludf.DUMMYFUNCTION("""COMPUTED_VALUE"""),"Digizag")</f>
        <v>Digizag</v>
      </c>
      <c r="T1175" s="2" t="str">
        <f>IFERROR(__xludf.DUMMYFUNCTION("""COMPUTED_VALUE"""),"Digizag")</f>
        <v>Digizag</v>
      </c>
      <c r="U1175" s="5">
        <f>IFERROR(__xludf.DUMMYFUNCTION("""COMPUTED_VALUE"""),53.862501292000005)</f>
        <v>53.86250129</v>
      </c>
      <c r="V1175" s="2"/>
      <c r="W1175" s="2"/>
      <c r="X1175" s="2"/>
      <c r="Y1175" s="2"/>
      <c r="Z1175" s="2"/>
    </row>
    <row r="1176">
      <c r="A1176" s="6">
        <f>IFERROR(__xludf.DUMMYFUNCTION("""COMPUTED_VALUE"""),45928.51660879629)</f>
        <v>45928.51661</v>
      </c>
      <c r="B1176" s="2" t="str">
        <f>IFERROR(__xludf.DUMMYFUNCTION("""COMPUTED_VALUE"""),"September")</f>
        <v>September</v>
      </c>
      <c r="C1176" s="3">
        <f>IFERROR(__xludf.DUMMYFUNCTION("""COMPUTED_VALUE"""),162049.0)</f>
        <v>162049</v>
      </c>
      <c r="D1176" s="2" t="str">
        <f>IFERROR(__xludf.DUMMYFUNCTION("""COMPUTED_VALUE"""),"CC22")</f>
        <v>CC22</v>
      </c>
      <c r="E1176" s="2" t="str">
        <f>IFERROR(__xludf.DUMMYFUNCTION("""COMPUTED_VALUE"""),"Imported from file Digizag.xlsx")</f>
        <v>Imported from file Digizag.xlsx</v>
      </c>
      <c r="F1176" s="2" t="str">
        <f>IFERROR(__xludf.DUMMYFUNCTION("""COMPUTED_VALUE"""),"XLZ905771")</f>
        <v>XLZ905771</v>
      </c>
      <c r="G1176" s="2" t="str">
        <f>IFERROR(__xludf.DUMMYFUNCTION("""COMPUTED_VALUE"""),"Kuwait")</f>
        <v>Kuwait</v>
      </c>
      <c r="H1176" s="4">
        <f>IFERROR(__xludf.DUMMYFUNCTION("""COMPUTED_VALUE"""),21.0)</f>
        <v>21</v>
      </c>
      <c r="I1176" s="3">
        <f>IFERROR(__xludf.DUMMYFUNCTION("""COMPUTED_VALUE"""),0.0)</f>
        <v>0</v>
      </c>
      <c r="J1176" s="4">
        <f>IFERROR(__xludf.DUMMYFUNCTION("""COMPUTED_VALUE"""),2.1)</f>
        <v>2.1</v>
      </c>
      <c r="K1176" s="2"/>
      <c r="L1176" s="2" t="str">
        <f>IFERROR(__xludf.DUMMYFUNCTION("""COMPUTED_VALUE"""),"Delivered")</f>
        <v>Delivered</v>
      </c>
      <c r="M1176" s="2" t="str">
        <f>IFERROR(__xludf.DUMMYFUNCTION("""COMPUTED_VALUE"""),"KD")</f>
        <v>KD</v>
      </c>
      <c r="N1176" s="2" t="str">
        <f>IFERROR(__xludf.DUMMYFUNCTION("""COMPUTED_VALUE"""),"Credit, Debit, Knet")</f>
        <v>Credit, Debit, Knet</v>
      </c>
      <c r="O1176" s="4">
        <f>IFERROR(__xludf.DUMMYFUNCTION("""COMPUTED_VALUE"""),0.0)</f>
        <v>0</v>
      </c>
      <c r="P1176" s="2">
        <f>IFERROR(__xludf.DUMMYFUNCTION("""COMPUTED_VALUE"""),28.0)</f>
        <v>28</v>
      </c>
      <c r="Q1176" s="2">
        <f>IFERROR(__xludf.DUMMYFUNCTION("""COMPUTED_VALUE"""),9.0)</f>
        <v>9</v>
      </c>
      <c r="R1176" s="2">
        <f>IFERROR(__xludf.DUMMYFUNCTION("""COMPUTED_VALUE"""),2025.0)</f>
        <v>2025</v>
      </c>
      <c r="S1176" s="2" t="str">
        <f>IFERROR(__xludf.DUMMYFUNCTION("""COMPUTED_VALUE"""),"Digizag")</f>
        <v>Digizag</v>
      </c>
      <c r="T1176" s="2" t="str">
        <f>IFERROR(__xludf.DUMMYFUNCTION("""COMPUTED_VALUE"""),"Digizag")</f>
        <v>Digizag</v>
      </c>
      <c r="U1176" s="5">
        <f>IFERROR(__xludf.DUMMYFUNCTION("""COMPUTED_VALUE"""),68.47301999999999)</f>
        <v>68.47302</v>
      </c>
      <c r="V1176" s="2"/>
      <c r="W1176" s="2"/>
      <c r="X1176" s="2"/>
      <c r="Y1176" s="2"/>
      <c r="Z1176" s="2"/>
    </row>
    <row r="1177">
      <c r="A1177" s="6">
        <f>IFERROR(__xludf.DUMMYFUNCTION("""COMPUTED_VALUE"""),45928.53503472222)</f>
        <v>45928.53503</v>
      </c>
      <c r="B1177" s="2" t="str">
        <f>IFERROR(__xludf.DUMMYFUNCTION("""COMPUTED_VALUE"""),"September")</f>
        <v>September</v>
      </c>
      <c r="C1177" s="3">
        <f>IFERROR(__xludf.DUMMYFUNCTION("""COMPUTED_VALUE"""),807458.0)</f>
        <v>807458</v>
      </c>
      <c r="D1177" s="2" t="str">
        <f>IFERROR(__xludf.DUMMYFUNCTION("""COMPUTED_VALUE"""),"RR22")</f>
        <v>RR22</v>
      </c>
      <c r="E1177" s="2" t="str">
        <f>IFERROR(__xludf.DUMMYFUNCTION("""COMPUTED_VALUE"""),"Imported from file Digizag.xlsx")</f>
        <v>Imported from file Digizag.xlsx</v>
      </c>
      <c r="F1177" s="2" t="str">
        <f>IFERROR(__xludf.DUMMYFUNCTION("""COMPUTED_VALUE"""),"SNJ733495")</f>
        <v>SNJ733495</v>
      </c>
      <c r="G1177" s="2" t="str">
        <f>IFERROR(__xludf.DUMMYFUNCTION("""COMPUTED_VALUE"""),"UAE")</f>
        <v>UAE</v>
      </c>
      <c r="H1177" s="4">
        <f>IFERROR(__xludf.DUMMYFUNCTION("""COMPUTED_VALUE"""),230.0)</f>
        <v>230</v>
      </c>
      <c r="I1177" s="3">
        <f>IFERROR(__xludf.DUMMYFUNCTION("""COMPUTED_VALUE"""),0.0)</f>
        <v>0</v>
      </c>
      <c r="J1177" s="4">
        <f>IFERROR(__xludf.DUMMYFUNCTION("""COMPUTED_VALUE"""),23.0)</f>
        <v>23</v>
      </c>
      <c r="K1177" s="2"/>
      <c r="L1177" s="2" t="str">
        <f>IFERROR(__xludf.DUMMYFUNCTION("""COMPUTED_VALUE"""),"Delivered")</f>
        <v>Delivered</v>
      </c>
      <c r="M1177" s="2" t="str">
        <f>IFERROR(__xludf.DUMMYFUNCTION("""COMPUTED_VALUE"""),"")</f>
        <v></v>
      </c>
      <c r="N1177" s="2" t="str">
        <f>IFERROR(__xludf.DUMMYFUNCTION("""COMPUTED_VALUE"""),"Credit, Debit , Apple Pay")</f>
        <v>Credit, Debit , Apple Pay</v>
      </c>
      <c r="O1177" s="4">
        <f>IFERROR(__xludf.DUMMYFUNCTION("""COMPUTED_VALUE"""),0.0)</f>
        <v>0</v>
      </c>
      <c r="P1177" s="2">
        <f>IFERROR(__xludf.DUMMYFUNCTION("""COMPUTED_VALUE"""),28.0)</f>
        <v>28</v>
      </c>
      <c r="Q1177" s="2">
        <f>IFERROR(__xludf.DUMMYFUNCTION("""COMPUTED_VALUE"""),9.0)</f>
        <v>9</v>
      </c>
      <c r="R1177" s="2">
        <f>IFERROR(__xludf.DUMMYFUNCTION("""COMPUTED_VALUE"""),2025.0)</f>
        <v>2025</v>
      </c>
      <c r="S1177" s="2" t="str">
        <f>IFERROR(__xludf.DUMMYFUNCTION("""COMPUTED_VALUE"""),"Digizag")</f>
        <v>Digizag</v>
      </c>
      <c r="T1177" s="2" t="str">
        <f>IFERROR(__xludf.DUMMYFUNCTION("""COMPUTED_VALUE"""),"Digizag")</f>
        <v>Digizag</v>
      </c>
      <c r="U1177" s="5">
        <f>IFERROR(__xludf.DUMMYFUNCTION("""COMPUTED_VALUE"""),62.62763794)</f>
        <v>62.62763794</v>
      </c>
      <c r="V1177" s="2"/>
      <c r="W1177" s="2"/>
      <c r="X1177" s="2"/>
      <c r="Y1177" s="2"/>
      <c r="Z1177" s="2"/>
    </row>
    <row r="1178">
      <c r="A1178" s="6">
        <f>IFERROR(__xludf.DUMMYFUNCTION("""COMPUTED_VALUE"""),45928.56474537037)</f>
        <v>45928.56475</v>
      </c>
      <c r="B1178" s="2" t="str">
        <f>IFERROR(__xludf.DUMMYFUNCTION("""COMPUTED_VALUE"""),"September")</f>
        <v>September</v>
      </c>
      <c r="C1178" s="3">
        <f>IFERROR(__xludf.DUMMYFUNCTION("""COMPUTED_VALUE"""),504601.0)</f>
        <v>504601</v>
      </c>
      <c r="D1178" s="2" t="str">
        <f>IFERROR(__xludf.DUMMYFUNCTION("""COMPUTED_VALUE"""),"MNN27")</f>
        <v>MNN27</v>
      </c>
      <c r="E1178" s="2" t="str">
        <f>IFERROR(__xludf.DUMMYFUNCTION("""COMPUTED_VALUE"""),"Imported from file DigiZag Bidding Codes.xlsx")</f>
        <v>Imported from file DigiZag Bidding Codes.xlsx</v>
      </c>
      <c r="F1178" s="2" t="str">
        <f>IFERROR(__xludf.DUMMYFUNCTION("""COMPUTED_VALUE"""),"USH298393")</f>
        <v>USH298393</v>
      </c>
      <c r="G1178" s="2" t="str">
        <f>IFERROR(__xludf.DUMMYFUNCTION("""COMPUTED_VALUE"""),"Kingdom of Saudi Arabia")</f>
        <v>Kingdom of Saudi Arabia</v>
      </c>
      <c r="H1178" s="4">
        <f>IFERROR(__xludf.DUMMYFUNCTION("""COMPUTED_VALUE"""),129.57)</f>
        <v>129.57</v>
      </c>
      <c r="I1178" s="3">
        <f>IFERROR(__xludf.DUMMYFUNCTION("""COMPUTED_VALUE"""),0.0)</f>
        <v>0</v>
      </c>
      <c r="J1178" s="4">
        <f>IFERROR(__xludf.DUMMYFUNCTION("""COMPUTED_VALUE"""),30.0)</f>
        <v>30</v>
      </c>
      <c r="K1178" s="2"/>
      <c r="L1178" s="2" t="str">
        <f>IFERROR(__xludf.DUMMYFUNCTION("""COMPUTED_VALUE"""),"Delivered")</f>
        <v>Delivered</v>
      </c>
      <c r="M1178" s="2" t="str">
        <f>IFERROR(__xludf.DUMMYFUNCTION("""COMPUTED_VALUE"""),"")</f>
        <v></v>
      </c>
      <c r="N1178" s="2" t="str">
        <f>IFERROR(__xludf.DUMMYFUNCTION("""COMPUTED_VALUE"""),"Credit, Debit, Apple Pay")</f>
        <v>Credit, Debit, Apple Pay</v>
      </c>
      <c r="O1178" s="4">
        <f>IFERROR(__xludf.DUMMYFUNCTION("""COMPUTED_VALUE"""),0.0)</f>
        <v>0</v>
      </c>
      <c r="P1178" s="2">
        <f>IFERROR(__xludf.DUMMYFUNCTION("""COMPUTED_VALUE"""),28.0)</f>
        <v>28</v>
      </c>
      <c r="Q1178" s="2">
        <f>IFERROR(__xludf.DUMMYFUNCTION("""COMPUTED_VALUE"""),9.0)</f>
        <v>9</v>
      </c>
      <c r="R1178" s="2">
        <f>IFERROR(__xludf.DUMMYFUNCTION("""COMPUTED_VALUE"""),2025.0)</f>
        <v>2025</v>
      </c>
      <c r="S1178" s="2" t="str">
        <f>IFERROR(__xludf.DUMMYFUNCTION("""COMPUTED_VALUE"""),"Digizag")</f>
        <v>Digizag</v>
      </c>
      <c r="T1178" s="2" t="str">
        <f>IFERROR(__xludf.DUMMYFUNCTION("""COMPUTED_VALUE"""),"Digizag")</f>
        <v>Digizag</v>
      </c>
      <c r="U1178" s="5">
        <f>IFERROR(__xludf.DUMMYFUNCTION("""COMPUTED_VALUE"""),34.54932818022)</f>
        <v>34.54932818</v>
      </c>
      <c r="V1178" s="2"/>
      <c r="W1178" s="2"/>
      <c r="X1178" s="2"/>
      <c r="Y1178" s="2"/>
      <c r="Z1178" s="2"/>
    </row>
    <row r="1179">
      <c r="A1179" s="6">
        <f>IFERROR(__xludf.DUMMYFUNCTION("""COMPUTED_VALUE"""),45928.60596064814)</f>
        <v>45928.60596</v>
      </c>
      <c r="B1179" s="2" t="str">
        <f>IFERROR(__xludf.DUMMYFUNCTION("""COMPUTED_VALUE"""),"September")</f>
        <v>September</v>
      </c>
      <c r="C1179" s="3">
        <f>IFERROR(__xludf.DUMMYFUNCTION("""COMPUTED_VALUE"""),172409.0)</f>
        <v>172409</v>
      </c>
      <c r="D1179" s="2" t="str">
        <f>IFERROR(__xludf.DUMMYFUNCTION("""COMPUTED_VALUE"""),"DB6")</f>
        <v>DB6</v>
      </c>
      <c r="E1179" s="2" t="str">
        <f>IFERROR(__xludf.DUMMYFUNCTION("""COMPUTED_VALUE"""),"Digizag")</f>
        <v>Digizag</v>
      </c>
      <c r="F1179" s="2" t="str">
        <f>IFERROR(__xludf.DUMMYFUNCTION("""COMPUTED_VALUE"""),"NGD655587")</f>
        <v>NGD655587</v>
      </c>
      <c r="G1179" s="2" t="str">
        <f>IFERROR(__xludf.DUMMYFUNCTION("""COMPUTED_VALUE"""),"UAE")</f>
        <v>UAE</v>
      </c>
      <c r="H1179" s="4">
        <f>IFERROR(__xludf.DUMMYFUNCTION("""COMPUTED_VALUE"""),165.0)</f>
        <v>165</v>
      </c>
      <c r="I1179" s="3">
        <f>IFERROR(__xludf.DUMMYFUNCTION("""COMPUTED_VALUE"""),0.0)</f>
        <v>0</v>
      </c>
      <c r="J1179" s="4">
        <f>IFERROR(__xludf.DUMMYFUNCTION("""COMPUTED_VALUE"""),16.5)</f>
        <v>16.5</v>
      </c>
      <c r="K1179" s="2"/>
      <c r="L1179" s="2" t="str">
        <f>IFERROR(__xludf.DUMMYFUNCTION("""COMPUTED_VALUE"""),"Delivered")</f>
        <v>Delivered</v>
      </c>
      <c r="M1179" s="2" t="str">
        <f>IFERROR(__xludf.DUMMYFUNCTION("""COMPUTED_VALUE"""),"")</f>
        <v></v>
      </c>
      <c r="N1179" s="2" t="str">
        <f>IFERROR(__xludf.DUMMYFUNCTION("""COMPUTED_VALUE"""),"Credit, Debit , Apple Pay")</f>
        <v>Credit, Debit , Apple Pay</v>
      </c>
      <c r="O1179" s="4">
        <f>IFERROR(__xludf.DUMMYFUNCTION("""COMPUTED_VALUE"""),0.0)</f>
        <v>0</v>
      </c>
      <c r="P1179" s="2">
        <f>IFERROR(__xludf.DUMMYFUNCTION("""COMPUTED_VALUE"""),28.0)</f>
        <v>28</v>
      </c>
      <c r="Q1179" s="2">
        <f>IFERROR(__xludf.DUMMYFUNCTION("""COMPUTED_VALUE"""),9.0)</f>
        <v>9</v>
      </c>
      <c r="R1179" s="2">
        <f>IFERROR(__xludf.DUMMYFUNCTION("""COMPUTED_VALUE"""),2025.0)</f>
        <v>2025</v>
      </c>
      <c r="S1179" s="2" t="str">
        <f>IFERROR(__xludf.DUMMYFUNCTION("""COMPUTED_VALUE"""),"Digizag")</f>
        <v>Digizag</v>
      </c>
      <c r="T1179" s="2" t="str">
        <f>IFERROR(__xludf.DUMMYFUNCTION("""COMPUTED_VALUE"""),"Digizag")</f>
        <v>Digizag</v>
      </c>
      <c r="U1179" s="5">
        <f>IFERROR(__xludf.DUMMYFUNCTION("""COMPUTED_VALUE"""),44.92852287)</f>
        <v>44.92852287</v>
      </c>
      <c r="V1179" s="2"/>
      <c r="W1179" s="2"/>
      <c r="X1179" s="2"/>
      <c r="Y1179" s="2"/>
      <c r="Z1179" s="2"/>
    </row>
    <row r="1180">
      <c r="A1180" s="6">
        <f>IFERROR(__xludf.DUMMYFUNCTION("""COMPUTED_VALUE"""),45928.778078703705)</f>
        <v>45928.77808</v>
      </c>
      <c r="B1180" s="2" t="str">
        <f>IFERROR(__xludf.DUMMYFUNCTION("""COMPUTED_VALUE"""),"September")</f>
        <v>September</v>
      </c>
      <c r="C1180" s="3">
        <f>IFERROR(__xludf.DUMMYFUNCTION("""COMPUTED_VALUE"""),807642.0)</f>
        <v>807642</v>
      </c>
      <c r="D1180" s="2" t="str">
        <f>IFERROR(__xludf.DUMMYFUNCTION("""COMPUTED_VALUE"""),"BCARE")</f>
        <v>BCARE</v>
      </c>
      <c r="E1180" s="2" t="str">
        <f>IFERROR(__xludf.DUMMYFUNCTION("""COMPUTED_VALUE"""),"DigiZag")</f>
        <v>DigiZag</v>
      </c>
      <c r="F1180" s="2" t="str">
        <f>IFERROR(__xludf.DUMMYFUNCTION("""COMPUTED_VALUE"""),"MJR357329")</f>
        <v>MJR357329</v>
      </c>
      <c r="G1180" s="2" t="str">
        <f>IFERROR(__xludf.DUMMYFUNCTION("""COMPUTED_VALUE"""),"Kingdom of Saudi Arabia")</f>
        <v>Kingdom of Saudi Arabia</v>
      </c>
      <c r="H1180" s="4">
        <f>IFERROR(__xludf.DUMMYFUNCTION("""COMPUTED_VALUE"""),303.48)</f>
        <v>303.48</v>
      </c>
      <c r="I1180" s="3">
        <f>IFERROR(__xludf.DUMMYFUNCTION("""COMPUTED_VALUE"""),0.0)</f>
        <v>0</v>
      </c>
      <c r="J1180" s="4">
        <f>IFERROR(__xludf.DUMMYFUNCTION("""COMPUTED_VALUE"""),50.0)</f>
        <v>50</v>
      </c>
      <c r="K1180" s="2"/>
      <c r="L1180" s="2" t="str">
        <f>IFERROR(__xludf.DUMMYFUNCTION("""COMPUTED_VALUE"""),"Delivered")</f>
        <v>Delivered</v>
      </c>
      <c r="M1180" s="2" t="str">
        <f>IFERROR(__xludf.DUMMYFUNCTION("""COMPUTED_VALUE"""),"")</f>
        <v></v>
      </c>
      <c r="N1180" s="2" t="str">
        <f>IFERROR(__xludf.DUMMYFUNCTION("""COMPUTED_VALUE"""),"Credit, Debit, Apple Pay")</f>
        <v>Credit, Debit, Apple Pay</v>
      </c>
      <c r="O1180" s="4">
        <f>IFERROR(__xludf.DUMMYFUNCTION("""COMPUTED_VALUE"""),0.0)</f>
        <v>0</v>
      </c>
      <c r="P1180" s="2">
        <f>IFERROR(__xludf.DUMMYFUNCTION("""COMPUTED_VALUE"""),28.0)</f>
        <v>28</v>
      </c>
      <c r="Q1180" s="2">
        <f>IFERROR(__xludf.DUMMYFUNCTION("""COMPUTED_VALUE"""),9.0)</f>
        <v>9</v>
      </c>
      <c r="R1180" s="2">
        <f>IFERROR(__xludf.DUMMYFUNCTION("""COMPUTED_VALUE"""),2025.0)</f>
        <v>2025</v>
      </c>
      <c r="S1180" s="2" t="str">
        <f>IFERROR(__xludf.DUMMYFUNCTION("""COMPUTED_VALUE"""),"Digizag")</f>
        <v>Digizag</v>
      </c>
      <c r="T1180" s="2" t="str">
        <f>IFERROR(__xludf.DUMMYFUNCTION("""COMPUTED_VALUE"""),"Digizag")</f>
        <v>Digizag</v>
      </c>
      <c r="U1180" s="5">
        <f>IFERROR(__xludf.DUMMYFUNCTION("""COMPUTED_VALUE"""),80.92174204008002)</f>
        <v>80.92174204</v>
      </c>
      <c r="V1180" s="2"/>
      <c r="W1180" s="2"/>
      <c r="X1180" s="2"/>
      <c r="Y1180" s="2"/>
      <c r="Z1180" s="2"/>
    </row>
    <row r="1181">
      <c r="A1181" s="6">
        <f>IFERROR(__xludf.DUMMYFUNCTION("""COMPUTED_VALUE"""),45929.09663194444)</f>
        <v>45929.09663</v>
      </c>
      <c r="B1181" s="2" t="str">
        <f>IFERROR(__xludf.DUMMYFUNCTION("""COMPUTED_VALUE"""),"September")</f>
        <v>September</v>
      </c>
      <c r="C1181" s="3">
        <f>IFERROR(__xludf.DUMMYFUNCTION("""COMPUTED_VALUE"""),528921.0)</f>
        <v>528921</v>
      </c>
      <c r="D1181" s="2" t="str">
        <f>IFERROR(__xludf.DUMMYFUNCTION("""COMPUTED_VALUE"""),"DB6")</f>
        <v>DB6</v>
      </c>
      <c r="E1181" s="2" t="str">
        <f>IFERROR(__xludf.DUMMYFUNCTION("""COMPUTED_VALUE"""),"Digizag")</f>
        <v>Digizag</v>
      </c>
      <c r="F1181" s="2" t="str">
        <f>IFERROR(__xludf.DUMMYFUNCTION("""COMPUTED_VALUE"""),"RLT346395")</f>
        <v>RLT346395</v>
      </c>
      <c r="G1181" s="2" t="str">
        <f>IFERROR(__xludf.DUMMYFUNCTION("""COMPUTED_VALUE"""),"UAE")</f>
        <v>UAE</v>
      </c>
      <c r="H1181" s="4">
        <f>IFERROR(__xludf.DUMMYFUNCTION("""COMPUTED_VALUE"""),356.99)</f>
        <v>356.99</v>
      </c>
      <c r="I1181" s="3">
        <f>IFERROR(__xludf.DUMMYFUNCTION("""COMPUTED_VALUE"""),0.0)</f>
        <v>0</v>
      </c>
      <c r="J1181" s="4">
        <f>IFERROR(__xludf.DUMMYFUNCTION("""COMPUTED_VALUE"""),35.69)</f>
        <v>35.69</v>
      </c>
      <c r="K1181" s="2"/>
      <c r="L1181" s="2" t="str">
        <f>IFERROR(__xludf.DUMMYFUNCTION("""COMPUTED_VALUE"""),"Delivered")</f>
        <v>Delivered</v>
      </c>
      <c r="M1181" s="2" t="str">
        <f>IFERROR(__xludf.DUMMYFUNCTION("""COMPUTED_VALUE"""),"")</f>
        <v></v>
      </c>
      <c r="N1181" s="2" t="str">
        <f>IFERROR(__xludf.DUMMYFUNCTION("""COMPUTED_VALUE"""),"Credit, Debit , Apple Pay")</f>
        <v>Credit, Debit , Apple Pay</v>
      </c>
      <c r="O1181" s="4">
        <f>IFERROR(__xludf.DUMMYFUNCTION("""COMPUTED_VALUE"""),0.0)</f>
        <v>0</v>
      </c>
      <c r="P1181" s="2">
        <f>IFERROR(__xludf.DUMMYFUNCTION("""COMPUTED_VALUE"""),29.0)</f>
        <v>29</v>
      </c>
      <c r="Q1181" s="2">
        <f>IFERROR(__xludf.DUMMYFUNCTION("""COMPUTED_VALUE"""),9.0)</f>
        <v>9</v>
      </c>
      <c r="R1181" s="2">
        <f>IFERROR(__xludf.DUMMYFUNCTION("""COMPUTED_VALUE"""),2025.0)</f>
        <v>2025</v>
      </c>
      <c r="S1181" s="2" t="str">
        <f>IFERROR(__xludf.DUMMYFUNCTION("""COMPUTED_VALUE"""),"Digizag")</f>
        <v>Digizag</v>
      </c>
      <c r="T1181" s="2" t="str">
        <f>IFERROR(__xludf.DUMMYFUNCTION("""COMPUTED_VALUE"""),"Digizag")</f>
        <v>Digizag</v>
      </c>
      <c r="U1181" s="5">
        <f>IFERROR(__xludf.DUMMYFUNCTION("""COMPUTED_VALUE"""),97.20626290522)</f>
        <v>97.20626291</v>
      </c>
      <c r="V1181" s="2"/>
      <c r="W1181" s="2"/>
      <c r="X1181" s="2"/>
      <c r="Y1181" s="2"/>
      <c r="Z1181" s="2"/>
    </row>
    <row r="1182">
      <c r="A1182" s="6">
        <f>IFERROR(__xludf.DUMMYFUNCTION("""COMPUTED_VALUE"""),45929.20304398148)</f>
        <v>45929.20304</v>
      </c>
      <c r="B1182" s="2" t="str">
        <f>IFERROR(__xludf.DUMMYFUNCTION("""COMPUTED_VALUE"""),"September")</f>
        <v>September</v>
      </c>
      <c r="C1182" s="3">
        <f>IFERROR(__xludf.DUMMYFUNCTION("""COMPUTED_VALUE"""),486986.0)</f>
        <v>486986</v>
      </c>
      <c r="D1182" s="2" t="str">
        <f>IFERROR(__xludf.DUMMYFUNCTION("""COMPUTED_VALUE"""),"JM")</f>
        <v>JM</v>
      </c>
      <c r="E1182" s="2" t="str">
        <f>IFERROR(__xludf.DUMMYFUNCTION("""COMPUTED_VALUE"""),"Digizag")</f>
        <v>Digizag</v>
      </c>
      <c r="F1182" s="2" t="str">
        <f>IFERROR(__xludf.DUMMYFUNCTION("""COMPUTED_VALUE"""),"PUK438134")</f>
        <v>PUK438134</v>
      </c>
      <c r="G1182" s="2" t="str">
        <f>IFERROR(__xludf.DUMMYFUNCTION("""COMPUTED_VALUE"""),"Kuwait")</f>
        <v>Kuwait</v>
      </c>
      <c r="H1182" s="4">
        <f>IFERROR(__xludf.DUMMYFUNCTION("""COMPUTED_VALUE"""),11.5)</f>
        <v>11.5</v>
      </c>
      <c r="I1182" s="3">
        <f>IFERROR(__xludf.DUMMYFUNCTION("""COMPUTED_VALUE"""),0.0)</f>
        <v>0</v>
      </c>
      <c r="J1182" s="4">
        <f>IFERROR(__xludf.DUMMYFUNCTION("""COMPUTED_VALUE"""),1.15)</f>
        <v>1.15</v>
      </c>
      <c r="K1182" s="2"/>
      <c r="L1182" s="2" t="str">
        <f>IFERROR(__xludf.DUMMYFUNCTION("""COMPUTED_VALUE"""),"Delivered")</f>
        <v>Delivered</v>
      </c>
      <c r="M1182" s="2" t="str">
        <f>IFERROR(__xludf.DUMMYFUNCTION("""COMPUTED_VALUE"""),"KD")</f>
        <v>KD</v>
      </c>
      <c r="N1182" s="2" t="str">
        <f>IFERROR(__xludf.DUMMYFUNCTION("""COMPUTED_VALUE"""),"Cash")</f>
        <v>Cash</v>
      </c>
      <c r="O1182" s="4">
        <f>IFERROR(__xludf.DUMMYFUNCTION("""COMPUTED_VALUE"""),0.0)</f>
        <v>0</v>
      </c>
      <c r="P1182" s="2">
        <f>IFERROR(__xludf.DUMMYFUNCTION("""COMPUTED_VALUE"""),29.0)</f>
        <v>29</v>
      </c>
      <c r="Q1182" s="2">
        <f>IFERROR(__xludf.DUMMYFUNCTION("""COMPUTED_VALUE"""),9.0)</f>
        <v>9</v>
      </c>
      <c r="R1182" s="2">
        <f>IFERROR(__xludf.DUMMYFUNCTION("""COMPUTED_VALUE"""),2025.0)</f>
        <v>2025</v>
      </c>
      <c r="S1182" s="2" t="str">
        <f>IFERROR(__xludf.DUMMYFUNCTION("""COMPUTED_VALUE"""),"Digizag")</f>
        <v>Digizag</v>
      </c>
      <c r="T1182" s="2" t="str">
        <f>IFERROR(__xludf.DUMMYFUNCTION("""COMPUTED_VALUE"""),"Digizag")</f>
        <v>Digizag</v>
      </c>
      <c r="U1182" s="5">
        <f>IFERROR(__xludf.DUMMYFUNCTION("""COMPUTED_VALUE"""),37.49713)</f>
        <v>37.49713</v>
      </c>
      <c r="V1182" s="2"/>
      <c r="W1182" s="2"/>
      <c r="X1182" s="2"/>
      <c r="Y1182" s="2"/>
      <c r="Z1182" s="2"/>
    </row>
    <row r="1183">
      <c r="A1183" s="6">
        <f>IFERROR(__xludf.DUMMYFUNCTION("""COMPUTED_VALUE"""),45929.44585648148)</f>
        <v>45929.44586</v>
      </c>
      <c r="B1183" s="2" t="str">
        <f>IFERROR(__xludf.DUMMYFUNCTION("""COMPUTED_VALUE"""),"September")</f>
        <v>September</v>
      </c>
      <c r="C1183" s="3">
        <f>IFERROR(__xludf.DUMMYFUNCTION("""COMPUTED_VALUE"""),569066.0)</f>
        <v>569066</v>
      </c>
      <c r="D1183" s="2" t="str">
        <f>IFERROR(__xludf.DUMMYFUNCTION("""COMPUTED_VALUE"""),"RR22")</f>
        <v>RR22</v>
      </c>
      <c r="E1183" s="2" t="str">
        <f>IFERROR(__xludf.DUMMYFUNCTION("""COMPUTED_VALUE"""),"Imported from file Digizag.xlsx")</f>
        <v>Imported from file Digizag.xlsx</v>
      </c>
      <c r="F1183" s="2" t="str">
        <f>IFERROR(__xludf.DUMMYFUNCTION("""COMPUTED_VALUE"""),"WSB608824")</f>
        <v>WSB608824</v>
      </c>
      <c r="G1183" s="2" t="str">
        <f>IFERROR(__xludf.DUMMYFUNCTION("""COMPUTED_VALUE"""),"UAE")</f>
        <v>UAE</v>
      </c>
      <c r="H1183" s="4">
        <f>IFERROR(__xludf.DUMMYFUNCTION("""COMPUTED_VALUE"""),233.0)</f>
        <v>233</v>
      </c>
      <c r="I1183" s="3">
        <f>IFERROR(__xludf.DUMMYFUNCTION("""COMPUTED_VALUE"""),0.0)</f>
        <v>0</v>
      </c>
      <c r="J1183" s="4">
        <f>IFERROR(__xludf.DUMMYFUNCTION("""COMPUTED_VALUE"""),23.3)</f>
        <v>23.3</v>
      </c>
      <c r="K1183" s="2"/>
      <c r="L1183" s="2" t="str">
        <f>IFERROR(__xludf.DUMMYFUNCTION("""COMPUTED_VALUE"""),"Delivered")</f>
        <v>Delivered</v>
      </c>
      <c r="M1183" s="2" t="str">
        <f>IFERROR(__xludf.DUMMYFUNCTION("""COMPUTED_VALUE"""),"")</f>
        <v></v>
      </c>
      <c r="N1183" s="2" t="str">
        <f>IFERROR(__xludf.DUMMYFUNCTION("""COMPUTED_VALUE"""),"Credit, Debit , Apple Pay")</f>
        <v>Credit, Debit , Apple Pay</v>
      </c>
      <c r="O1183" s="4">
        <f>IFERROR(__xludf.DUMMYFUNCTION("""COMPUTED_VALUE"""),0.0)</f>
        <v>0</v>
      </c>
      <c r="P1183" s="2">
        <f>IFERROR(__xludf.DUMMYFUNCTION("""COMPUTED_VALUE"""),29.0)</f>
        <v>29</v>
      </c>
      <c r="Q1183" s="2">
        <f>IFERROR(__xludf.DUMMYFUNCTION("""COMPUTED_VALUE"""),9.0)</f>
        <v>9</v>
      </c>
      <c r="R1183" s="2">
        <f>IFERROR(__xludf.DUMMYFUNCTION("""COMPUTED_VALUE"""),2025.0)</f>
        <v>2025</v>
      </c>
      <c r="S1183" s="2" t="str">
        <f>IFERROR(__xludf.DUMMYFUNCTION("""COMPUTED_VALUE"""),"Digizag")</f>
        <v>Digizag</v>
      </c>
      <c r="T1183" s="2" t="str">
        <f>IFERROR(__xludf.DUMMYFUNCTION("""COMPUTED_VALUE"""),"Digizag")</f>
        <v>Digizag</v>
      </c>
      <c r="U1183" s="5">
        <f>IFERROR(__xludf.DUMMYFUNCTION("""COMPUTED_VALUE"""),63.444520174)</f>
        <v>63.44452017</v>
      </c>
      <c r="V1183" s="2"/>
      <c r="W1183" s="2"/>
      <c r="X1183" s="2"/>
      <c r="Y1183" s="2"/>
      <c r="Z1183" s="2"/>
    </row>
    <row r="1184">
      <c r="A1184" s="6">
        <f>IFERROR(__xludf.DUMMYFUNCTION("""COMPUTED_VALUE"""),45929.573067129626)</f>
        <v>45929.57307</v>
      </c>
      <c r="B1184" s="2" t="str">
        <f>IFERROR(__xludf.DUMMYFUNCTION("""COMPUTED_VALUE"""),"September")</f>
        <v>September</v>
      </c>
      <c r="C1184" s="3">
        <f>IFERROR(__xludf.DUMMYFUNCTION("""COMPUTED_VALUE"""),807955.0)</f>
        <v>807955</v>
      </c>
      <c r="D1184" s="2" t="str">
        <f>IFERROR(__xludf.DUMMYFUNCTION("""COMPUTED_VALUE"""),"ZM22")</f>
        <v>ZM22</v>
      </c>
      <c r="E1184" s="2" t="str">
        <f>IFERROR(__xludf.DUMMYFUNCTION("""COMPUTED_VALUE"""),"Imported from file Digizag.xlsx")</f>
        <v>Imported from file Digizag.xlsx</v>
      </c>
      <c r="F1184" s="2" t="str">
        <f>IFERROR(__xludf.DUMMYFUNCTION("""COMPUTED_VALUE"""),"EJE815379")</f>
        <v>EJE815379</v>
      </c>
      <c r="G1184" s="2" t="str">
        <f>IFERROR(__xludf.DUMMYFUNCTION("""COMPUTED_VALUE"""),"UAE")</f>
        <v>UAE</v>
      </c>
      <c r="H1184" s="4">
        <f>IFERROR(__xludf.DUMMYFUNCTION("""COMPUTED_VALUE"""),1039.0)</f>
        <v>1039</v>
      </c>
      <c r="I1184" s="3">
        <f>IFERROR(__xludf.DUMMYFUNCTION("""COMPUTED_VALUE"""),0.0)</f>
        <v>0</v>
      </c>
      <c r="J1184" s="4">
        <f>IFERROR(__xludf.DUMMYFUNCTION("""COMPUTED_VALUE"""),103.9)</f>
        <v>103.9</v>
      </c>
      <c r="K1184" s="2"/>
      <c r="L1184" s="2" t="str">
        <f>IFERROR(__xludf.DUMMYFUNCTION("""COMPUTED_VALUE"""),"Delivered")</f>
        <v>Delivered</v>
      </c>
      <c r="M1184" s="2" t="str">
        <f>IFERROR(__xludf.DUMMYFUNCTION("""COMPUTED_VALUE"""),"")</f>
        <v></v>
      </c>
      <c r="N1184" s="2" t="str">
        <f>IFERROR(__xludf.DUMMYFUNCTION("""COMPUTED_VALUE"""),"Credit, Debit , Apple Pay")</f>
        <v>Credit, Debit , Apple Pay</v>
      </c>
      <c r="O1184" s="4">
        <f>IFERROR(__xludf.DUMMYFUNCTION("""COMPUTED_VALUE"""),0.0)</f>
        <v>0</v>
      </c>
      <c r="P1184" s="2">
        <f>IFERROR(__xludf.DUMMYFUNCTION("""COMPUTED_VALUE"""),29.0)</f>
        <v>29</v>
      </c>
      <c r="Q1184" s="2">
        <f>IFERROR(__xludf.DUMMYFUNCTION("""COMPUTED_VALUE"""),9.0)</f>
        <v>9</v>
      </c>
      <c r="R1184" s="2">
        <f>IFERROR(__xludf.DUMMYFUNCTION("""COMPUTED_VALUE"""),2025.0)</f>
        <v>2025</v>
      </c>
      <c r="S1184" s="2" t="str">
        <f>IFERROR(__xludf.DUMMYFUNCTION("""COMPUTED_VALUE"""),"Digizag")</f>
        <v>Digizag</v>
      </c>
      <c r="T1184" s="2" t="str">
        <f>IFERROR(__xludf.DUMMYFUNCTION("""COMPUTED_VALUE"""),"Digizag")</f>
        <v>Digizag</v>
      </c>
      <c r="U1184" s="5">
        <f>IFERROR(__xludf.DUMMYFUNCTION("""COMPUTED_VALUE"""),282.913547042)</f>
        <v>282.913547</v>
      </c>
      <c r="V1184" s="2"/>
      <c r="W1184" s="2"/>
      <c r="X1184" s="2"/>
      <c r="Y1184" s="2"/>
      <c r="Z1184" s="2"/>
    </row>
    <row r="1185">
      <c r="A1185" s="6">
        <f>IFERROR(__xludf.DUMMYFUNCTION("""COMPUTED_VALUE"""),45930.695810185185)</f>
        <v>45930.69581</v>
      </c>
      <c r="B1185" s="2" t="str">
        <f>IFERROR(__xludf.DUMMYFUNCTION("""COMPUTED_VALUE"""),"September")</f>
        <v>September</v>
      </c>
      <c r="C1185" s="3">
        <f>IFERROR(__xludf.DUMMYFUNCTION("""COMPUTED_VALUE"""),808618.0)</f>
        <v>808618</v>
      </c>
      <c r="D1185" s="2" t="str">
        <f>IFERROR(__xludf.DUMMYFUNCTION("""COMPUTED_VALUE"""),"CC22")</f>
        <v>CC22</v>
      </c>
      <c r="E1185" s="2" t="str">
        <f>IFERROR(__xludf.DUMMYFUNCTION("""COMPUTED_VALUE"""),"Imported from file Digizag.xlsx")</f>
        <v>Imported from file Digizag.xlsx</v>
      </c>
      <c r="F1185" s="2" t="str">
        <f>IFERROR(__xludf.DUMMYFUNCTION("""COMPUTED_VALUE"""),"MUW432824")</f>
        <v>MUW432824</v>
      </c>
      <c r="G1185" s="2" t="str">
        <f>IFERROR(__xludf.DUMMYFUNCTION("""COMPUTED_VALUE"""),"Kingdom of Saudi Arabia")</f>
        <v>Kingdom of Saudi Arabia</v>
      </c>
      <c r="H1185" s="4">
        <f>IFERROR(__xludf.DUMMYFUNCTION("""COMPUTED_VALUE"""),127.4)</f>
        <v>127.4</v>
      </c>
      <c r="I1185" s="3">
        <f>IFERROR(__xludf.DUMMYFUNCTION("""COMPUTED_VALUE"""),0.0)</f>
        <v>0</v>
      </c>
      <c r="J1185" s="4">
        <f>IFERROR(__xludf.DUMMYFUNCTION("""COMPUTED_VALUE"""),30.0)</f>
        <v>30</v>
      </c>
      <c r="K1185" s="2"/>
      <c r="L1185" s="2" t="str">
        <f>IFERROR(__xludf.DUMMYFUNCTION("""COMPUTED_VALUE"""),"Delivered")</f>
        <v>Delivered</v>
      </c>
      <c r="M1185" s="2" t="str">
        <f>IFERROR(__xludf.DUMMYFUNCTION("""COMPUTED_VALUE"""),"")</f>
        <v></v>
      </c>
      <c r="N1185" s="2" t="str">
        <f>IFERROR(__xludf.DUMMYFUNCTION("""COMPUTED_VALUE"""),"Credit, Debit, Apple Pay")</f>
        <v>Credit, Debit, Apple Pay</v>
      </c>
      <c r="O1185" s="4">
        <f>IFERROR(__xludf.DUMMYFUNCTION("""COMPUTED_VALUE"""),0.0)</f>
        <v>0</v>
      </c>
      <c r="P1185" s="2">
        <f>IFERROR(__xludf.DUMMYFUNCTION("""COMPUTED_VALUE"""),30.0)</f>
        <v>30</v>
      </c>
      <c r="Q1185" s="2">
        <f>IFERROR(__xludf.DUMMYFUNCTION("""COMPUTED_VALUE"""),9.0)</f>
        <v>9</v>
      </c>
      <c r="R1185" s="2">
        <f>IFERROR(__xludf.DUMMYFUNCTION("""COMPUTED_VALUE"""),2025.0)</f>
        <v>2025</v>
      </c>
      <c r="S1185" s="2" t="str">
        <f>IFERROR(__xludf.DUMMYFUNCTION("""COMPUTED_VALUE"""),"Digizag")</f>
        <v>Digizag</v>
      </c>
      <c r="T1185" s="2" t="str">
        <f>IFERROR(__xludf.DUMMYFUNCTION("""COMPUTED_VALUE"""),"Digizag")</f>
        <v>Digizag</v>
      </c>
      <c r="U1185" s="5">
        <f>IFERROR(__xludf.DUMMYFUNCTION("""COMPUTED_VALUE"""),33.97070626040001)</f>
        <v>33.97070626</v>
      </c>
      <c r="V1185" s="2"/>
      <c r="W1185" s="2"/>
      <c r="X1185" s="2"/>
      <c r="Y1185" s="2"/>
      <c r="Z1185" s="2"/>
    </row>
    <row r="1186">
      <c r="A1186" s="6">
        <f>IFERROR(__xludf.DUMMYFUNCTION("""COMPUTED_VALUE"""),45930.79173611111)</f>
        <v>45930.79174</v>
      </c>
      <c r="B1186" s="2" t="str">
        <f>IFERROR(__xludf.DUMMYFUNCTION("""COMPUTED_VALUE"""),"September")</f>
        <v>September</v>
      </c>
      <c r="C1186" s="3">
        <f>IFERROR(__xludf.DUMMYFUNCTION("""COMPUTED_VALUE"""),808675.0)</f>
        <v>808675</v>
      </c>
      <c r="D1186" s="2" t="str">
        <f>IFERROR(__xludf.DUMMYFUNCTION("""COMPUTED_VALUE"""),"DB6")</f>
        <v>DB6</v>
      </c>
      <c r="E1186" s="2" t="str">
        <f>IFERROR(__xludf.DUMMYFUNCTION("""COMPUTED_VALUE"""),"Digizag")</f>
        <v>Digizag</v>
      </c>
      <c r="F1186" s="2" t="str">
        <f>IFERROR(__xludf.DUMMYFUNCTION("""COMPUTED_VALUE"""),"JMD721873")</f>
        <v>JMD721873</v>
      </c>
      <c r="G1186" s="2" t="str">
        <f>IFERROR(__xludf.DUMMYFUNCTION("""COMPUTED_VALUE"""),"Kingdom of Saudi Arabia")</f>
        <v>Kingdom of Saudi Arabia</v>
      </c>
      <c r="H1186" s="4">
        <f>IFERROR(__xludf.DUMMYFUNCTION("""COMPUTED_VALUE"""),199.0)</f>
        <v>199</v>
      </c>
      <c r="I1186" s="3">
        <f>IFERROR(__xludf.DUMMYFUNCTION("""COMPUTED_VALUE"""),0.0)</f>
        <v>0</v>
      </c>
      <c r="J1186" s="4">
        <f>IFERROR(__xludf.DUMMYFUNCTION("""COMPUTED_VALUE"""),30.0)</f>
        <v>30</v>
      </c>
      <c r="K1186" s="2"/>
      <c r="L1186" s="2" t="str">
        <f>IFERROR(__xludf.DUMMYFUNCTION("""COMPUTED_VALUE"""),"Delivered")</f>
        <v>Delivered</v>
      </c>
      <c r="M1186" s="2" t="str">
        <f>IFERROR(__xludf.DUMMYFUNCTION("""COMPUTED_VALUE"""),"")</f>
        <v></v>
      </c>
      <c r="N1186" s="2" t="str">
        <f>IFERROR(__xludf.DUMMYFUNCTION("""COMPUTED_VALUE"""),"Credit, Debit, Apple Pay")</f>
        <v>Credit, Debit, Apple Pay</v>
      </c>
      <c r="O1186" s="4">
        <f>IFERROR(__xludf.DUMMYFUNCTION("""COMPUTED_VALUE"""),0.0)</f>
        <v>0</v>
      </c>
      <c r="P1186" s="2">
        <f>IFERROR(__xludf.DUMMYFUNCTION("""COMPUTED_VALUE"""),30.0)</f>
        <v>30</v>
      </c>
      <c r="Q1186" s="2">
        <f>IFERROR(__xludf.DUMMYFUNCTION("""COMPUTED_VALUE"""),9.0)</f>
        <v>9</v>
      </c>
      <c r="R1186" s="2">
        <f>IFERROR(__xludf.DUMMYFUNCTION("""COMPUTED_VALUE"""),2025.0)</f>
        <v>2025</v>
      </c>
      <c r="S1186" s="2" t="str">
        <f>IFERROR(__xludf.DUMMYFUNCTION("""COMPUTED_VALUE"""),"Digizag")</f>
        <v>Digizag</v>
      </c>
      <c r="T1186" s="2" t="str">
        <f>IFERROR(__xludf.DUMMYFUNCTION("""COMPUTED_VALUE"""),"Digizag")</f>
        <v>Digizag</v>
      </c>
      <c r="U1186" s="5">
        <f>IFERROR(__xludf.DUMMYFUNCTION("""COMPUTED_VALUE"""),53.062563154)</f>
        <v>53.06256315</v>
      </c>
      <c r="V1186" s="2"/>
      <c r="W1186" s="2"/>
      <c r="X1186" s="2"/>
      <c r="Y1186" s="2"/>
      <c r="Z1186" s="2"/>
    </row>
    <row r="1187">
      <c r="A1187" s="6">
        <f>IFERROR(__xludf.DUMMYFUNCTION("""COMPUTED_VALUE"""),45930.80909722222)</f>
        <v>45930.8091</v>
      </c>
      <c r="B1187" s="2" t="str">
        <f>IFERROR(__xludf.DUMMYFUNCTION("""COMPUTED_VALUE"""),"September")</f>
        <v>September</v>
      </c>
      <c r="C1187" s="3">
        <f>IFERROR(__xludf.DUMMYFUNCTION("""COMPUTED_VALUE"""),808214.0)</f>
        <v>808214</v>
      </c>
      <c r="D1187" s="2" t="str">
        <f>IFERROR(__xludf.DUMMYFUNCTION("""COMPUTED_VALUE"""),"DB18")</f>
        <v>DB18</v>
      </c>
      <c r="E1187" s="2" t="str">
        <f>IFERROR(__xludf.DUMMYFUNCTION("""COMPUTED_VALUE"""),"Imported from file Digizag.xlsx")</f>
        <v>Imported from file Digizag.xlsx</v>
      </c>
      <c r="F1187" s="2" t="str">
        <f>IFERROR(__xludf.DUMMYFUNCTION("""COMPUTED_VALUE"""),"EWJ151028")</f>
        <v>EWJ151028</v>
      </c>
      <c r="G1187" s="2" t="str">
        <f>IFERROR(__xludf.DUMMYFUNCTION("""COMPUTED_VALUE"""),"Kingdom of Saudi Arabia")</f>
        <v>Kingdom of Saudi Arabia</v>
      </c>
      <c r="H1187" s="4">
        <f>IFERROR(__xludf.DUMMYFUNCTION("""COMPUTED_VALUE"""),89.24)</f>
        <v>89.24</v>
      </c>
      <c r="I1187" s="3">
        <f>IFERROR(__xludf.DUMMYFUNCTION("""COMPUTED_VALUE"""),0.0)</f>
        <v>0</v>
      </c>
      <c r="J1187" s="4">
        <f>IFERROR(__xludf.DUMMYFUNCTION("""COMPUTED_VALUE"""),22.31)</f>
        <v>22.31</v>
      </c>
      <c r="K1187" s="2"/>
      <c r="L1187" s="2" t="str">
        <f>IFERROR(__xludf.DUMMYFUNCTION("""COMPUTED_VALUE"""),"Delivered")</f>
        <v>Delivered</v>
      </c>
      <c r="M1187" s="2" t="str">
        <f>IFERROR(__xludf.DUMMYFUNCTION("""COMPUTED_VALUE"""),"")</f>
        <v></v>
      </c>
      <c r="N1187" s="2" t="str">
        <f>IFERROR(__xludf.DUMMYFUNCTION("""COMPUTED_VALUE"""),"Credit, Debit, Apple Pay")</f>
        <v>Credit, Debit, Apple Pay</v>
      </c>
      <c r="O1187" s="4">
        <f>IFERROR(__xludf.DUMMYFUNCTION("""COMPUTED_VALUE"""),0.0)</f>
        <v>0</v>
      </c>
      <c r="P1187" s="2">
        <f>IFERROR(__xludf.DUMMYFUNCTION("""COMPUTED_VALUE"""),30.0)</f>
        <v>30</v>
      </c>
      <c r="Q1187" s="2">
        <f>IFERROR(__xludf.DUMMYFUNCTION("""COMPUTED_VALUE"""),9.0)</f>
        <v>9</v>
      </c>
      <c r="R1187" s="2">
        <f>IFERROR(__xludf.DUMMYFUNCTION("""COMPUTED_VALUE"""),2025.0)</f>
        <v>2025</v>
      </c>
      <c r="S1187" s="2" t="str">
        <f>IFERROR(__xludf.DUMMYFUNCTION("""COMPUTED_VALUE"""),"Digizag")</f>
        <v>Digizag</v>
      </c>
      <c r="T1187" s="2" t="str">
        <f>IFERROR(__xludf.DUMMYFUNCTION("""COMPUTED_VALUE"""),"Digizag")</f>
        <v>Digizag</v>
      </c>
      <c r="U1187" s="5">
        <f>IFERROR(__xludf.DUMMYFUNCTION("""COMPUTED_VALUE"""),23.795493145040002)</f>
        <v>23.79549315</v>
      </c>
      <c r="V1187" s="2"/>
      <c r="W1187" s="2"/>
      <c r="X1187" s="2"/>
      <c r="Y1187" s="2"/>
      <c r="Z1187" s="2"/>
    </row>
    <row r="1188">
      <c r="A1188" s="6">
        <f>IFERROR(__xludf.DUMMYFUNCTION("""COMPUTED_VALUE"""),45930.81983796296)</f>
        <v>45930.81984</v>
      </c>
      <c r="B1188" s="2" t="str">
        <f>IFERROR(__xludf.DUMMYFUNCTION("""COMPUTED_VALUE"""),"September")</f>
        <v>September</v>
      </c>
      <c r="C1188" s="3">
        <f>IFERROR(__xludf.DUMMYFUNCTION("""COMPUTED_VALUE"""),803196.0)</f>
        <v>803196</v>
      </c>
      <c r="D1188" s="2" t="str">
        <f>IFERROR(__xludf.DUMMYFUNCTION("""COMPUTED_VALUE"""),"ZM22")</f>
        <v>ZM22</v>
      </c>
      <c r="E1188" s="2" t="str">
        <f>IFERROR(__xludf.DUMMYFUNCTION("""COMPUTED_VALUE"""),"Imported from file Digizag.xlsx")</f>
        <v>Imported from file Digizag.xlsx</v>
      </c>
      <c r="F1188" s="2" t="str">
        <f>IFERROR(__xludf.DUMMYFUNCTION("""COMPUTED_VALUE"""),"TEP336210")</f>
        <v>TEP336210</v>
      </c>
      <c r="G1188" s="2" t="str">
        <f>IFERROR(__xludf.DUMMYFUNCTION("""COMPUTED_VALUE"""),"UAE")</f>
        <v>UAE</v>
      </c>
      <c r="H1188" s="4">
        <f>IFERROR(__xludf.DUMMYFUNCTION("""COMPUTED_VALUE"""),258.9)</f>
        <v>258.9</v>
      </c>
      <c r="I1188" s="3">
        <f>IFERROR(__xludf.DUMMYFUNCTION("""COMPUTED_VALUE"""),0.0)</f>
        <v>0</v>
      </c>
      <c r="J1188" s="4">
        <f>IFERROR(__xludf.DUMMYFUNCTION("""COMPUTED_VALUE"""),25.89)</f>
        <v>25.89</v>
      </c>
      <c r="K1188" s="2"/>
      <c r="L1188" s="2" t="str">
        <f>IFERROR(__xludf.DUMMYFUNCTION("""COMPUTED_VALUE"""),"Delivered")</f>
        <v>Delivered</v>
      </c>
      <c r="M1188" s="2" t="str">
        <f>IFERROR(__xludf.DUMMYFUNCTION("""COMPUTED_VALUE"""),"")</f>
        <v></v>
      </c>
      <c r="N1188" s="2" t="str">
        <f>IFERROR(__xludf.DUMMYFUNCTION("""COMPUTED_VALUE"""),"Credit, Debit , Apple Pay")</f>
        <v>Credit, Debit , Apple Pay</v>
      </c>
      <c r="O1188" s="4">
        <f>IFERROR(__xludf.DUMMYFUNCTION("""COMPUTED_VALUE"""),0.0)</f>
        <v>0</v>
      </c>
      <c r="P1188" s="2">
        <f>IFERROR(__xludf.DUMMYFUNCTION("""COMPUTED_VALUE"""),30.0)</f>
        <v>30</v>
      </c>
      <c r="Q1188" s="2">
        <f>IFERROR(__xludf.DUMMYFUNCTION("""COMPUTED_VALUE"""),9.0)</f>
        <v>9</v>
      </c>
      <c r="R1188" s="2">
        <f>IFERROR(__xludf.DUMMYFUNCTION("""COMPUTED_VALUE"""),2025.0)</f>
        <v>2025</v>
      </c>
      <c r="S1188" s="2" t="str">
        <f>IFERROR(__xludf.DUMMYFUNCTION("""COMPUTED_VALUE"""),"Digizag")</f>
        <v>Digizag</v>
      </c>
      <c r="T1188" s="2" t="str">
        <f>IFERROR(__xludf.DUMMYFUNCTION("""COMPUTED_VALUE"""),"Digizag")</f>
        <v>Digizag</v>
      </c>
      <c r="U1188" s="5">
        <f>IFERROR(__xludf.DUMMYFUNCTION("""COMPUTED_VALUE"""),70.4969367942)</f>
        <v>70.49693679</v>
      </c>
      <c r="V1188" s="2"/>
      <c r="W1188" s="2"/>
      <c r="X1188" s="2"/>
      <c r="Y1188" s="2"/>
      <c r="Z1188" s="2"/>
    </row>
    <row r="1189">
      <c r="A1189" s="6">
        <f>IFERROR(__xludf.DUMMYFUNCTION("""COMPUTED_VALUE"""),45931.012662037036)</f>
        <v>45931.01266</v>
      </c>
      <c r="B1189" s="2" t="str">
        <f>IFERROR(__xludf.DUMMYFUNCTION("""COMPUTED_VALUE"""),"October")</f>
        <v>October</v>
      </c>
      <c r="C1189" s="3">
        <f>IFERROR(__xludf.DUMMYFUNCTION("""COMPUTED_VALUE"""),105174.0)</f>
        <v>105174</v>
      </c>
      <c r="D1189" s="2" t="str">
        <f>IFERROR(__xludf.DUMMYFUNCTION("""COMPUTED_VALUE"""),"CC22")</f>
        <v>CC22</v>
      </c>
      <c r="E1189" s="2" t="str">
        <f>IFERROR(__xludf.DUMMYFUNCTION("""COMPUTED_VALUE"""),"Imported from file Digizag.xlsx")</f>
        <v>Imported from file Digizag.xlsx</v>
      </c>
      <c r="F1189" s="2" t="str">
        <f>IFERROR(__xludf.DUMMYFUNCTION("""COMPUTED_VALUE"""),"LGN471557")</f>
        <v>LGN471557</v>
      </c>
      <c r="G1189" s="2" t="str">
        <f>IFERROR(__xludf.DUMMYFUNCTION("""COMPUTED_VALUE"""),"Kingdom of Saudi Arabia")</f>
        <v>Kingdom of Saudi Arabia</v>
      </c>
      <c r="H1189" s="4">
        <f>IFERROR(__xludf.DUMMYFUNCTION("""COMPUTED_VALUE"""),278.57)</f>
        <v>278.57</v>
      </c>
      <c r="I1189" s="3">
        <f>IFERROR(__xludf.DUMMYFUNCTION("""COMPUTED_VALUE"""),0.0)</f>
        <v>0</v>
      </c>
      <c r="J1189" s="4">
        <f>IFERROR(__xludf.DUMMYFUNCTION("""COMPUTED_VALUE"""),30.0)</f>
        <v>30</v>
      </c>
      <c r="K1189" s="2"/>
      <c r="L1189" s="2" t="str">
        <f>IFERROR(__xludf.DUMMYFUNCTION("""COMPUTED_VALUE"""),"Delivered")</f>
        <v>Delivered</v>
      </c>
      <c r="M1189" s="2" t="str">
        <f>IFERROR(__xludf.DUMMYFUNCTION("""COMPUTED_VALUE"""),"")</f>
        <v></v>
      </c>
      <c r="N1189" s="2" t="str">
        <f>IFERROR(__xludf.DUMMYFUNCTION("""COMPUTED_VALUE"""),"Credit, Debit, Apple Pay")</f>
        <v>Credit, Debit, Apple Pay</v>
      </c>
      <c r="O1189" s="4">
        <f>IFERROR(__xludf.DUMMYFUNCTION("""COMPUTED_VALUE"""),0.0)</f>
        <v>0</v>
      </c>
      <c r="P1189" s="2">
        <f>IFERROR(__xludf.DUMMYFUNCTION("""COMPUTED_VALUE"""),1.0)</f>
        <v>1</v>
      </c>
      <c r="Q1189" s="2">
        <f>IFERROR(__xludf.DUMMYFUNCTION("""COMPUTED_VALUE"""),10.0)</f>
        <v>10</v>
      </c>
      <c r="R1189" s="2">
        <f>IFERROR(__xludf.DUMMYFUNCTION("""COMPUTED_VALUE"""),2025.0)</f>
        <v>2025</v>
      </c>
      <c r="S1189" s="2" t="str">
        <f>IFERROR(__xludf.DUMMYFUNCTION("""COMPUTED_VALUE"""),"Digizag")</f>
        <v>Digizag</v>
      </c>
      <c r="T1189" s="2" t="str">
        <f>IFERROR(__xludf.DUMMYFUNCTION("""COMPUTED_VALUE"""),"Digizag")</f>
        <v>Digizag</v>
      </c>
      <c r="U1189" s="5">
        <f>IFERROR(__xludf.DUMMYFUNCTION("""COMPUTED_VALUE"""),74.27958903422001)</f>
        <v>74.27958903</v>
      </c>
      <c r="V1189" s="2"/>
      <c r="W1189" s="2"/>
      <c r="X1189" s="2"/>
      <c r="Y1189" s="2"/>
      <c r="Z1189" s="2"/>
    </row>
    <row r="1190">
      <c r="A1190" s="6">
        <f>IFERROR(__xludf.DUMMYFUNCTION("""COMPUTED_VALUE"""),45931.50350694444)</f>
        <v>45931.50351</v>
      </c>
      <c r="B1190" s="2" t="str">
        <f>IFERROR(__xludf.DUMMYFUNCTION("""COMPUTED_VALUE"""),"October")</f>
        <v>October</v>
      </c>
      <c r="C1190" s="3">
        <f>IFERROR(__xludf.DUMMYFUNCTION("""COMPUTED_VALUE"""),720948.0)</f>
        <v>720948</v>
      </c>
      <c r="D1190" s="2" t="str">
        <f>IFERROR(__xludf.DUMMYFUNCTION("""COMPUTED_VALUE"""),"DB18")</f>
        <v>DB18</v>
      </c>
      <c r="E1190" s="2" t="str">
        <f>IFERROR(__xludf.DUMMYFUNCTION("""COMPUTED_VALUE"""),"Imported from file Digizag.xlsx")</f>
        <v>Imported from file Digizag.xlsx</v>
      </c>
      <c r="F1190" s="2" t="str">
        <f>IFERROR(__xludf.DUMMYFUNCTION("""COMPUTED_VALUE"""),"ATW869288")</f>
        <v>ATW869288</v>
      </c>
      <c r="G1190" s="2" t="str">
        <f>IFERROR(__xludf.DUMMYFUNCTION("""COMPUTED_VALUE"""),"UAE")</f>
        <v>UAE</v>
      </c>
      <c r="H1190" s="4">
        <f>IFERROR(__xludf.DUMMYFUNCTION("""COMPUTED_VALUE"""),136.0)</f>
        <v>136</v>
      </c>
      <c r="I1190" s="3">
        <f>IFERROR(__xludf.DUMMYFUNCTION("""COMPUTED_VALUE"""),0.0)</f>
        <v>0</v>
      </c>
      <c r="J1190" s="4">
        <f>IFERROR(__xludf.DUMMYFUNCTION("""COMPUTED_VALUE"""),13.6)</f>
        <v>13.6</v>
      </c>
      <c r="K1190" s="2"/>
      <c r="L1190" s="2" t="str">
        <f>IFERROR(__xludf.DUMMYFUNCTION("""COMPUTED_VALUE"""),"Delivered")</f>
        <v>Delivered</v>
      </c>
      <c r="M1190" s="2" t="str">
        <f>IFERROR(__xludf.DUMMYFUNCTION("""COMPUTED_VALUE"""),"")</f>
        <v></v>
      </c>
      <c r="N1190" s="2" t="str">
        <f>IFERROR(__xludf.DUMMYFUNCTION("""COMPUTED_VALUE"""),"Credit, Debit , Apple Pay")</f>
        <v>Credit, Debit , Apple Pay</v>
      </c>
      <c r="O1190" s="4">
        <f>IFERROR(__xludf.DUMMYFUNCTION("""COMPUTED_VALUE"""),0.0)</f>
        <v>0</v>
      </c>
      <c r="P1190" s="2">
        <f>IFERROR(__xludf.DUMMYFUNCTION("""COMPUTED_VALUE"""),1.0)</f>
        <v>1</v>
      </c>
      <c r="Q1190" s="2">
        <f>IFERROR(__xludf.DUMMYFUNCTION("""COMPUTED_VALUE"""),10.0)</f>
        <v>10</v>
      </c>
      <c r="R1190" s="2">
        <f>IFERROR(__xludf.DUMMYFUNCTION("""COMPUTED_VALUE"""),2025.0)</f>
        <v>2025</v>
      </c>
      <c r="S1190" s="2" t="str">
        <f>IFERROR(__xludf.DUMMYFUNCTION("""COMPUTED_VALUE"""),"Digizag")</f>
        <v>Digizag</v>
      </c>
      <c r="T1190" s="2" t="str">
        <f>IFERROR(__xludf.DUMMYFUNCTION("""COMPUTED_VALUE"""),"Digizag")</f>
        <v>Digizag</v>
      </c>
      <c r="U1190" s="5">
        <f>IFERROR(__xludf.DUMMYFUNCTION("""COMPUTED_VALUE"""),37.031994608)</f>
        <v>37.03199461</v>
      </c>
      <c r="V1190" s="2"/>
      <c r="W1190" s="2"/>
      <c r="X1190" s="2"/>
      <c r="Y1190" s="2"/>
      <c r="Z1190" s="2"/>
    </row>
    <row r="1191">
      <c r="A1191" s="6">
        <f>IFERROR(__xludf.DUMMYFUNCTION("""COMPUTED_VALUE"""),45932.56748842592)</f>
        <v>45932.56749</v>
      </c>
      <c r="B1191" s="2" t="str">
        <f>IFERROR(__xludf.DUMMYFUNCTION("""COMPUTED_VALUE"""),"October")</f>
        <v>October</v>
      </c>
      <c r="C1191" s="3">
        <f>IFERROR(__xludf.DUMMYFUNCTION("""COMPUTED_VALUE"""),27934.0)</f>
        <v>27934</v>
      </c>
      <c r="D1191" s="2" t="str">
        <f>IFERROR(__xludf.DUMMYFUNCTION("""COMPUTED_VALUE"""),"DB6")</f>
        <v>DB6</v>
      </c>
      <c r="E1191" s="2" t="str">
        <f>IFERROR(__xludf.DUMMYFUNCTION("""COMPUTED_VALUE"""),"Digizag")</f>
        <v>Digizag</v>
      </c>
      <c r="F1191" s="2" t="str">
        <f>IFERROR(__xludf.DUMMYFUNCTION("""COMPUTED_VALUE"""),"NWC636802")</f>
        <v>NWC636802</v>
      </c>
      <c r="G1191" s="2" t="str">
        <f>IFERROR(__xludf.DUMMYFUNCTION("""COMPUTED_VALUE"""),"UAE")</f>
        <v>UAE</v>
      </c>
      <c r="H1191" s="4">
        <f>IFERROR(__xludf.DUMMYFUNCTION("""COMPUTED_VALUE"""),175.0)</f>
        <v>175</v>
      </c>
      <c r="I1191" s="3">
        <f>IFERROR(__xludf.DUMMYFUNCTION("""COMPUTED_VALUE"""),0.0)</f>
        <v>0</v>
      </c>
      <c r="J1191" s="4">
        <f>IFERROR(__xludf.DUMMYFUNCTION("""COMPUTED_VALUE"""),17.5)</f>
        <v>17.5</v>
      </c>
      <c r="K1191" s="2"/>
      <c r="L1191" s="2" t="str">
        <f>IFERROR(__xludf.DUMMYFUNCTION("""COMPUTED_VALUE"""),"Delivered")</f>
        <v>Delivered</v>
      </c>
      <c r="M1191" s="2" t="str">
        <f>IFERROR(__xludf.DUMMYFUNCTION("""COMPUTED_VALUE"""),"")</f>
        <v></v>
      </c>
      <c r="N1191" s="2" t="str">
        <f>IFERROR(__xludf.DUMMYFUNCTION("""COMPUTED_VALUE"""),"Credit, Debit , Apple Pay")</f>
        <v>Credit, Debit , Apple Pay</v>
      </c>
      <c r="O1191" s="4">
        <f>IFERROR(__xludf.DUMMYFUNCTION("""COMPUTED_VALUE"""),0.0)</f>
        <v>0</v>
      </c>
      <c r="P1191" s="2">
        <f>IFERROR(__xludf.DUMMYFUNCTION("""COMPUTED_VALUE"""),2.0)</f>
        <v>2</v>
      </c>
      <c r="Q1191" s="2">
        <f>IFERROR(__xludf.DUMMYFUNCTION("""COMPUTED_VALUE"""),10.0)</f>
        <v>10</v>
      </c>
      <c r="R1191" s="2">
        <f>IFERROR(__xludf.DUMMYFUNCTION("""COMPUTED_VALUE"""),2025.0)</f>
        <v>2025</v>
      </c>
      <c r="S1191" s="2" t="str">
        <f>IFERROR(__xludf.DUMMYFUNCTION("""COMPUTED_VALUE"""),"Digizag")</f>
        <v>Digizag</v>
      </c>
      <c r="T1191" s="2" t="str">
        <f>IFERROR(__xludf.DUMMYFUNCTION("""COMPUTED_VALUE"""),"Digizag")</f>
        <v>Digizag</v>
      </c>
      <c r="U1191" s="5">
        <f>IFERROR(__xludf.DUMMYFUNCTION("""COMPUTED_VALUE"""),47.65146365)</f>
        <v>47.65146365</v>
      </c>
      <c r="V1191" s="2"/>
      <c r="W1191" s="2"/>
      <c r="X1191" s="2"/>
      <c r="Y1191" s="2"/>
      <c r="Z1191" s="2"/>
    </row>
    <row r="1192">
      <c r="A1192" s="6">
        <f>IFERROR(__xludf.DUMMYFUNCTION("""COMPUTED_VALUE"""),45932.57767361111)</f>
        <v>45932.57767</v>
      </c>
      <c r="B1192" s="2" t="str">
        <f>IFERROR(__xludf.DUMMYFUNCTION("""COMPUTED_VALUE"""),"October")</f>
        <v>October</v>
      </c>
      <c r="C1192" s="3">
        <f>IFERROR(__xludf.DUMMYFUNCTION("""COMPUTED_VALUE"""),399147.0)</f>
        <v>399147</v>
      </c>
      <c r="D1192" s="2" t="str">
        <f>IFERROR(__xludf.DUMMYFUNCTION("""COMPUTED_VALUE"""),"ZM22")</f>
        <v>ZM22</v>
      </c>
      <c r="E1192" s="2" t="str">
        <f>IFERROR(__xludf.DUMMYFUNCTION("""COMPUTED_VALUE"""),"Imported from file Digizag.xlsx")</f>
        <v>Imported from file Digizag.xlsx</v>
      </c>
      <c r="F1192" s="2" t="str">
        <f>IFERROR(__xludf.DUMMYFUNCTION("""COMPUTED_VALUE"""),"UYC889009")</f>
        <v>UYC889009</v>
      </c>
      <c r="G1192" s="2" t="str">
        <f>IFERROR(__xludf.DUMMYFUNCTION("""COMPUTED_VALUE"""),"UAE")</f>
        <v>UAE</v>
      </c>
      <c r="H1192" s="4">
        <f>IFERROR(__xludf.DUMMYFUNCTION("""COMPUTED_VALUE"""),189.0)</f>
        <v>189</v>
      </c>
      <c r="I1192" s="3">
        <f>IFERROR(__xludf.DUMMYFUNCTION("""COMPUTED_VALUE"""),0.0)</f>
        <v>0</v>
      </c>
      <c r="J1192" s="4">
        <f>IFERROR(__xludf.DUMMYFUNCTION("""COMPUTED_VALUE"""),18.9)</f>
        <v>18.9</v>
      </c>
      <c r="K1192" s="2"/>
      <c r="L1192" s="2" t="str">
        <f>IFERROR(__xludf.DUMMYFUNCTION("""COMPUTED_VALUE"""),"Delivered")</f>
        <v>Delivered</v>
      </c>
      <c r="M1192" s="2" t="str">
        <f>IFERROR(__xludf.DUMMYFUNCTION("""COMPUTED_VALUE"""),"")</f>
        <v></v>
      </c>
      <c r="N1192" s="2" t="str">
        <f>IFERROR(__xludf.DUMMYFUNCTION("""COMPUTED_VALUE"""),"Credit, Debit , Apple Pay")</f>
        <v>Credit, Debit , Apple Pay</v>
      </c>
      <c r="O1192" s="4">
        <f>IFERROR(__xludf.DUMMYFUNCTION("""COMPUTED_VALUE"""),0.0)</f>
        <v>0</v>
      </c>
      <c r="P1192" s="2">
        <f>IFERROR(__xludf.DUMMYFUNCTION("""COMPUTED_VALUE"""),2.0)</f>
        <v>2</v>
      </c>
      <c r="Q1192" s="2">
        <f>IFERROR(__xludf.DUMMYFUNCTION("""COMPUTED_VALUE"""),10.0)</f>
        <v>10</v>
      </c>
      <c r="R1192" s="2">
        <f>IFERROR(__xludf.DUMMYFUNCTION("""COMPUTED_VALUE"""),2025.0)</f>
        <v>2025</v>
      </c>
      <c r="S1192" s="2" t="str">
        <f>IFERROR(__xludf.DUMMYFUNCTION("""COMPUTED_VALUE"""),"Digizag")</f>
        <v>Digizag</v>
      </c>
      <c r="T1192" s="2" t="str">
        <f>IFERROR(__xludf.DUMMYFUNCTION("""COMPUTED_VALUE"""),"Digizag")</f>
        <v>Digizag</v>
      </c>
      <c r="U1192" s="5">
        <f>IFERROR(__xludf.DUMMYFUNCTION("""COMPUTED_VALUE"""),51.463580742)</f>
        <v>51.46358074</v>
      </c>
      <c r="V1192" s="2"/>
      <c r="W1192" s="2"/>
      <c r="X1192" s="2"/>
      <c r="Y1192" s="2"/>
      <c r="Z1192" s="2"/>
    </row>
    <row r="1193">
      <c r="A1193" s="6">
        <f>IFERROR(__xludf.DUMMYFUNCTION("""COMPUTED_VALUE"""),45932.59386574074)</f>
        <v>45932.59387</v>
      </c>
      <c r="B1193" s="2" t="str">
        <f>IFERROR(__xludf.DUMMYFUNCTION("""COMPUTED_VALUE"""),"October")</f>
        <v>October</v>
      </c>
      <c r="C1193" s="3">
        <f>IFERROR(__xludf.DUMMYFUNCTION("""COMPUTED_VALUE"""),809330.0)</f>
        <v>809330</v>
      </c>
      <c r="D1193" s="2" t="str">
        <f>IFERROR(__xludf.DUMMYFUNCTION("""COMPUTED_VALUE"""),"DB7")</f>
        <v>DB7</v>
      </c>
      <c r="E1193" s="2" t="str">
        <f>IFERROR(__xludf.DUMMYFUNCTION("""COMPUTED_VALUE"""),"Digizag")</f>
        <v>Digizag</v>
      </c>
      <c r="F1193" s="2" t="str">
        <f>IFERROR(__xludf.DUMMYFUNCTION("""COMPUTED_VALUE"""),"WDR678645")</f>
        <v>WDR678645</v>
      </c>
      <c r="G1193" s="2" t="str">
        <f>IFERROR(__xludf.DUMMYFUNCTION("""COMPUTED_VALUE"""),"Kuwait")</f>
        <v>Kuwait</v>
      </c>
      <c r="H1193" s="4">
        <f>IFERROR(__xludf.DUMMYFUNCTION("""COMPUTED_VALUE"""),28.1)</f>
        <v>28.1</v>
      </c>
      <c r="I1193" s="3">
        <f>IFERROR(__xludf.DUMMYFUNCTION("""COMPUTED_VALUE"""),0.0)</f>
        <v>0</v>
      </c>
      <c r="J1193" s="4">
        <f>IFERROR(__xludf.DUMMYFUNCTION("""COMPUTED_VALUE"""),2.81)</f>
        <v>2.81</v>
      </c>
      <c r="K1193" s="2"/>
      <c r="L1193" s="2" t="str">
        <f>IFERROR(__xludf.DUMMYFUNCTION("""COMPUTED_VALUE"""),"Delivered")</f>
        <v>Delivered</v>
      </c>
      <c r="M1193" s="2" t="str">
        <f>IFERROR(__xludf.DUMMYFUNCTION("""COMPUTED_VALUE"""),"KD")</f>
        <v>KD</v>
      </c>
      <c r="N1193" s="2" t="str">
        <f>IFERROR(__xludf.DUMMYFUNCTION("""COMPUTED_VALUE"""),"Credit, Debit, Knet")</f>
        <v>Credit, Debit, Knet</v>
      </c>
      <c r="O1193" s="4">
        <f>IFERROR(__xludf.DUMMYFUNCTION("""COMPUTED_VALUE"""),0.0)</f>
        <v>0</v>
      </c>
      <c r="P1193" s="2">
        <f>IFERROR(__xludf.DUMMYFUNCTION("""COMPUTED_VALUE"""),2.0)</f>
        <v>2</v>
      </c>
      <c r="Q1193" s="2">
        <f>IFERROR(__xludf.DUMMYFUNCTION("""COMPUTED_VALUE"""),10.0)</f>
        <v>10</v>
      </c>
      <c r="R1193" s="2">
        <f>IFERROR(__xludf.DUMMYFUNCTION("""COMPUTED_VALUE"""),2025.0)</f>
        <v>2025</v>
      </c>
      <c r="S1193" s="2" t="str">
        <f>IFERROR(__xludf.DUMMYFUNCTION("""COMPUTED_VALUE"""),"Digizag")</f>
        <v>Digizag</v>
      </c>
      <c r="T1193" s="2" t="str">
        <f>IFERROR(__xludf.DUMMYFUNCTION("""COMPUTED_VALUE"""),"Digizag")</f>
        <v>Digizag</v>
      </c>
      <c r="U1193" s="5">
        <f>IFERROR(__xludf.DUMMYFUNCTION("""COMPUTED_VALUE"""),91.623422)</f>
        <v>91.623422</v>
      </c>
      <c r="V1193" s="2"/>
      <c r="W1193" s="2"/>
      <c r="X1193" s="2"/>
      <c r="Y1193" s="2"/>
      <c r="Z1193" s="2"/>
    </row>
    <row r="1194">
      <c r="A1194" s="6">
        <f>IFERROR(__xludf.DUMMYFUNCTION("""COMPUTED_VALUE"""),45932.62637731481)</f>
        <v>45932.62638</v>
      </c>
      <c r="B1194" s="2" t="str">
        <f>IFERROR(__xludf.DUMMYFUNCTION("""COMPUTED_VALUE"""),"October")</f>
        <v>October</v>
      </c>
      <c r="C1194" s="3">
        <f>IFERROR(__xludf.DUMMYFUNCTION("""COMPUTED_VALUE"""),809330.0)</f>
        <v>809330</v>
      </c>
      <c r="D1194" s="2" t="str">
        <f>IFERROR(__xludf.DUMMYFUNCTION("""COMPUTED_VALUE"""),"DB7")</f>
        <v>DB7</v>
      </c>
      <c r="E1194" s="2" t="str">
        <f>IFERROR(__xludf.DUMMYFUNCTION("""COMPUTED_VALUE"""),"Digizag")</f>
        <v>Digizag</v>
      </c>
      <c r="F1194" s="2" t="str">
        <f>IFERROR(__xludf.DUMMYFUNCTION("""COMPUTED_VALUE"""),"TCV764553")</f>
        <v>TCV764553</v>
      </c>
      <c r="G1194" s="2" t="str">
        <f>IFERROR(__xludf.DUMMYFUNCTION("""COMPUTED_VALUE"""),"Kuwait")</f>
        <v>Kuwait</v>
      </c>
      <c r="H1194" s="4">
        <f>IFERROR(__xludf.DUMMYFUNCTION("""COMPUTED_VALUE"""),17.95)</f>
        <v>17.95</v>
      </c>
      <c r="I1194" s="3">
        <f>IFERROR(__xludf.DUMMYFUNCTION("""COMPUTED_VALUE"""),0.0)</f>
        <v>0</v>
      </c>
      <c r="J1194" s="4">
        <f>IFERROR(__xludf.DUMMYFUNCTION("""COMPUTED_VALUE"""),1.795)</f>
        <v>1.795</v>
      </c>
      <c r="K1194" s="2"/>
      <c r="L1194" s="2" t="str">
        <f>IFERROR(__xludf.DUMMYFUNCTION("""COMPUTED_VALUE"""),"Delivered")</f>
        <v>Delivered</v>
      </c>
      <c r="M1194" s="2" t="str">
        <f>IFERROR(__xludf.DUMMYFUNCTION("""COMPUTED_VALUE"""),"KD")</f>
        <v>KD</v>
      </c>
      <c r="N1194" s="2" t="str">
        <f>IFERROR(__xludf.DUMMYFUNCTION("""COMPUTED_VALUE"""),"Credit, Debit, Knet")</f>
        <v>Credit, Debit, Knet</v>
      </c>
      <c r="O1194" s="4">
        <f>IFERROR(__xludf.DUMMYFUNCTION("""COMPUTED_VALUE"""),0.0)</f>
        <v>0</v>
      </c>
      <c r="P1194" s="2">
        <f>IFERROR(__xludf.DUMMYFUNCTION("""COMPUTED_VALUE"""),2.0)</f>
        <v>2</v>
      </c>
      <c r="Q1194" s="2">
        <f>IFERROR(__xludf.DUMMYFUNCTION("""COMPUTED_VALUE"""),10.0)</f>
        <v>10</v>
      </c>
      <c r="R1194" s="2">
        <f>IFERROR(__xludf.DUMMYFUNCTION("""COMPUTED_VALUE"""),2025.0)</f>
        <v>2025</v>
      </c>
      <c r="S1194" s="2" t="str">
        <f>IFERROR(__xludf.DUMMYFUNCTION("""COMPUTED_VALUE"""),"Digizag")</f>
        <v>Digizag</v>
      </c>
      <c r="T1194" s="2" t="str">
        <f>IFERROR(__xludf.DUMMYFUNCTION("""COMPUTED_VALUE"""),"Digizag")</f>
        <v>Digizag</v>
      </c>
      <c r="U1194" s="5">
        <f>IFERROR(__xludf.DUMMYFUNCTION("""COMPUTED_VALUE"""),58.52812899999999)</f>
        <v>58.528129</v>
      </c>
      <c r="V1194" s="2"/>
      <c r="W1194" s="2"/>
      <c r="X1194" s="2"/>
      <c r="Y1194" s="2"/>
      <c r="Z1194" s="2"/>
    </row>
    <row r="1195">
      <c r="A1195" s="6">
        <f>IFERROR(__xludf.DUMMYFUNCTION("""COMPUTED_VALUE"""),45932.66601851852)</f>
        <v>45932.66602</v>
      </c>
      <c r="B1195" s="2" t="str">
        <f>IFERROR(__xludf.DUMMYFUNCTION("""COMPUTED_VALUE"""),"October")</f>
        <v>October</v>
      </c>
      <c r="C1195" s="3">
        <f>IFERROR(__xludf.DUMMYFUNCTION("""COMPUTED_VALUE"""),573701.0)</f>
        <v>573701</v>
      </c>
      <c r="D1195" s="2" t="str">
        <f>IFERROR(__xludf.DUMMYFUNCTION("""COMPUTED_VALUE"""),"CC22")</f>
        <v>CC22</v>
      </c>
      <c r="E1195" s="2" t="str">
        <f>IFERROR(__xludf.DUMMYFUNCTION("""COMPUTED_VALUE"""),"Imported from file Digizag.xlsx")</f>
        <v>Imported from file Digizag.xlsx</v>
      </c>
      <c r="F1195" s="2" t="str">
        <f>IFERROR(__xludf.DUMMYFUNCTION("""COMPUTED_VALUE"""),"LEK677039")</f>
        <v>LEK677039</v>
      </c>
      <c r="G1195" s="2" t="str">
        <f>IFERROR(__xludf.DUMMYFUNCTION("""COMPUTED_VALUE"""),"Kingdom of Saudi Arabia")</f>
        <v>Kingdom of Saudi Arabia</v>
      </c>
      <c r="H1195" s="4">
        <f>IFERROR(__xludf.DUMMYFUNCTION("""COMPUTED_VALUE"""),94.39)</f>
        <v>94.39</v>
      </c>
      <c r="I1195" s="3">
        <f>IFERROR(__xludf.DUMMYFUNCTION("""COMPUTED_VALUE"""),0.0)</f>
        <v>0</v>
      </c>
      <c r="J1195" s="4">
        <f>IFERROR(__xludf.DUMMYFUNCTION("""COMPUTED_VALUE"""),23.59)</f>
        <v>23.59</v>
      </c>
      <c r="K1195" s="2"/>
      <c r="L1195" s="2" t="str">
        <f>IFERROR(__xludf.DUMMYFUNCTION("""COMPUTED_VALUE"""),"Delivered")</f>
        <v>Delivered</v>
      </c>
      <c r="M1195" s="2" t="str">
        <f>IFERROR(__xludf.DUMMYFUNCTION("""COMPUTED_VALUE"""),"")</f>
        <v></v>
      </c>
      <c r="N1195" s="2" t="str">
        <f>IFERROR(__xludf.DUMMYFUNCTION("""COMPUTED_VALUE"""),"Credit, Debit, Apple Pay")</f>
        <v>Credit, Debit, Apple Pay</v>
      </c>
      <c r="O1195" s="4">
        <f>IFERROR(__xludf.DUMMYFUNCTION("""COMPUTED_VALUE"""),0.0)</f>
        <v>0</v>
      </c>
      <c r="P1195" s="2">
        <f>IFERROR(__xludf.DUMMYFUNCTION("""COMPUTED_VALUE"""),2.0)</f>
        <v>2</v>
      </c>
      <c r="Q1195" s="2">
        <f>IFERROR(__xludf.DUMMYFUNCTION("""COMPUTED_VALUE"""),10.0)</f>
        <v>10</v>
      </c>
      <c r="R1195" s="2">
        <f>IFERROR(__xludf.DUMMYFUNCTION("""COMPUTED_VALUE"""),2025.0)</f>
        <v>2025</v>
      </c>
      <c r="S1195" s="2" t="str">
        <f>IFERROR(__xludf.DUMMYFUNCTION("""COMPUTED_VALUE"""),"Digizag")</f>
        <v>Digizag</v>
      </c>
      <c r="T1195" s="2" t="str">
        <f>IFERROR(__xludf.DUMMYFUNCTION("""COMPUTED_VALUE"""),"Digizag")</f>
        <v>Digizag</v>
      </c>
      <c r="U1195" s="5">
        <f>IFERROR(__xludf.DUMMYFUNCTION("""COMPUTED_VALUE"""),25.168720281940004)</f>
        <v>25.16872028</v>
      </c>
      <c r="V1195" s="2"/>
      <c r="W1195" s="2"/>
      <c r="X1195" s="2"/>
      <c r="Y1195" s="2"/>
      <c r="Z1195" s="2"/>
    </row>
    <row r="1196">
      <c r="A1196" s="6">
        <f>IFERROR(__xludf.DUMMYFUNCTION("""COMPUTED_VALUE"""),45933.34417824074)</f>
        <v>45933.34418</v>
      </c>
      <c r="B1196" s="2" t="str">
        <f>IFERROR(__xludf.DUMMYFUNCTION("""COMPUTED_VALUE"""),"October")</f>
        <v>October</v>
      </c>
      <c r="C1196" s="3">
        <f>IFERROR(__xludf.DUMMYFUNCTION("""COMPUTED_VALUE"""),1959.0)</f>
        <v>1959</v>
      </c>
      <c r="D1196" s="2" t="str">
        <f>IFERROR(__xludf.DUMMYFUNCTION("""COMPUTED_VALUE"""),"DB6")</f>
        <v>DB6</v>
      </c>
      <c r="E1196" s="2" t="str">
        <f>IFERROR(__xludf.DUMMYFUNCTION("""COMPUTED_VALUE"""),"Digizag")</f>
        <v>Digizag</v>
      </c>
      <c r="F1196" s="2" t="str">
        <f>IFERROR(__xludf.DUMMYFUNCTION("""COMPUTED_VALUE"""),"LBQ374681")</f>
        <v>LBQ374681</v>
      </c>
      <c r="G1196" s="2" t="str">
        <f>IFERROR(__xludf.DUMMYFUNCTION("""COMPUTED_VALUE"""),"UAE")</f>
        <v>UAE</v>
      </c>
      <c r="H1196" s="4">
        <f>IFERROR(__xludf.DUMMYFUNCTION("""COMPUTED_VALUE"""),298.0)</f>
        <v>298</v>
      </c>
      <c r="I1196" s="3">
        <f>IFERROR(__xludf.DUMMYFUNCTION("""COMPUTED_VALUE"""),0.0)</f>
        <v>0</v>
      </c>
      <c r="J1196" s="4">
        <f>IFERROR(__xludf.DUMMYFUNCTION("""COMPUTED_VALUE"""),29.8)</f>
        <v>29.8</v>
      </c>
      <c r="K1196" s="2"/>
      <c r="L1196" s="2" t="str">
        <f>IFERROR(__xludf.DUMMYFUNCTION("""COMPUTED_VALUE"""),"Delivered")</f>
        <v>Delivered</v>
      </c>
      <c r="M1196" s="2" t="str">
        <f>IFERROR(__xludf.DUMMYFUNCTION("""COMPUTED_VALUE"""),"")</f>
        <v></v>
      </c>
      <c r="N1196" s="2" t="str">
        <f>IFERROR(__xludf.DUMMYFUNCTION("""COMPUTED_VALUE"""),"Credit, Debit , Apple Pay")</f>
        <v>Credit, Debit , Apple Pay</v>
      </c>
      <c r="O1196" s="4">
        <f>IFERROR(__xludf.DUMMYFUNCTION("""COMPUTED_VALUE"""),0.0)</f>
        <v>0</v>
      </c>
      <c r="P1196" s="2">
        <f>IFERROR(__xludf.DUMMYFUNCTION("""COMPUTED_VALUE"""),3.0)</f>
        <v>3</v>
      </c>
      <c r="Q1196" s="2">
        <f>IFERROR(__xludf.DUMMYFUNCTION("""COMPUTED_VALUE"""),10.0)</f>
        <v>10</v>
      </c>
      <c r="R1196" s="2">
        <f>IFERROR(__xludf.DUMMYFUNCTION("""COMPUTED_VALUE"""),2025.0)</f>
        <v>2025</v>
      </c>
      <c r="S1196" s="2" t="str">
        <f>IFERROR(__xludf.DUMMYFUNCTION("""COMPUTED_VALUE"""),"Digizag")</f>
        <v>Digizag</v>
      </c>
      <c r="T1196" s="2" t="str">
        <f>IFERROR(__xludf.DUMMYFUNCTION("""COMPUTED_VALUE"""),"Digizag")</f>
        <v>Digizag</v>
      </c>
      <c r="U1196" s="5">
        <f>IFERROR(__xludf.DUMMYFUNCTION("""COMPUTED_VALUE"""),81.143635244)</f>
        <v>81.14363524</v>
      </c>
      <c r="V1196" s="2"/>
      <c r="W1196" s="2"/>
      <c r="X1196" s="2"/>
      <c r="Y1196" s="2"/>
      <c r="Z1196" s="2"/>
    </row>
    <row r="1197">
      <c r="A1197" s="6">
        <f>IFERROR(__xludf.DUMMYFUNCTION("""COMPUTED_VALUE"""),45933.39436342593)</f>
        <v>45933.39436</v>
      </c>
      <c r="B1197" s="2" t="str">
        <f>IFERROR(__xludf.DUMMYFUNCTION("""COMPUTED_VALUE"""),"October")</f>
        <v>October</v>
      </c>
      <c r="C1197" s="3">
        <f>IFERROR(__xludf.DUMMYFUNCTION("""COMPUTED_VALUE"""),810295.0)</f>
        <v>810295</v>
      </c>
      <c r="D1197" s="2" t="str">
        <f>IFERROR(__xludf.DUMMYFUNCTION("""COMPUTED_VALUE"""),"RR22")</f>
        <v>RR22</v>
      </c>
      <c r="E1197" s="2" t="str">
        <f>IFERROR(__xludf.DUMMYFUNCTION("""COMPUTED_VALUE"""),"Imported from file Digizag.xlsx")</f>
        <v>Imported from file Digizag.xlsx</v>
      </c>
      <c r="F1197" s="2" t="str">
        <f>IFERROR(__xludf.DUMMYFUNCTION("""COMPUTED_VALUE"""),"LGZ403501")</f>
        <v>LGZ403501</v>
      </c>
      <c r="G1197" s="2" t="str">
        <f>IFERROR(__xludf.DUMMYFUNCTION("""COMPUTED_VALUE"""),"UAE")</f>
        <v>UAE</v>
      </c>
      <c r="H1197" s="4">
        <f>IFERROR(__xludf.DUMMYFUNCTION("""COMPUTED_VALUE"""),95.0)</f>
        <v>95</v>
      </c>
      <c r="I1197" s="3">
        <f>IFERROR(__xludf.DUMMYFUNCTION("""COMPUTED_VALUE"""),0.0)</f>
        <v>0</v>
      </c>
      <c r="J1197" s="4">
        <f>IFERROR(__xludf.DUMMYFUNCTION("""COMPUTED_VALUE"""),9.5)</f>
        <v>9.5</v>
      </c>
      <c r="K1197" s="2"/>
      <c r="L1197" s="2" t="str">
        <f>IFERROR(__xludf.DUMMYFUNCTION("""COMPUTED_VALUE"""),"Delivered")</f>
        <v>Delivered</v>
      </c>
      <c r="M1197" s="2" t="str">
        <f>IFERROR(__xludf.DUMMYFUNCTION("""COMPUTED_VALUE"""),"")</f>
        <v></v>
      </c>
      <c r="N1197" s="2" t="str">
        <f>IFERROR(__xludf.DUMMYFUNCTION("""COMPUTED_VALUE"""),"Credit, Debit , Apple Pay")</f>
        <v>Credit, Debit , Apple Pay</v>
      </c>
      <c r="O1197" s="4">
        <f>IFERROR(__xludf.DUMMYFUNCTION("""COMPUTED_VALUE"""),0.0)</f>
        <v>0</v>
      </c>
      <c r="P1197" s="2">
        <f>IFERROR(__xludf.DUMMYFUNCTION("""COMPUTED_VALUE"""),3.0)</f>
        <v>3</v>
      </c>
      <c r="Q1197" s="2">
        <f>IFERROR(__xludf.DUMMYFUNCTION("""COMPUTED_VALUE"""),10.0)</f>
        <v>10</v>
      </c>
      <c r="R1197" s="2">
        <f>IFERROR(__xludf.DUMMYFUNCTION("""COMPUTED_VALUE"""),2025.0)</f>
        <v>2025</v>
      </c>
      <c r="S1197" s="2" t="str">
        <f>IFERROR(__xludf.DUMMYFUNCTION("""COMPUTED_VALUE"""),"Digizag")</f>
        <v>Digizag</v>
      </c>
      <c r="T1197" s="2" t="str">
        <f>IFERROR(__xludf.DUMMYFUNCTION("""COMPUTED_VALUE"""),"Digizag")</f>
        <v>Digizag</v>
      </c>
      <c r="U1197" s="5">
        <f>IFERROR(__xludf.DUMMYFUNCTION("""COMPUTED_VALUE"""),25.86793741)</f>
        <v>25.86793741</v>
      </c>
      <c r="V1197" s="2"/>
      <c r="W1197" s="2"/>
      <c r="X1197" s="2"/>
      <c r="Y1197" s="2"/>
      <c r="Z1197" s="2"/>
    </row>
    <row r="1198">
      <c r="A1198" s="6">
        <f>IFERROR(__xludf.DUMMYFUNCTION("""COMPUTED_VALUE"""),45933.45789351852)</f>
        <v>45933.45789</v>
      </c>
      <c r="B1198" s="2" t="str">
        <f>IFERROR(__xludf.DUMMYFUNCTION("""COMPUTED_VALUE"""),"October")</f>
        <v>October</v>
      </c>
      <c r="C1198" s="3">
        <f>IFERROR(__xludf.DUMMYFUNCTION("""COMPUTED_VALUE"""),794585.0)</f>
        <v>794585</v>
      </c>
      <c r="D1198" s="2" t="str">
        <f>IFERROR(__xludf.DUMMYFUNCTION("""COMPUTED_VALUE"""),"MNN27")</f>
        <v>MNN27</v>
      </c>
      <c r="E1198" s="2" t="str">
        <f>IFERROR(__xludf.DUMMYFUNCTION("""COMPUTED_VALUE"""),"Imported from file DigiZag Codes 25Feb25.xlsx")</f>
        <v>Imported from file DigiZag Codes 25Feb25.xlsx</v>
      </c>
      <c r="F1198" s="2" t="str">
        <f>IFERROR(__xludf.DUMMYFUNCTION("""COMPUTED_VALUE"""),"ZJZ207695")</f>
        <v>ZJZ207695</v>
      </c>
      <c r="G1198" s="2" t="str">
        <f>IFERROR(__xludf.DUMMYFUNCTION("""COMPUTED_VALUE"""),"Kuwait")</f>
        <v>Kuwait</v>
      </c>
      <c r="H1198" s="4">
        <f>IFERROR(__xludf.DUMMYFUNCTION("""COMPUTED_VALUE"""),11.655)</f>
        <v>11.655</v>
      </c>
      <c r="I1198" s="3">
        <f>IFERROR(__xludf.DUMMYFUNCTION("""COMPUTED_VALUE"""),0.0)</f>
        <v>0</v>
      </c>
      <c r="J1198" s="4">
        <f>IFERROR(__xludf.DUMMYFUNCTION("""COMPUTED_VALUE"""),1.165)</f>
        <v>1.165</v>
      </c>
      <c r="K1198" s="2"/>
      <c r="L1198" s="2" t="str">
        <f>IFERROR(__xludf.DUMMYFUNCTION("""COMPUTED_VALUE"""),"Delivered")</f>
        <v>Delivered</v>
      </c>
      <c r="M1198" s="2" t="str">
        <f>IFERROR(__xludf.DUMMYFUNCTION("""COMPUTED_VALUE"""),"KD")</f>
        <v>KD</v>
      </c>
      <c r="N1198" s="2" t="str">
        <f>IFERROR(__xludf.DUMMYFUNCTION("""COMPUTED_VALUE"""),"Credit, Debit, Knet")</f>
        <v>Credit, Debit, Knet</v>
      </c>
      <c r="O1198" s="4">
        <f>IFERROR(__xludf.DUMMYFUNCTION("""COMPUTED_VALUE"""),0.0)</f>
        <v>0</v>
      </c>
      <c r="P1198" s="2">
        <f>IFERROR(__xludf.DUMMYFUNCTION("""COMPUTED_VALUE"""),3.0)</f>
        <v>3</v>
      </c>
      <c r="Q1198" s="2">
        <f>IFERROR(__xludf.DUMMYFUNCTION("""COMPUTED_VALUE"""),10.0)</f>
        <v>10</v>
      </c>
      <c r="R1198" s="2">
        <f>IFERROR(__xludf.DUMMYFUNCTION("""COMPUTED_VALUE"""),2025.0)</f>
        <v>2025</v>
      </c>
      <c r="S1198" s="2" t="str">
        <f>IFERROR(__xludf.DUMMYFUNCTION("""COMPUTED_VALUE"""),"Digizag")</f>
        <v>Digizag</v>
      </c>
      <c r="T1198" s="2" t="str">
        <f>IFERROR(__xludf.DUMMYFUNCTION("""COMPUTED_VALUE"""),"Digizag")</f>
        <v>Digizag</v>
      </c>
      <c r="U1198" s="5">
        <f>IFERROR(__xludf.DUMMYFUNCTION("""COMPUTED_VALUE"""),38.0025261)</f>
        <v>38.0025261</v>
      </c>
      <c r="V1198" s="2"/>
      <c r="W1198" s="2"/>
      <c r="X1198" s="2"/>
      <c r="Y1198" s="2"/>
      <c r="Z1198" s="2"/>
    </row>
    <row r="1199">
      <c r="A1199" s="6">
        <f>IFERROR(__xludf.DUMMYFUNCTION("""COMPUTED_VALUE"""),45933.45952546296)</f>
        <v>45933.45953</v>
      </c>
      <c r="B1199" s="2" t="str">
        <f>IFERROR(__xludf.DUMMYFUNCTION("""COMPUTED_VALUE"""),"October")</f>
        <v>October</v>
      </c>
      <c r="C1199" s="3">
        <f>IFERROR(__xludf.DUMMYFUNCTION("""COMPUTED_VALUE"""),810378.0)</f>
        <v>810378</v>
      </c>
      <c r="D1199" s="2" t="str">
        <f>IFERROR(__xludf.DUMMYFUNCTION("""COMPUTED_VALUE"""),"MNN27")</f>
        <v>MNN27</v>
      </c>
      <c r="E1199" s="2" t="str">
        <f>IFERROR(__xludf.DUMMYFUNCTION("""COMPUTED_VALUE"""),"Imported from file DigiZag Bidding Codes.xlsx")</f>
        <v>Imported from file DigiZag Bidding Codes.xlsx</v>
      </c>
      <c r="F1199" s="2" t="str">
        <f>IFERROR(__xludf.DUMMYFUNCTION("""COMPUTED_VALUE"""),"ZBX724643")</f>
        <v>ZBX724643</v>
      </c>
      <c r="G1199" s="2" t="str">
        <f>IFERROR(__xludf.DUMMYFUNCTION("""COMPUTED_VALUE"""),"Kingdom of Saudi Arabia")</f>
        <v>Kingdom of Saudi Arabia</v>
      </c>
      <c r="H1199" s="4">
        <f>IFERROR(__xludf.DUMMYFUNCTION("""COMPUTED_VALUE"""),178.85)</f>
        <v>178.85</v>
      </c>
      <c r="I1199" s="3">
        <f>IFERROR(__xludf.DUMMYFUNCTION("""COMPUTED_VALUE"""),0.0)</f>
        <v>0</v>
      </c>
      <c r="J1199" s="4">
        <f>IFERROR(__xludf.DUMMYFUNCTION("""COMPUTED_VALUE"""),30.0)</f>
        <v>30</v>
      </c>
      <c r="K1199" s="2"/>
      <c r="L1199" s="2" t="str">
        <f>IFERROR(__xludf.DUMMYFUNCTION("""COMPUTED_VALUE"""),"Processing")</f>
        <v>Processing</v>
      </c>
      <c r="M1199" s="2" t="str">
        <f>IFERROR(__xludf.DUMMYFUNCTION("""COMPUTED_VALUE"""),"")</f>
        <v></v>
      </c>
      <c r="N1199" s="2" t="str">
        <f>IFERROR(__xludf.DUMMYFUNCTION("""COMPUTED_VALUE"""),"Credit, Debit, Apple Pay")</f>
        <v>Credit, Debit, Apple Pay</v>
      </c>
      <c r="O1199" s="4">
        <f>IFERROR(__xludf.DUMMYFUNCTION("""COMPUTED_VALUE"""),0.0)</f>
        <v>0</v>
      </c>
      <c r="P1199" s="2">
        <f>IFERROR(__xludf.DUMMYFUNCTION("""COMPUTED_VALUE"""),3.0)</f>
        <v>3</v>
      </c>
      <c r="Q1199" s="2">
        <f>IFERROR(__xludf.DUMMYFUNCTION("""COMPUTED_VALUE"""),10.0)</f>
        <v>10</v>
      </c>
      <c r="R1199" s="2">
        <f>IFERROR(__xludf.DUMMYFUNCTION("""COMPUTED_VALUE"""),2025.0)</f>
        <v>2025</v>
      </c>
      <c r="S1199" s="2" t="str">
        <f>IFERROR(__xludf.DUMMYFUNCTION("""COMPUTED_VALUE"""),"Digizag")</f>
        <v>Digizag</v>
      </c>
      <c r="T1199" s="2" t="str">
        <f>IFERROR(__xludf.DUMMYFUNCTION("""COMPUTED_VALUE"""),"Digizag")</f>
        <v>Digizag</v>
      </c>
      <c r="U1199" s="5">
        <f>IFERROR(__xludf.DUMMYFUNCTION("""COMPUTED_VALUE"""),47.6896453271)</f>
        <v>47.68964533</v>
      </c>
      <c r="V1199" s="2"/>
      <c r="W1199" s="2"/>
      <c r="X1199" s="2"/>
      <c r="Y1199" s="2"/>
      <c r="Z1199" s="2"/>
    </row>
    <row r="1200">
      <c r="A1200" s="6">
        <f>IFERROR(__xludf.DUMMYFUNCTION("""COMPUTED_VALUE"""),45933.5228125)</f>
        <v>45933.52281</v>
      </c>
      <c r="B1200" s="2" t="str">
        <f>IFERROR(__xludf.DUMMYFUNCTION("""COMPUTED_VALUE"""),"October")</f>
        <v>October</v>
      </c>
      <c r="C1200" s="3">
        <f>IFERROR(__xludf.DUMMYFUNCTION("""COMPUTED_VALUE"""),677846.0)</f>
        <v>677846</v>
      </c>
      <c r="D1200" s="2" t="str">
        <f>IFERROR(__xludf.DUMMYFUNCTION("""COMPUTED_VALUE"""),"MNN27")</f>
        <v>MNN27</v>
      </c>
      <c r="E1200" s="2" t="str">
        <f>IFERROR(__xludf.DUMMYFUNCTION("""COMPUTED_VALUE"""),"Imported from file DigiZag Codes 25Feb25.xlsx")</f>
        <v>Imported from file DigiZag Codes 25Feb25.xlsx</v>
      </c>
      <c r="F1200" s="2" t="str">
        <f>IFERROR(__xludf.DUMMYFUNCTION("""COMPUTED_VALUE"""),"JQE527195")</f>
        <v>JQE527195</v>
      </c>
      <c r="G1200" s="2" t="str">
        <f>IFERROR(__xludf.DUMMYFUNCTION("""COMPUTED_VALUE"""),"Kuwait")</f>
        <v>Kuwait</v>
      </c>
      <c r="H1200" s="4">
        <f>IFERROR(__xludf.DUMMYFUNCTION("""COMPUTED_VALUE"""),9.475)</f>
        <v>9.475</v>
      </c>
      <c r="I1200" s="3">
        <f>IFERROR(__xludf.DUMMYFUNCTION("""COMPUTED_VALUE"""),0.0)</f>
        <v>0</v>
      </c>
      <c r="J1200" s="4">
        <f>IFERROR(__xludf.DUMMYFUNCTION("""COMPUTED_VALUE"""),0.947)</f>
        <v>0.947</v>
      </c>
      <c r="K1200" s="2"/>
      <c r="L1200" s="2" t="str">
        <f>IFERROR(__xludf.DUMMYFUNCTION("""COMPUTED_VALUE"""),"Delivered")</f>
        <v>Delivered</v>
      </c>
      <c r="M1200" s="2" t="str">
        <f>IFERROR(__xludf.DUMMYFUNCTION("""COMPUTED_VALUE"""),"KD")</f>
        <v>KD</v>
      </c>
      <c r="N1200" s="2" t="str">
        <f>IFERROR(__xludf.DUMMYFUNCTION("""COMPUTED_VALUE"""),"Credit, Debit, Knet")</f>
        <v>Credit, Debit, Knet</v>
      </c>
      <c r="O1200" s="4">
        <f>IFERROR(__xludf.DUMMYFUNCTION("""COMPUTED_VALUE"""),0.0)</f>
        <v>0</v>
      </c>
      <c r="P1200" s="2">
        <f>IFERROR(__xludf.DUMMYFUNCTION("""COMPUTED_VALUE"""),3.0)</f>
        <v>3</v>
      </c>
      <c r="Q1200" s="2">
        <f>IFERROR(__xludf.DUMMYFUNCTION("""COMPUTED_VALUE"""),10.0)</f>
        <v>10</v>
      </c>
      <c r="R1200" s="2">
        <f>IFERROR(__xludf.DUMMYFUNCTION("""COMPUTED_VALUE"""),2025.0)</f>
        <v>2025</v>
      </c>
      <c r="S1200" s="2" t="str">
        <f>IFERROR(__xludf.DUMMYFUNCTION("""COMPUTED_VALUE"""),"Digizag")</f>
        <v>Digizag</v>
      </c>
      <c r="T1200" s="2" t="str">
        <f>IFERROR(__xludf.DUMMYFUNCTION("""COMPUTED_VALUE"""),"Digizag")</f>
        <v>Digizag</v>
      </c>
      <c r="U1200" s="5">
        <f>IFERROR(__xludf.DUMMYFUNCTION("""COMPUTED_VALUE"""),30.894374499999998)</f>
        <v>30.8943745</v>
      </c>
      <c r="V1200" s="2"/>
      <c r="W1200" s="2"/>
      <c r="X1200" s="2"/>
      <c r="Y1200" s="2"/>
      <c r="Z1200" s="2"/>
    </row>
    <row r="1201">
      <c r="A1201" s="6">
        <f>IFERROR(__xludf.DUMMYFUNCTION("""COMPUTED_VALUE"""),45933.587071759255)</f>
        <v>45933.58707</v>
      </c>
      <c r="B1201" s="2" t="str">
        <f>IFERROR(__xludf.DUMMYFUNCTION("""COMPUTED_VALUE"""),"October")</f>
        <v>October</v>
      </c>
      <c r="C1201" s="3">
        <f>IFERROR(__xludf.DUMMYFUNCTION("""COMPUTED_VALUE"""),810583.0)</f>
        <v>810583</v>
      </c>
      <c r="D1201" s="2" t="str">
        <f>IFERROR(__xludf.DUMMYFUNCTION("""COMPUTED_VALUE"""),"DB7")</f>
        <v>DB7</v>
      </c>
      <c r="E1201" s="2" t="str">
        <f>IFERROR(__xludf.DUMMYFUNCTION("""COMPUTED_VALUE"""),"Digizag")</f>
        <v>Digizag</v>
      </c>
      <c r="F1201" s="2" t="str">
        <f>IFERROR(__xludf.DUMMYFUNCTION("""COMPUTED_VALUE"""),"DQH683268")</f>
        <v>DQH683268</v>
      </c>
      <c r="G1201" s="2" t="str">
        <f>IFERROR(__xludf.DUMMYFUNCTION("""COMPUTED_VALUE"""),"Kingdom of Saudi Arabia")</f>
        <v>Kingdom of Saudi Arabia</v>
      </c>
      <c r="H1201" s="4">
        <f>IFERROR(__xludf.DUMMYFUNCTION("""COMPUTED_VALUE"""),155.0)</f>
        <v>155</v>
      </c>
      <c r="I1201" s="3">
        <f>IFERROR(__xludf.DUMMYFUNCTION("""COMPUTED_VALUE"""),0.0)</f>
        <v>0</v>
      </c>
      <c r="J1201" s="4">
        <f>IFERROR(__xludf.DUMMYFUNCTION("""COMPUTED_VALUE"""),30.0)</f>
        <v>30</v>
      </c>
      <c r="K1201" s="2"/>
      <c r="L1201" s="2" t="str">
        <f>IFERROR(__xludf.DUMMYFUNCTION("""COMPUTED_VALUE"""),"Delivered")</f>
        <v>Delivered</v>
      </c>
      <c r="M1201" s="2" t="str">
        <f>IFERROR(__xludf.DUMMYFUNCTION("""COMPUTED_VALUE"""),"")</f>
        <v></v>
      </c>
      <c r="N1201" s="2" t="str">
        <f>IFERROR(__xludf.DUMMYFUNCTION("""COMPUTED_VALUE"""),"Pay in 4. No interest, no fees")</f>
        <v>Pay in 4. No interest, no fees</v>
      </c>
      <c r="O1201" s="4">
        <f>IFERROR(__xludf.DUMMYFUNCTION("""COMPUTED_VALUE"""),0.0)</f>
        <v>0</v>
      </c>
      <c r="P1201" s="2">
        <f>IFERROR(__xludf.DUMMYFUNCTION("""COMPUTED_VALUE"""),3.0)</f>
        <v>3</v>
      </c>
      <c r="Q1201" s="2">
        <f>IFERROR(__xludf.DUMMYFUNCTION("""COMPUTED_VALUE"""),10.0)</f>
        <v>10</v>
      </c>
      <c r="R1201" s="2">
        <f>IFERROR(__xludf.DUMMYFUNCTION("""COMPUTED_VALUE"""),2025.0)</f>
        <v>2025</v>
      </c>
      <c r="S1201" s="2" t="str">
        <f>IFERROR(__xludf.DUMMYFUNCTION("""COMPUTED_VALUE"""),"Digizag")</f>
        <v>Digizag</v>
      </c>
      <c r="T1201" s="2" t="str">
        <f>IFERROR(__xludf.DUMMYFUNCTION("""COMPUTED_VALUE"""),"Digizag")</f>
        <v>Digizag</v>
      </c>
      <c r="U1201" s="5">
        <f>IFERROR(__xludf.DUMMYFUNCTION("""COMPUTED_VALUE"""),41.330137130000004)</f>
        <v>41.33013713</v>
      </c>
      <c r="V1201" s="2"/>
      <c r="W1201" s="2"/>
      <c r="X1201" s="2"/>
      <c r="Y1201" s="2"/>
      <c r="Z1201" s="2"/>
    </row>
    <row r="1202">
      <c r="A1202" s="6">
        <f>IFERROR(__xludf.DUMMYFUNCTION("""COMPUTED_VALUE"""),45933.58996527777)</f>
        <v>45933.58997</v>
      </c>
      <c r="B1202" s="2" t="str">
        <f>IFERROR(__xludf.DUMMYFUNCTION("""COMPUTED_VALUE"""),"October")</f>
        <v>October</v>
      </c>
      <c r="C1202" s="3">
        <f>IFERROR(__xludf.DUMMYFUNCTION("""COMPUTED_VALUE"""),759636.0)</f>
        <v>759636</v>
      </c>
      <c r="D1202" s="2" t="str">
        <f>IFERROR(__xludf.DUMMYFUNCTION("""COMPUTED_VALUE"""),"DB1")</f>
        <v>DB1</v>
      </c>
      <c r="E1202" s="2" t="str">
        <f>IFERROR(__xludf.DUMMYFUNCTION("""COMPUTED_VALUE"""),"Imported from file Digizag.xlsx")</f>
        <v>Imported from file Digizag.xlsx</v>
      </c>
      <c r="F1202" s="2" t="str">
        <f>IFERROR(__xludf.DUMMYFUNCTION("""COMPUTED_VALUE"""),"EVN498923")</f>
        <v>EVN498923</v>
      </c>
      <c r="G1202" s="2" t="str">
        <f>IFERROR(__xludf.DUMMYFUNCTION("""COMPUTED_VALUE"""),"Kuwait")</f>
        <v>Kuwait</v>
      </c>
      <c r="H1202" s="4">
        <f>IFERROR(__xludf.DUMMYFUNCTION("""COMPUTED_VALUE"""),6.25)</f>
        <v>6.25</v>
      </c>
      <c r="I1202" s="3">
        <f>IFERROR(__xludf.DUMMYFUNCTION("""COMPUTED_VALUE"""),0.0)</f>
        <v>0</v>
      </c>
      <c r="J1202" s="4">
        <f>IFERROR(__xludf.DUMMYFUNCTION("""COMPUTED_VALUE"""),0.625)</f>
        <v>0.625</v>
      </c>
      <c r="K1202" s="2"/>
      <c r="L1202" s="2" t="str">
        <f>IFERROR(__xludf.DUMMYFUNCTION("""COMPUTED_VALUE"""),"Delivered")</f>
        <v>Delivered</v>
      </c>
      <c r="M1202" s="2" t="str">
        <f>IFERROR(__xludf.DUMMYFUNCTION("""COMPUTED_VALUE"""),"KD")</f>
        <v>KD</v>
      </c>
      <c r="N1202" s="2" t="str">
        <f>IFERROR(__xludf.DUMMYFUNCTION("""COMPUTED_VALUE"""),"Credit, Debit, Knet")</f>
        <v>Credit, Debit, Knet</v>
      </c>
      <c r="O1202" s="4">
        <f>IFERROR(__xludf.DUMMYFUNCTION("""COMPUTED_VALUE"""),0.0)</f>
        <v>0</v>
      </c>
      <c r="P1202" s="2">
        <f>IFERROR(__xludf.DUMMYFUNCTION("""COMPUTED_VALUE"""),3.0)</f>
        <v>3</v>
      </c>
      <c r="Q1202" s="2">
        <f>IFERROR(__xludf.DUMMYFUNCTION("""COMPUTED_VALUE"""),10.0)</f>
        <v>10</v>
      </c>
      <c r="R1202" s="2">
        <f>IFERROR(__xludf.DUMMYFUNCTION("""COMPUTED_VALUE"""),2025.0)</f>
        <v>2025</v>
      </c>
      <c r="S1202" s="2" t="str">
        <f>IFERROR(__xludf.DUMMYFUNCTION("""COMPUTED_VALUE"""),"Digizag")</f>
        <v>Digizag</v>
      </c>
      <c r="T1202" s="2" t="str">
        <f>IFERROR(__xludf.DUMMYFUNCTION("""COMPUTED_VALUE"""),"Digizag")</f>
        <v>Digizag</v>
      </c>
      <c r="U1202" s="5">
        <f>IFERROR(__xludf.DUMMYFUNCTION("""COMPUTED_VALUE"""),20.378875)</f>
        <v>20.378875</v>
      </c>
      <c r="V1202" s="2"/>
      <c r="W1202" s="2"/>
      <c r="X1202" s="2"/>
      <c r="Y1202" s="2"/>
      <c r="Z1202" s="2"/>
    </row>
    <row r="1203">
      <c r="A1203" s="6">
        <f>IFERROR(__xludf.DUMMYFUNCTION("""COMPUTED_VALUE"""),45933.636562499996)</f>
        <v>45933.63656</v>
      </c>
      <c r="B1203" s="2" t="str">
        <f>IFERROR(__xludf.DUMMYFUNCTION("""COMPUTED_VALUE"""),"October")</f>
        <v>October</v>
      </c>
      <c r="C1203" s="3">
        <f>IFERROR(__xludf.DUMMYFUNCTION("""COMPUTED_VALUE"""),36848.0)</f>
        <v>36848</v>
      </c>
      <c r="D1203" s="2" t="str">
        <f>IFERROR(__xludf.DUMMYFUNCTION("""COMPUTED_VALUE"""),"JM")</f>
        <v>JM</v>
      </c>
      <c r="E1203" s="2" t="str">
        <f>IFERROR(__xludf.DUMMYFUNCTION("""COMPUTED_VALUE"""),"Digizag")</f>
        <v>Digizag</v>
      </c>
      <c r="F1203" s="2" t="str">
        <f>IFERROR(__xludf.DUMMYFUNCTION("""COMPUTED_VALUE"""),"SRY938007")</f>
        <v>SRY938007</v>
      </c>
      <c r="G1203" s="2" t="str">
        <f>IFERROR(__xludf.DUMMYFUNCTION("""COMPUTED_VALUE"""),"Kuwait")</f>
        <v>Kuwait</v>
      </c>
      <c r="H1203" s="4">
        <f>IFERROR(__xludf.DUMMYFUNCTION("""COMPUTED_VALUE"""),14.5)</f>
        <v>14.5</v>
      </c>
      <c r="I1203" s="3">
        <f>IFERROR(__xludf.DUMMYFUNCTION("""COMPUTED_VALUE"""),0.0)</f>
        <v>0</v>
      </c>
      <c r="J1203" s="4">
        <f>IFERROR(__xludf.DUMMYFUNCTION("""COMPUTED_VALUE"""),1.45)</f>
        <v>1.45</v>
      </c>
      <c r="K1203" s="2"/>
      <c r="L1203" s="2" t="str">
        <f>IFERROR(__xludf.DUMMYFUNCTION("""COMPUTED_VALUE"""),"Delivered")</f>
        <v>Delivered</v>
      </c>
      <c r="M1203" s="2" t="str">
        <f>IFERROR(__xludf.DUMMYFUNCTION("""COMPUTED_VALUE"""),"KD")</f>
        <v>KD</v>
      </c>
      <c r="N1203" s="2" t="str">
        <f>IFERROR(__xludf.DUMMYFUNCTION("""COMPUTED_VALUE"""),"Credit, Debit, Knet")</f>
        <v>Credit, Debit, Knet</v>
      </c>
      <c r="O1203" s="4">
        <f>IFERROR(__xludf.DUMMYFUNCTION("""COMPUTED_VALUE"""),0.0)</f>
        <v>0</v>
      </c>
      <c r="P1203" s="2">
        <f>IFERROR(__xludf.DUMMYFUNCTION("""COMPUTED_VALUE"""),3.0)</f>
        <v>3</v>
      </c>
      <c r="Q1203" s="2">
        <f>IFERROR(__xludf.DUMMYFUNCTION("""COMPUTED_VALUE"""),10.0)</f>
        <v>10</v>
      </c>
      <c r="R1203" s="2">
        <f>IFERROR(__xludf.DUMMYFUNCTION("""COMPUTED_VALUE"""),2025.0)</f>
        <v>2025</v>
      </c>
      <c r="S1203" s="2" t="str">
        <f>IFERROR(__xludf.DUMMYFUNCTION("""COMPUTED_VALUE"""),"Digizag")</f>
        <v>Digizag</v>
      </c>
      <c r="T1203" s="2" t="str">
        <f>IFERROR(__xludf.DUMMYFUNCTION("""COMPUTED_VALUE"""),"Digizag")</f>
        <v>Digizag</v>
      </c>
      <c r="U1203" s="5">
        <f>IFERROR(__xludf.DUMMYFUNCTION("""COMPUTED_VALUE"""),47.27899)</f>
        <v>47.27899</v>
      </c>
      <c r="V1203" s="2"/>
      <c r="W1203" s="2"/>
      <c r="X1203" s="2"/>
      <c r="Y1203" s="2"/>
      <c r="Z1203" s="2"/>
    </row>
    <row r="1204">
      <c r="A1204" s="6">
        <f>IFERROR(__xludf.DUMMYFUNCTION("""COMPUTED_VALUE"""),45933.704004629624)</f>
        <v>45933.704</v>
      </c>
      <c r="B1204" s="2" t="str">
        <f>IFERROR(__xludf.DUMMYFUNCTION("""COMPUTED_VALUE"""),"October")</f>
        <v>October</v>
      </c>
      <c r="C1204" s="3">
        <f>IFERROR(__xludf.DUMMYFUNCTION("""COMPUTED_VALUE"""),499192.0)</f>
        <v>499192</v>
      </c>
      <c r="D1204" s="2" t="str">
        <f>IFERROR(__xludf.DUMMYFUNCTION("""COMPUTED_VALUE"""),"ZM22")</f>
        <v>ZM22</v>
      </c>
      <c r="E1204" s="2" t="str">
        <f>IFERROR(__xludf.DUMMYFUNCTION("""COMPUTED_VALUE"""),"Imported from file Digizag.xlsx")</f>
        <v>Imported from file Digizag.xlsx</v>
      </c>
      <c r="F1204" s="2" t="str">
        <f>IFERROR(__xludf.DUMMYFUNCTION("""COMPUTED_VALUE"""),"GES234650")</f>
        <v>GES234650</v>
      </c>
      <c r="G1204" s="2" t="str">
        <f>IFERROR(__xludf.DUMMYFUNCTION("""COMPUTED_VALUE"""),"Kingdom of Saudi Arabia")</f>
        <v>Kingdom of Saudi Arabia</v>
      </c>
      <c r="H1204" s="4">
        <f>IFERROR(__xludf.DUMMYFUNCTION("""COMPUTED_VALUE"""),84.67)</f>
        <v>84.67</v>
      </c>
      <c r="I1204" s="3">
        <f>IFERROR(__xludf.DUMMYFUNCTION("""COMPUTED_VALUE"""),0.0)</f>
        <v>0</v>
      </c>
      <c r="J1204" s="4">
        <f>IFERROR(__xludf.DUMMYFUNCTION("""COMPUTED_VALUE"""),21.16)</f>
        <v>21.16</v>
      </c>
      <c r="K1204" s="2"/>
      <c r="L1204" s="2" t="str">
        <f>IFERROR(__xludf.DUMMYFUNCTION("""COMPUTED_VALUE"""),"Delivered")</f>
        <v>Delivered</v>
      </c>
      <c r="M1204" s="2" t="str">
        <f>IFERROR(__xludf.DUMMYFUNCTION("""COMPUTED_VALUE"""),"")</f>
        <v></v>
      </c>
      <c r="N1204" s="2" t="str">
        <f>IFERROR(__xludf.DUMMYFUNCTION("""COMPUTED_VALUE"""),"Credit, Debit, Apple Pay")</f>
        <v>Credit, Debit, Apple Pay</v>
      </c>
      <c r="O1204" s="4">
        <f>IFERROR(__xludf.DUMMYFUNCTION("""COMPUTED_VALUE"""),0.0)</f>
        <v>0</v>
      </c>
      <c r="P1204" s="2">
        <f>IFERROR(__xludf.DUMMYFUNCTION("""COMPUTED_VALUE"""),3.0)</f>
        <v>3</v>
      </c>
      <c r="Q1204" s="2">
        <f>IFERROR(__xludf.DUMMYFUNCTION("""COMPUTED_VALUE"""),10.0)</f>
        <v>10</v>
      </c>
      <c r="R1204" s="2">
        <f>IFERROR(__xludf.DUMMYFUNCTION("""COMPUTED_VALUE"""),2025.0)</f>
        <v>2025</v>
      </c>
      <c r="S1204" s="2" t="str">
        <f>IFERROR(__xludf.DUMMYFUNCTION("""COMPUTED_VALUE"""),"Digizag")</f>
        <v>Digizag</v>
      </c>
      <c r="T1204" s="2" t="str">
        <f>IFERROR(__xludf.DUMMYFUNCTION("""COMPUTED_VALUE"""),"Digizag")</f>
        <v>Digizag</v>
      </c>
      <c r="U1204" s="5">
        <f>IFERROR(__xludf.DUMMYFUNCTION("""COMPUTED_VALUE"""),22.57692071482)</f>
        <v>22.57692071</v>
      </c>
      <c r="V1204" s="2"/>
      <c r="W1204" s="2"/>
      <c r="X1204" s="2"/>
      <c r="Y1204" s="2"/>
      <c r="Z1204" s="2"/>
    </row>
    <row r="1205">
      <c r="A1205" s="6">
        <f>IFERROR(__xludf.DUMMYFUNCTION("""COMPUTED_VALUE"""),45933.73064814814)</f>
        <v>45933.73065</v>
      </c>
      <c r="B1205" s="2" t="str">
        <f>IFERROR(__xludf.DUMMYFUNCTION("""COMPUTED_VALUE"""),"October")</f>
        <v>October</v>
      </c>
      <c r="C1205" s="3">
        <f>IFERROR(__xludf.DUMMYFUNCTION("""COMPUTED_VALUE"""),28503.0)</f>
        <v>28503</v>
      </c>
      <c r="D1205" s="2" t="str">
        <f>IFERROR(__xludf.DUMMYFUNCTION("""COMPUTED_VALUE"""),"CC22")</f>
        <v>CC22</v>
      </c>
      <c r="E1205" s="2" t="str">
        <f>IFERROR(__xludf.DUMMYFUNCTION("""COMPUTED_VALUE"""),"Imported from file Digizag.xlsx")</f>
        <v>Imported from file Digizag.xlsx</v>
      </c>
      <c r="F1205" s="2" t="str">
        <f>IFERROR(__xludf.DUMMYFUNCTION("""COMPUTED_VALUE"""),"NXU957202")</f>
        <v>NXU957202</v>
      </c>
      <c r="G1205" s="2" t="str">
        <f>IFERROR(__xludf.DUMMYFUNCTION("""COMPUTED_VALUE"""),"Kuwait")</f>
        <v>Kuwait</v>
      </c>
      <c r="H1205" s="4">
        <f>IFERROR(__xludf.DUMMYFUNCTION("""COMPUTED_VALUE"""),7.2)</f>
        <v>7.2</v>
      </c>
      <c r="I1205" s="3">
        <f>IFERROR(__xludf.DUMMYFUNCTION("""COMPUTED_VALUE"""),0.0)</f>
        <v>0</v>
      </c>
      <c r="J1205" s="4">
        <f>IFERROR(__xludf.DUMMYFUNCTION("""COMPUTED_VALUE"""),0.72)</f>
        <v>0.72</v>
      </c>
      <c r="K1205" s="2"/>
      <c r="L1205" s="2" t="str">
        <f>IFERROR(__xludf.DUMMYFUNCTION("""COMPUTED_VALUE"""),"Delivered")</f>
        <v>Delivered</v>
      </c>
      <c r="M1205" s="2" t="str">
        <f>IFERROR(__xludf.DUMMYFUNCTION("""COMPUTED_VALUE"""),"KD")</f>
        <v>KD</v>
      </c>
      <c r="N1205" s="2" t="str">
        <f>IFERROR(__xludf.DUMMYFUNCTION("""COMPUTED_VALUE"""),"Credit, Debit, Knet")</f>
        <v>Credit, Debit, Knet</v>
      </c>
      <c r="O1205" s="4">
        <f>IFERROR(__xludf.DUMMYFUNCTION("""COMPUTED_VALUE"""),0.0)</f>
        <v>0</v>
      </c>
      <c r="P1205" s="2">
        <f>IFERROR(__xludf.DUMMYFUNCTION("""COMPUTED_VALUE"""),3.0)</f>
        <v>3</v>
      </c>
      <c r="Q1205" s="2">
        <f>IFERROR(__xludf.DUMMYFUNCTION("""COMPUTED_VALUE"""),10.0)</f>
        <v>10</v>
      </c>
      <c r="R1205" s="2">
        <f>IFERROR(__xludf.DUMMYFUNCTION("""COMPUTED_VALUE"""),2025.0)</f>
        <v>2025</v>
      </c>
      <c r="S1205" s="2" t="str">
        <f>IFERROR(__xludf.DUMMYFUNCTION("""COMPUTED_VALUE"""),"Digizag")</f>
        <v>Digizag</v>
      </c>
      <c r="T1205" s="2" t="str">
        <f>IFERROR(__xludf.DUMMYFUNCTION("""COMPUTED_VALUE"""),"Digizag")</f>
        <v>Digizag</v>
      </c>
      <c r="U1205" s="5">
        <f>IFERROR(__xludf.DUMMYFUNCTION("""COMPUTED_VALUE"""),23.476464)</f>
        <v>23.476464</v>
      </c>
      <c r="V1205" s="2"/>
      <c r="W1205" s="2"/>
      <c r="X1205" s="2"/>
      <c r="Y1205" s="2"/>
      <c r="Z1205" s="2"/>
    </row>
    <row r="1206">
      <c r="A1206" s="6">
        <f>IFERROR(__xludf.DUMMYFUNCTION("""COMPUTED_VALUE"""),45933.96822916666)</f>
        <v>45933.96823</v>
      </c>
      <c r="B1206" s="2" t="str">
        <f>IFERROR(__xludf.DUMMYFUNCTION("""COMPUTED_VALUE"""),"October")</f>
        <v>October</v>
      </c>
      <c r="C1206" s="3">
        <f>IFERROR(__xludf.DUMMYFUNCTION("""COMPUTED_VALUE"""),426194.0)</f>
        <v>426194</v>
      </c>
      <c r="D1206" s="2" t="str">
        <f>IFERROR(__xludf.DUMMYFUNCTION("""COMPUTED_VALUE"""),"MNN27")</f>
        <v>MNN27</v>
      </c>
      <c r="E1206" s="2" t="str">
        <f>IFERROR(__xludf.DUMMYFUNCTION("""COMPUTED_VALUE"""),"Imported from file DigiZag Bidding Codes.xlsx")</f>
        <v>Imported from file DigiZag Bidding Codes.xlsx</v>
      </c>
      <c r="F1206" s="2" t="str">
        <f>IFERROR(__xludf.DUMMYFUNCTION("""COMPUTED_VALUE"""),"QRX979998")</f>
        <v>QRX979998</v>
      </c>
      <c r="G1206" s="2" t="str">
        <f>IFERROR(__xludf.DUMMYFUNCTION("""COMPUTED_VALUE"""),"Kingdom of Saudi Arabia")</f>
        <v>Kingdom of Saudi Arabia</v>
      </c>
      <c r="H1206" s="4">
        <f>IFERROR(__xludf.DUMMYFUNCTION("""COMPUTED_VALUE"""),98.63)</f>
        <v>98.63</v>
      </c>
      <c r="I1206" s="3">
        <f>IFERROR(__xludf.DUMMYFUNCTION("""COMPUTED_VALUE"""),0.0)</f>
        <v>0</v>
      </c>
      <c r="J1206" s="4">
        <f>IFERROR(__xludf.DUMMYFUNCTION("""COMPUTED_VALUE"""),24.65)</f>
        <v>24.65</v>
      </c>
      <c r="K1206" s="2"/>
      <c r="L1206" s="2" t="str">
        <f>IFERROR(__xludf.DUMMYFUNCTION("""COMPUTED_VALUE"""),"Delivered")</f>
        <v>Delivered</v>
      </c>
      <c r="M1206" s="2" t="str">
        <f>IFERROR(__xludf.DUMMYFUNCTION("""COMPUTED_VALUE"""),"")</f>
        <v></v>
      </c>
      <c r="N1206" s="2" t="str">
        <f>IFERROR(__xludf.DUMMYFUNCTION("""COMPUTED_VALUE"""),"Credit, Debit, Apple Pay")</f>
        <v>Credit, Debit, Apple Pay</v>
      </c>
      <c r="O1206" s="4">
        <f>IFERROR(__xludf.DUMMYFUNCTION("""COMPUTED_VALUE"""),0.0)</f>
        <v>0</v>
      </c>
      <c r="P1206" s="2">
        <f>IFERROR(__xludf.DUMMYFUNCTION("""COMPUTED_VALUE"""),3.0)</f>
        <v>3</v>
      </c>
      <c r="Q1206" s="2">
        <f>IFERROR(__xludf.DUMMYFUNCTION("""COMPUTED_VALUE"""),10.0)</f>
        <v>10</v>
      </c>
      <c r="R1206" s="2">
        <f>IFERROR(__xludf.DUMMYFUNCTION("""COMPUTED_VALUE"""),2025.0)</f>
        <v>2025</v>
      </c>
      <c r="S1206" s="2" t="str">
        <f>IFERROR(__xludf.DUMMYFUNCTION("""COMPUTED_VALUE"""),"Digizag")</f>
        <v>Digizag</v>
      </c>
      <c r="T1206" s="2" t="str">
        <f>IFERROR(__xludf.DUMMYFUNCTION("""COMPUTED_VALUE"""),"Digizag")</f>
        <v>Digizag</v>
      </c>
      <c r="U1206" s="5">
        <f>IFERROR(__xludf.DUMMYFUNCTION("""COMPUTED_VALUE"""),26.29929951698)</f>
        <v>26.29929952</v>
      </c>
      <c r="V1206" s="2"/>
      <c r="W1206" s="2"/>
      <c r="X1206" s="2"/>
      <c r="Y1206" s="2"/>
      <c r="Z1206" s="2"/>
    </row>
    <row r="1207">
      <c r="A1207" s="6">
        <f>IFERROR(__xludf.DUMMYFUNCTION("""COMPUTED_VALUE"""),45934.05721064815)</f>
        <v>45934.05721</v>
      </c>
      <c r="B1207" s="2" t="str">
        <f>IFERROR(__xludf.DUMMYFUNCTION("""COMPUTED_VALUE"""),"October")</f>
        <v>October</v>
      </c>
      <c r="C1207" s="3">
        <f>IFERROR(__xludf.DUMMYFUNCTION("""COMPUTED_VALUE"""),78077.0)</f>
        <v>78077</v>
      </c>
      <c r="D1207" s="2" t="str">
        <f>IFERROR(__xludf.DUMMYFUNCTION("""COMPUTED_VALUE"""),"DB1")</f>
        <v>DB1</v>
      </c>
      <c r="E1207" s="2" t="str">
        <f>IFERROR(__xludf.DUMMYFUNCTION("""COMPUTED_VALUE"""),"Imported from file Digizag.xlsx")</f>
        <v>Imported from file Digizag.xlsx</v>
      </c>
      <c r="F1207" s="2" t="str">
        <f>IFERROR(__xludf.DUMMYFUNCTION("""COMPUTED_VALUE"""),"SQJ532766")</f>
        <v>SQJ532766</v>
      </c>
      <c r="G1207" s="2" t="str">
        <f>IFERROR(__xludf.DUMMYFUNCTION("""COMPUTED_VALUE"""),"Kingdom of Saudi Arabia")</f>
        <v>Kingdom of Saudi Arabia</v>
      </c>
      <c r="H1207" s="4">
        <f>IFERROR(__xludf.DUMMYFUNCTION("""COMPUTED_VALUE"""),355.54)</f>
        <v>355.54</v>
      </c>
      <c r="I1207" s="3">
        <f>IFERROR(__xludf.DUMMYFUNCTION("""COMPUTED_VALUE"""),0.0)</f>
        <v>0</v>
      </c>
      <c r="J1207" s="4">
        <f>IFERROR(__xludf.DUMMYFUNCTION("""COMPUTED_VALUE"""),30.0)</f>
        <v>30</v>
      </c>
      <c r="K1207" s="2"/>
      <c r="L1207" s="2" t="str">
        <f>IFERROR(__xludf.DUMMYFUNCTION("""COMPUTED_VALUE"""),"Delivered")</f>
        <v>Delivered</v>
      </c>
      <c r="M1207" s="2" t="str">
        <f>IFERROR(__xludf.DUMMYFUNCTION("""COMPUTED_VALUE"""),"")</f>
        <v></v>
      </c>
      <c r="N1207" s="2" t="str">
        <f>IFERROR(__xludf.DUMMYFUNCTION("""COMPUTED_VALUE"""),"Credit, Debit, Apple Pay")</f>
        <v>Credit, Debit, Apple Pay</v>
      </c>
      <c r="O1207" s="4">
        <f>IFERROR(__xludf.DUMMYFUNCTION("""COMPUTED_VALUE"""),0.0)</f>
        <v>0</v>
      </c>
      <c r="P1207" s="2">
        <f>IFERROR(__xludf.DUMMYFUNCTION("""COMPUTED_VALUE"""),4.0)</f>
        <v>4</v>
      </c>
      <c r="Q1207" s="2">
        <f>IFERROR(__xludf.DUMMYFUNCTION("""COMPUTED_VALUE"""),10.0)</f>
        <v>10</v>
      </c>
      <c r="R1207" s="2">
        <f>IFERROR(__xludf.DUMMYFUNCTION("""COMPUTED_VALUE"""),2025.0)</f>
        <v>2025</v>
      </c>
      <c r="S1207" s="2" t="str">
        <f>IFERROR(__xludf.DUMMYFUNCTION("""COMPUTED_VALUE"""),"Digizag")</f>
        <v>Digizag</v>
      </c>
      <c r="T1207" s="2" t="str">
        <f>IFERROR(__xludf.DUMMYFUNCTION("""COMPUTED_VALUE"""),"Digizag")</f>
        <v>Digizag</v>
      </c>
      <c r="U1207" s="5">
        <f>IFERROR(__xludf.DUMMYFUNCTION("""COMPUTED_VALUE"""),94.80333519484002)</f>
        <v>94.80333519</v>
      </c>
      <c r="V1207" s="2"/>
      <c r="W1207" s="2"/>
      <c r="X1207" s="2"/>
      <c r="Y1207" s="2"/>
      <c r="Z1207" s="2"/>
    </row>
    <row r="1208">
      <c r="A1208" s="6">
        <f>IFERROR(__xludf.DUMMYFUNCTION("""COMPUTED_VALUE"""),45934.19850694444)</f>
        <v>45934.19851</v>
      </c>
      <c r="B1208" s="2" t="str">
        <f>IFERROR(__xludf.DUMMYFUNCTION("""COMPUTED_VALUE"""),"October")</f>
        <v>October</v>
      </c>
      <c r="C1208" s="3">
        <f>IFERROR(__xludf.DUMMYFUNCTION("""COMPUTED_VALUE"""),142581.0)</f>
        <v>142581</v>
      </c>
      <c r="D1208" s="2" t="str">
        <f>IFERROR(__xludf.DUMMYFUNCTION("""COMPUTED_VALUE"""),"RR22")</f>
        <v>RR22</v>
      </c>
      <c r="E1208" s="2" t="str">
        <f>IFERROR(__xludf.DUMMYFUNCTION("""COMPUTED_VALUE"""),"Imported from file Digizag.xlsx")</f>
        <v>Imported from file Digizag.xlsx</v>
      </c>
      <c r="F1208" s="2" t="str">
        <f>IFERROR(__xludf.DUMMYFUNCTION("""COMPUTED_VALUE"""),"UUE194497")</f>
        <v>UUE194497</v>
      </c>
      <c r="G1208" s="2" t="str">
        <f>IFERROR(__xludf.DUMMYFUNCTION("""COMPUTED_VALUE"""),"UAE")</f>
        <v>UAE</v>
      </c>
      <c r="H1208" s="4">
        <f>IFERROR(__xludf.DUMMYFUNCTION("""COMPUTED_VALUE"""),105.0)</f>
        <v>105</v>
      </c>
      <c r="I1208" s="3">
        <f>IFERROR(__xludf.DUMMYFUNCTION("""COMPUTED_VALUE"""),0.0)</f>
        <v>0</v>
      </c>
      <c r="J1208" s="4">
        <f>IFERROR(__xludf.DUMMYFUNCTION("""COMPUTED_VALUE"""),10.5)</f>
        <v>10.5</v>
      </c>
      <c r="K1208" s="2"/>
      <c r="L1208" s="2" t="str">
        <f>IFERROR(__xludf.DUMMYFUNCTION("""COMPUTED_VALUE"""),"Delivered")</f>
        <v>Delivered</v>
      </c>
      <c r="M1208" s="2" t="str">
        <f>IFERROR(__xludf.DUMMYFUNCTION("""COMPUTED_VALUE"""),"")</f>
        <v></v>
      </c>
      <c r="N1208" s="2" t="str">
        <f>IFERROR(__xludf.DUMMYFUNCTION("""COMPUTED_VALUE"""),"Credit, Debit , Apple Pay")</f>
        <v>Credit, Debit , Apple Pay</v>
      </c>
      <c r="O1208" s="4">
        <f>IFERROR(__xludf.DUMMYFUNCTION("""COMPUTED_VALUE"""),0.0)</f>
        <v>0</v>
      </c>
      <c r="P1208" s="2">
        <f>IFERROR(__xludf.DUMMYFUNCTION("""COMPUTED_VALUE"""),4.0)</f>
        <v>4</v>
      </c>
      <c r="Q1208" s="2">
        <f>IFERROR(__xludf.DUMMYFUNCTION("""COMPUTED_VALUE"""),10.0)</f>
        <v>10</v>
      </c>
      <c r="R1208" s="2">
        <f>IFERROR(__xludf.DUMMYFUNCTION("""COMPUTED_VALUE"""),2025.0)</f>
        <v>2025</v>
      </c>
      <c r="S1208" s="2" t="str">
        <f>IFERROR(__xludf.DUMMYFUNCTION("""COMPUTED_VALUE"""),"Digizag")</f>
        <v>Digizag</v>
      </c>
      <c r="T1208" s="2" t="str">
        <f>IFERROR(__xludf.DUMMYFUNCTION("""COMPUTED_VALUE"""),"Digizag")</f>
        <v>Digizag</v>
      </c>
      <c r="U1208" s="5">
        <f>IFERROR(__xludf.DUMMYFUNCTION("""COMPUTED_VALUE"""),28.590878189999998)</f>
        <v>28.59087819</v>
      </c>
      <c r="V1208" s="2"/>
      <c r="W1208" s="2"/>
      <c r="X1208" s="2"/>
      <c r="Y1208" s="2"/>
      <c r="Z1208" s="2"/>
    </row>
    <row r="1209">
      <c r="A1209" s="6">
        <f>IFERROR(__xludf.DUMMYFUNCTION("""COMPUTED_VALUE"""),45934.42041666667)</f>
        <v>45934.42042</v>
      </c>
      <c r="B1209" s="2" t="str">
        <f>IFERROR(__xludf.DUMMYFUNCTION("""COMPUTED_VALUE"""),"October")</f>
        <v>October</v>
      </c>
      <c r="C1209" s="3">
        <f>IFERROR(__xludf.DUMMYFUNCTION("""COMPUTED_VALUE"""),430062.0)</f>
        <v>430062</v>
      </c>
      <c r="D1209" s="2" t="str">
        <f>IFERROR(__xludf.DUMMYFUNCTION("""COMPUTED_VALUE"""),"MNN27")</f>
        <v>MNN27</v>
      </c>
      <c r="E1209" s="2" t="str">
        <f>IFERROR(__xludf.DUMMYFUNCTION("""COMPUTED_VALUE"""),"Imported from file DigiZag Codes 25Feb25.xlsx")</f>
        <v>Imported from file DigiZag Codes 25Feb25.xlsx</v>
      </c>
      <c r="F1209" s="2" t="str">
        <f>IFERROR(__xludf.DUMMYFUNCTION("""COMPUTED_VALUE"""),"GAH561955")</f>
        <v>GAH561955</v>
      </c>
      <c r="G1209" s="2" t="str">
        <f>IFERROR(__xludf.DUMMYFUNCTION("""COMPUTED_VALUE"""),"Kuwait")</f>
        <v>Kuwait</v>
      </c>
      <c r="H1209" s="4">
        <f>IFERROR(__xludf.DUMMYFUNCTION("""COMPUTED_VALUE"""),14.85)</f>
        <v>14.85</v>
      </c>
      <c r="I1209" s="3">
        <f>IFERROR(__xludf.DUMMYFUNCTION("""COMPUTED_VALUE"""),0.0)</f>
        <v>0</v>
      </c>
      <c r="J1209" s="4">
        <f>IFERROR(__xludf.DUMMYFUNCTION("""COMPUTED_VALUE"""),1.485)</f>
        <v>1.485</v>
      </c>
      <c r="K1209" s="2"/>
      <c r="L1209" s="2" t="str">
        <f>IFERROR(__xludf.DUMMYFUNCTION("""COMPUTED_VALUE"""),"Delivered")</f>
        <v>Delivered</v>
      </c>
      <c r="M1209" s="2" t="str">
        <f>IFERROR(__xludf.DUMMYFUNCTION("""COMPUTED_VALUE"""),"KD")</f>
        <v>KD</v>
      </c>
      <c r="N1209" s="2" t="str">
        <f>IFERROR(__xludf.DUMMYFUNCTION("""COMPUTED_VALUE"""),"Credit, Debit, Knet")</f>
        <v>Credit, Debit, Knet</v>
      </c>
      <c r="O1209" s="4">
        <f>IFERROR(__xludf.DUMMYFUNCTION("""COMPUTED_VALUE"""),0.0)</f>
        <v>0</v>
      </c>
      <c r="P1209" s="2">
        <f>IFERROR(__xludf.DUMMYFUNCTION("""COMPUTED_VALUE"""),4.0)</f>
        <v>4</v>
      </c>
      <c r="Q1209" s="2">
        <f>IFERROR(__xludf.DUMMYFUNCTION("""COMPUTED_VALUE"""),10.0)</f>
        <v>10</v>
      </c>
      <c r="R1209" s="2">
        <f>IFERROR(__xludf.DUMMYFUNCTION("""COMPUTED_VALUE"""),2025.0)</f>
        <v>2025</v>
      </c>
      <c r="S1209" s="2" t="str">
        <f>IFERROR(__xludf.DUMMYFUNCTION("""COMPUTED_VALUE"""),"Digizag")</f>
        <v>Digizag</v>
      </c>
      <c r="T1209" s="2" t="str">
        <f>IFERROR(__xludf.DUMMYFUNCTION("""COMPUTED_VALUE"""),"Digizag")</f>
        <v>Digizag</v>
      </c>
      <c r="U1209" s="5">
        <f>IFERROR(__xludf.DUMMYFUNCTION("""COMPUTED_VALUE"""),48.420207)</f>
        <v>48.420207</v>
      </c>
      <c r="V1209" s="2"/>
      <c r="W1209" s="2"/>
      <c r="X1209" s="2"/>
      <c r="Y1209" s="2"/>
      <c r="Z1209" s="2"/>
    </row>
    <row r="1210">
      <c r="A1210" s="6">
        <f>IFERROR(__xludf.DUMMYFUNCTION("""COMPUTED_VALUE"""),45934.530393518515)</f>
        <v>45934.53039</v>
      </c>
      <c r="B1210" s="2" t="str">
        <f>IFERROR(__xludf.DUMMYFUNCTION("""COMPUTED_VALUE"""),"October")</f>
        <v>October</v>
      </c>
      <c r="C1210" s="3">
        <f>IFERROR(__xludf.DUMMYFUNCTION("""COMPUTED_VALUE"""),782579.0)</f>
        <v>782579</v>
      </c>
      <c r="D1210" s="2" t="str">
        <f>IFERROR(__xludf.DUMMYFUNCTION("""COMPUTED_VALUE"""),"CC22")</f>
        <v>CC22</v>
      </c>
      <c r="E1210" s="2" t="str">
        <f>IFERROR(__xludf.DUMMYFUNCTION("""COMPUTED_VALUE"""),"Imported from file Digizag.xlsx")</f>
        <v>Imported from file Digizag.xlsx</v>
      </c>
      <c r="F1210" s="2" t="str">
        <f>IFERROR(__xludf.DUMMYFUNCTION("""COMPUTED_VALUE"""),"DLB907341")</f>
        <v>DLB907341</v>
      </c>
      <c r="G1210" s="2" t="str">
        <f>IFERROR(__xludf.DUMMYFUNCTION("""COMPUTED_VALUE"""),"Kingdom of Saudi Arabia")</f>
        <v>Kingdom of Saudi Arabia</v>
      </c>
      <c r="H1210" s="4">
        <f>IFERROR(__xludf.DUMMYFUNCTION("""COMPUTED_VALUE"""),40.71)</f>
        <v>40.71</v>
      </c>
      <c r="I1210" s="3">
        <f>IFERROR(__xludf.DUMMYFUNCTION("""COMPUTED_VALUE"""),0.0)</f>
        <v>0</v>
      </c>
      <c r="J1210" s="4">
        <f>IFERROR(__xludf.DUMMYFUNCTION("""COMPUTED_VALUE"""),10.17)</f>
        <v>10.17</v>
      </c>
      <c r="K1210" s="2"/>
      <c r="L1210" s="2" t="str">
        <f>IFERROR(__xludf.DUMMYFUNCTION("""COMPUTED_VALUE"""),"Delivered")</f>
        <v>Delivered</v>
      </c>
      <c r="M1210" s="2" t="str">
        <f>IFERROR(__xludf.DUMMYFUNCTION("""COMPUTED_VALUE"""),"")</f>
        <v></v>
      </c>
      <c r="N1210" s="2" t="str">
        <f>IFERROR(__xludf.DUMMYFUNCTION("""COMPUTED_VALUE"""),"Credit, Debit, Apple Pay")</f>
        <v>Credit, Debit, Apple Pay</v>
      </c>
      <c r="O1210" s="4">
        <f>IFERROR(__xludf.DUMMYFUNCTION("""COMPUTED_VALUE"""),0.0)</f>
        <v>0</v>
      </c>
      <c r="P1210" s="2">
        <f>IFERROR(__xludf.DUMMYFUNCTION("""COMPUTED_VALUE"""),4.0)</f>
        <v>4</v>
      </c>
      <c r="Q1210" s="2">
        <f>IFERROR(__xludf.DUMMYFUNCTION("""COMPUTED_VALUE"""),10.0)</f>
        <v>10</v>
      </c>
      <c r="R1210" s="2">
        <f>IFERROR(__xludf.DUMMYFUNCTION("""COMPUTED_VALUE"""),2025.0)</f>
        <v>2025</v>
      </c>
      <c r="S1210" s="2" t="str">
        <f>IFERROR(__xludf.DUMMYFUNCTION("""COMPUTED_VALUE"""),"Digizag")</f>
        <v>Digizag</v>
      </c>
      <c r="T1210" s="2" t="str">
        <f>IFERROR(__xludf.DUMMYFUNCTION("""COMPUTED_VALUE"""),"Digizag")</f>
        <v>Digizag</v>
      </c>
      <c r="U1210" s="5">
        <f>IFERROR(__xludf.DUMMYFUNCTION("""COMPUTED_VALUE"""),10.855160532660001)</f>
        <v>10.85516053</v>
      </c>
      <c r="V1210" s="2"/>
      <c r="W1210" s="2"/>
      <c r="X1210" s="2"/>
      <c r="Y1210" s="2"/>
      <c r="Z1210" s="2"/>
    </row>
    <row r="1211">
      <c r="A1211" s="6">
        <f>IFERROR(__xludf.DUMMYFUNCTION("""COMPUTED_VALUE"""),45934.62684027778)</f>
        <v>45934.62684</v>
      </c>
      <c r="B1211" s="2" t="str">
        <f>IFERROR(__xludf.DUMMYFUNCTION("""COMPUTED_VALUE"""),"October")</f>
        <v>October</v>
      </c>
      <c r="C1211" s="3">
        <f>IFERROR(__xludf.DUMMYFUNCTION("""COMPUTED_VALUE"""),232082.0)</f>
        <v>232082</v>
      </c>
      <c r="D1211" s="2" t="str">
        <f>IFERROR(__xludf.DUMMYFUNCTION("""COMPUTED_VALUE"""),"DG8")</f>
        <v>DG8</v>
      </c>
      <c r="E1211" s="2" t="str">
        <f>IFERROR(__xludf.DUMMYFUNCTION("""COMPUTED_VALUE"""),"Imported from file Digizag.xlsx")</f>
        <v>Imported from file Digizag.xlsx</v>
      </c>
      <c r="F1211" s="2" t="str">
        <f>IFERROR(__xludf.DUMMYFUNCTION("""COMPUTED_VALUE"""),"WYL314954")</f>
        <v>WYL314954</v>
      </c>
      <c r="G1211" s="2" t="str">
        <f>IFERROR(__xludf.DUMMYFUNCTION("""COMPUTED_VALUE"""),"Kingdom of Saudi Arabia")</f>
        <v>Kingdom of Saudi Arabia</v>
      </c>
      <c r="H1211" s="4">
        <f>IFERROR(__xludf.DUMMYFUNCTION("""COMPUTED_VALUE"""),107.27)</f>
        <v>107.27</v>
      </c>
      <c r="I1211" s="3">
        <f>IFERROR(__xludf.DUMMYFUNCTION("""COMPUTED_VALUE"""),0.0)</f>
        <v>0</v>
      </c>
      <c r="J1211" s="4">
        <f>IFERROR(__xludf.DUMMYFUNCTION("""COMPUTED_VALUE"""),26.81)</f>
        <v>26.81</v>
      </c>
      <c r="K1211" s="2"/>
      <c r="L1211" s="2" t="str">
        <f>IFERROR(__xludf.DUMMYFUNCTION("""COMPUTED_VALUE"""),"Delivered")</f>
        <v>Delivered</v>
      </c>
      <c r="M1211" s="2" t="str">
        <f>IFERROR(__xludf.DUMMYFUNCTION("""COMPUTED_VALUE"""),"")</f>
        <v></v>
      </c>
      <c r="N1211" s="2" t="str">
        <f>IFERROR(__xludf.DUMMYFUNCTION("""COMPUTED_VALUE"""),"Credit, Debit, Apple Pay")</f>
        <v>Credit, Debit, Apple Pay</v>
      </c>
      <c r="O1211" s="4">
        <f>IFERROR(__xludf.DUMMYFUNCTION("""COMPUTED_VALUE"""),0.0)</f>
        <v>0</v>
      </c>
      <c r="P1211" s="2">
        <f>IFERROR(__xludf.DUMMYFUNCTION("""COMPUTED_VALUE"""),4.0)</f>
        <v>4</v>
      </c>
      <c r="Q1211" s="2">
        <f>IFERROR(__xludf.DUMMYFUNCTION("""COMPUTED_VALUE"""),10.0)</f>
        <v>10</v>
      </c>
      <c r="R1211" s="2">
        <f>IFERROR(__xludf.DUMMYFUNCTION("""COMPUTED_VALUE"""),2025.0)</f>
        <v>2025</v>
      </c>
      <c r="S1211" s="2" t="str">
        <f>IFERROR(__xludf.DUMMYFUNCTION("""COMPUTED_VALUE"""),"Digizag")</f>
        <v>Digizag</v>
      </c>
      <c r="T1211" s="2" t="str">
        <f>IFERROR(__xludf.DUMMYFUNCTION("""COMPUTED_VALUE"""),"Digizag")</f>
        <v>Digizag</v>
      </c>
      <c r="U1211" s="5">
        <f>IFERROR(__xludf.DUMMYFUNCTION("""COMPUTED_VALUE"""),28.60312135442)</f>
        <v>28.60312135</v>
      </c>
      <c r="V1211" s="2"/>
      <c r="W1211" s="2"/>
      <c r="X1211" s="2"/>
      <c r="Y1211" s="2"/>
      <c r="Z1211" s="2"/>
    </row>
    <row r="1212">
      <c r="A1212" s="6">
        <f>IFERROR(__xludf.DUMMYFUNCTION("""COMPUTED_VALUE"""),45934.63203703704)</f>
        <v>45934.63204</v>
      </c>
      <c r="B1212" s="2" t="str">
        <f>IFERROR(__xludf.DUMMYFUNCTION("""COMPUTED_VALUE"""),"October")</f>
        <v>October</v>
      </c>
      <c r="C1212" s="3">
        <f>IFERROR(__xludf.DUMMYFUNCTION("""COMPUTED_VALUE"""),430502.0)</f>
        <v>430502</v>
      </c>
      <c r="D1212" s="2" t="str">
        <f>IFERROR(__xludf.DUMMYFUNCTION("""COMPUTED_VALUE"""),"RR22")</f>
        <v>RR22</v>
      </c>
      <c r="E1212" s="2" t="str">
        <f>IFERROR(__xludf.DUMMYFUNCTION("""COMPUTED_VALUE"""),"Imported from file Digizag.xlsx")</f>
        <v>Imported from file Digizag.xlsx</v>
      </c>
      <c r="F1212" s="2" t="str">
        <f>IFERROR(__xludf.DUMMYFUNCTION("""COMPUTED_VALUE"""),"VZS313725")</f>
        <v>VZS313725</v>
      </c>
      <c r="G1212" s="2" t="str">
        <f>IFERROR(__xludf.DUMMYFUNCTION("""COMPUTED_VALUE"""),"UAE")</f>
        <v>UAE</v>
      </c>
      <c r="H1212" s="4">
        <f>IFERROR(__xludf.DUMMYFUNCTION("""COMPUTED_VALUE"""),185.1)</f>
        <v>185.1</v>
      </c>
      <c r="I1212" s="3">
        <f>IFERROR(__xludf.DUMMYFUNCTION("""COMPUTED_VALUE"""),1.0)</f>
        <v>1</v>
      </c>
      <c r="J1212" s="4">
        <f>IFERROR(__xludf.DUMMYFUNCTION("""COMPUTED_VALUE"""),18.51)</f>
        <v>18.51</v>
      </c>
      <c r="K1212" s="2"/>
      <c r="L1212" s="2" t="str">
        <f>IFERROR(__xludf.DUMMYFUNCTION("""COMPUTED_VALUE"""),"Cancelled")</f>
        <v>Cancelled</v>
      </c>
      <c r="M1212" s="2" t="str">
        <f>IFERROR(__xludf.DUMMYFUNCTION("""COMPUTED_VALUE"""),"")</f>
        <v></v>
      </c>
      <c r="N1212" s="2" t="str">
        <f>IFERROR(__xludf.DUMMYFUNCTION("""COMPUTED_VALUE"""),"Credit, Debit , Apple Pay")</f>
        <v>Credit, Debit , Apple Pay</v>
      </c>
      <c r="O1212" s="4">
        <f>IFERROR(__xludf.DUMMYFUNCTION("""COMPUTED_VALUE"""),166.59)</f>
        <v>166.59</v>
      </c>
      <c r="P1212" s="2">
        <f>IFERROR(__xludf.DUMMYFUNCTION("""COMPUTED_VALUE"""),4.0)</f>
        <v>4</v>
      </c>
      <c r="Q1212" s="2">
        <f>IFERROR(__xludf.DUMMYFUNCTION("""COMPUTED_VALUE"""),10.0)</f>
        <v>10</v>
      </c>
      <c r="R1212" s="2">
        <f>IFERROR(__xludf.DUMMYFUNCTION("""COMPUTED_VALUE"""),2025.0)</f>
        <v>2025</v>
      </c>
      <c r="S1212" s="2" t="str">
        <f>IFERROR(__xludf.DUMMYFUNCTION("""COMPUTED_VALUE"""),"Digizag")</f>
        <v>Digizag</v>
      </c>
      <c r="T1212" s="2" t="str">
        <f>IFERROR(__xludf.DUMMYFUNCTION("""COMPUTED_VALUE"""),"Digizag")</f>
        <v>Digizag</v>
      </c>
      <c r="U1212" s="5">
        <f>IFERROR(__xludf.DUMMYFUNCTION("""COMPUTED_VALUE"""),50.4016338378)</f>
        <v>50.40163384</v>
      </c>
      <c r="V1212" s="2"/>
      <c r="W1212" s="2"/>
      <c r="X1212" s="2"/>
      <c r="Y1212" s="2"/>
      <c r="Z1212" s="2"/>
    </row>
    <row r="1213">
      <c r="A1213" s="6">
        <f>IFERROR(__xludf.DUMMYFUNCTION("""COMPUTED_VALUE"""),45934.83458333333)</f>
        <v>45934.83458</v>
      </c>
      <c r="B1213" s="2" t="str">
        <f>IFERROR(__xludf.DUMMYFUNCTION("""COMPUTED_VALUE"""),"October")</f>
        <v>October</v>
      </c>
      <c r="C1213" s="3">
        <f>IFERROR(__xludf.DUMMYFUNCTION("""COMPUTED_VALUE"""),713115.0)</f>
        <v>713115</v>
      </c>
      <c r="D1213" s="2" t="str">
        <f>IFERROR(__xludf.DUMMYFUNCTION("""COMPUTED_VALUE"""),"MNN19")</f>
        <v>MNN19</v>
      </c>
      <c r="E1213" s="2" t="str">
        <f>IFERROR(__xludf.DUMMYFUNCTION("""COMPUTED_VALUE"""),"Imported from file DigiZag Codes 25Feb25.xlsx")</f>
        <v>Imported from file DigiZag Codes 25Feb25.xlsx</v>
      </c>
      <c r="F1213" s="2" t="str">
        <f>IFERROR(__xludf.DUMMYFUNCTION("""COMPUTED_VALUE"""),"KZR987339")</f>
        <v>KZR987339</v>
      </c>
      <c r="G1213" s="2" t="str">
        <f>IFERROR(__xludf.DUMMYFUNCTION("""COMPUTED_VALUE"""),"Kuwait")</f>
        <v>Kuwait</v>
      </c>
      <c r="H1213" s="4">
        <f>IFERROR(__xludf.DUMMYFUNCTION("""COMPUTED_VALUE"""),17.5)</f>
        <v>17.5</v>
      </c>
      <c r="I1213" s="3">
        <f>IFERROR(__xludf.DUMMYFUNCTION("""COMPUTED_VALUE"""),0.0)</f>
        <v>0</v>
      </c>
      <c r="J1213" s="4">
        <f>IFERROR(__xludf.DUMMYFUNCTION("""COMPUTED_VALUE"""),1.75)</f>
        <v>1.75</v>
      </c>
      <c r="K1213" s="2"/>
      <c r="L1213" s="2" t="str">
        <f>IFERROR(__xludf.DUMMYFUNCTION("""COMPUTED_VALUE"""),"Delivered")</f>
        <v>Delivered</v>
      </c>
      <c r="M1213" s="2" t="str">
        <f>IFERROR(__xludf.DUMMYFUNCTION("""COMPUTED_VALUE"""),"KD")</f>
        <v>KD</v>
      </c>
      <c r="N1213" s="2" t="str">
        <f>IFERROR(__xludf.DUMMYFUNCTION("""COMPUTED_VALUE"""),"Credit, Debit, Knet")</f>
        <v>Credit, Debit, Knet</v>
      </c>
      <c r="O1213" s="4">
        <f>IFERROR(__xludf.DUMMYFUNCTION("""COMPUTED_VALUE"""),0.0)</f>
        <v>0</v>
      </c>
      <c r="P1213" s="2">
        <f>IFERROR(__xludf.DUMMYFUNCTION("""COMPUTED_VALUE"""),4.0)</f>
        <v>4</v>
      </c>
      <c r="Q1213" s="2">
        <f>IFERROR(__xludf.DUMMYFUNCTION("""COMPUTED_VALUE"""),10.0)</f>
        <v>10</v>
      </c>
      <c r="R1213" s="2">
        <f>IFERROR(__xludf.DUMMYFUNCTION("""COMPUTED_VALUE"""),2025.0)</f>
        <v>2025</v>
      </c>
      <c r="S1213" s="2" t="str">
        <f>IFERROR(__xludf.DUMMYFUNCTION("""COMPUTED_VALUE"""),"Digizag")</f>
        <v>Digizag</v>
      </c>
      <c r="T1213" s="2" t="str">
        <f>IFERROR(__xludf.DUMMYFUNCTION("""COMPUTED_VALUE"""),"Digizag")</f>
        <v>Digizag</v>
      </c>
      <c r="U1213" s="5">
        <f>IFERROR(__xludf.DUMMYFUNCTION("""COMPUTED_VALUE"""),57.060849999999995)</f>
        <v>57.06085</v>
      </c>
      <c r="V1213" s="2"/>
      <c r="W1213" s="2"/>
      <c r="X1213" s="2"/>
      <c r="Y1213" s="2"/>
      <c r="Z1213" s="2"/>
    </row>
    <row r="1214">
      <c r="A1214" s="6">
        <f>IFERROR(__xludf.DUMMYFUNCTION("""COMPUTED_VALUE"""),45935.440150462964)</f>
        <v>45935.44015</v>
      </c>
      <c r="B1214" s="2" t="str">
        <f>IFERROR(__xludf.DUMMYFUNCTION("""COMPUTED_VALUE"""),"October")</f>
        <v>October</v>
      </c>
      <c r="C1214" s="3">
        <f>IFERROR(__xludf.DUMMYFUNCTION("""COMPUTED_VALUE"""),751045.0)</f>
        <v>751045</v>
      </c>
      <c r="D1214" s="2" t="str">
        <f>IFERROR(__xludf.DUMMYFUNCTION("""COMPUTED_VALUE"""),"ZM22")</f>
        <v>ZM22</v>
      </c>
      <c r="E1214" s="2" t="str">
        <f>IFERROR(__xludf.DUMMYFUNCTION("""COMPUTED_VALUE"""),"Imported from file Digizag.xlsx")</f>
        <v>Imported from file Digizag.xlsx</v>
      </c>
      <c r="F1214" s="2" t="str">
        <f>IFERROR(__xludf.DUMMYFUNCTION("""COMPUTED_VALUE"""),"CDW456574")</f>
        <v>CDW456574</v>
      </c>
      <c r="G1214" s="2" t="str">
        <f>IFERROR(__xludf.DUMMYFUNCTION("""COMPUTED_VALUE"""),"Kingdom of Saudi Arabia")</f>
        <v>Kingdom of Saudi Arabia</v>
      </c>
      <c r="H1214" s="4">
        <f>IFERROR(__xludf.DUMMYFUNCTION("""COMPUTED_VALUE"""),118.4)</f>
        <v>118.4</v>
      </c>
      <c r="I1214" s="3">
        <f>IFERROR(__xludf.DUMMYFUNCTION("""COMPUTED_VALUE"""),0.0)</f>
        <v>0</v>
      </c>
      <c r="J1214" s="4">
        <f>IFERROR(__xludf.DUMMYFUNCTION("""COMPUTED_VALUE"""),29.59)</f>
        <v>29.59</v>
      </c>
      <c r="K1214" s="2"/>
      <c r="L1214" s="2" t="str">
        <f>IFERROR(__xludf.DUMMYFUNCTION("""COMPUTED_VALUE"""),"Delivered")</f>
        <v>Delivered</v>
      </c>
      <c r="M1214" s="2" t="str">
        <f>IFERROR(__xludf.DUMMYFUNCTION("""COMPUTED_VALUE"""),"")</f>
        <v></v>
      </c>
      <c r="N1214" s="2" t="str">
        <f>IFERROR(__xludf.DUMMYFUNCTION("""COMPUTED_VALUE"""),"Credit, Debit, Apple Pay")</f>
        <v>Credit, Debit, Apple Pay</v>
      </c>
      <c r="O1214" s="4">
        <f>IFERROR(__xludf.DUMMYFUNCTION("""COMPUTED_VALUE"""),0.0)</f>
        <v>0</v>
      </c>
      <c r="P1214" s="2">
        <f>IFERROR(__xludf.DUMMYFUNCTION("""COMPUTED_VALUE"""),5.0)</f>
        <v>5</v>
      </c>
      <c r="Q1214" s="2">
        <f>IFERROR(__xludf.DUMMYFUNCTION("""COMPUTED_VALUE"""),10.0)</f>
        <v>10</v>
      </c>
      <c r="R1214" s="2">
        <f>IFERROR(__xludf.DUMMYFUNCTION("""COMPUTED_VALUE"""),2025.0)</f>
        <v>2025</v>
      </c>
      <c r="S1214" s="2" t="str">
        <f>IFERROR(__xludf.DUMMYFUNCTION("""COMPUTED_VALUE"""),"Digizag")</f>
        <v>Digizag</v>
      </c>
      <c r="T1214" s="2" t="str">
        <f>IFERROR(__xludf.DUMMYFUNCTION("""COMPUTED_VALUE"""),"Digizag")</f>
        <v>Digizag</v>
      </c>
      <c r="U1214" s="5">
        <f>IFERROR(__xludf.DUMMYFUNCTION("""COMPUTED_VALUE"""),31.570891846400006)</f>
        <v>31.57089185</v>
      </c>
      <c r="V1214" s="2"/>
      <c r="W1214" s="2"/>
      <c r="X1214" s="2"/>
      <c r="Y1214" s="2"/>
      <c r="Z1214" s="2"/>
    </row>
    <row r="1215">
      <c r="A1215" s="6">
        <f>IFERROR(__xludf.DUMMYFUNCTION("""COMPUTED_VALUE"""),45935.5278125)</f>
        <v>45935.52781</v>
      </c>
      <c r="B1215" s="2" t="str">
        <f>IFERROR(__xludf.DUMMYFUNCTION("""COMPUTED_VALUE"""),"October")</f>
        <v>October</v>
      </c>
      <c r="C1215" s="3">
        <f>IFERROR(__xludf.DUMMYFUNCTION("""COMPUTED_VALUE"""),86793.0)</f>
        <v>86793</v>
      </c>
      <c r="D1215" s="2" t="str">
        <f>IFERROR(__xludf.DUMMYFUNCTION("""COMPUTED_VALUE"""),"DB6")</f>
        <v>DB6</v>
      </c>
      <c r="E1215" s="2" t="str">
        <f>IFERROR(__xludf.DUMMYFUNCTION("""COMPUTED_VALUE"""),"Digizag")</f>
        <v>Digizag</v>
      </c>
      <c r="F1215" s="2" t="str">
        <f>IFERROR(__xludf.DUMMYFUNCTION("""COMPUTED_VALUE"""),"ZXK830688")</f>
        <v>ZXK830688</v>
      </c>
      <c r="G1215" s="2" t="str">
        <f>IFERROR(__xludf.DUMMYFUNCTION("""COMPUTED_VALUE"""),"Kuwait")</f>
        <v>Kuwait</v>
      </c>
      <c r="H1215" s="4">
        <f>IFERROR(__xludf.DUMMYFUNCTION("""COMPUTED_VALUE"""),11.6)</f>
        <v>11.6</v>
      </c>
      <c r="I1215" s="3">
        <f>IFERROR(__xludf.DUMMYFUNCTION("""COMPUTED_VALUE"""),0.0)</f>
        <v>0</v>
      </c>
      <c r="J1215" s="4">
        <f>IFERROR(__xludf.DUMMYFUNCTION("""COMPUTED_VALUE"""),1.16)</f>
        <v>1.16</v>
      </c>
      <c r="K1215" s="2"/>
      <c r="L1215" s="2" t="str">
        <f>IFERROR(__xludf.DUMMYFUNCTION("""COMPUTED_VALUE"""),"Delivered")</f>
        <v>Delivered</v>
      </c>
      <c r="M1215" s="2" t="str">
        <f>IFERROR(__xludf.DUMMYFUNCTION("""COMPUTED_VALUE"""),"KD")</f>
        <v>KD</v>
      </c>
      <c r="N1215" s="2" t="str">
        <f>IFERROR(__xludf.DUMMYFUNCTION("""COMPUTED_VALUE"""),"Credit, Debit, Knet")</f>
        <v>Credit, Debit, Knet</v>
      </c>
      <c r="O1215" s="4">
        <f>IFERROR(__xludf.DUMMYFUNCTION("""COMPUTED_VALUE"""),0.0)</f>
        <v>0</v>
      </c>
      <c r="P1215" s="2">
        <f>IFERROR(__xludf.DUMMYFUNCTION("""COMPUTED_VALUE"""),5.0)</f>
        <v>5</v>
      </c>
      <c r="Q1215" s="2">
        <f>IFERROR(__xludf.DUMMYFUNCTION("""COMPUTED_VALUE"""),10.0)</f>
        <v>10</v>
      </c>
      <c r="R1215" s="2">
        <f>IFERROR(__xludf.DUMMYFUNCTION("""COMPUTED_VALUE"""),2025.0)</f>
        <v>2025</v>
      </c>
      <c r="S1215" s="2" t="str">
        <f>IFERROR(__xludf.DUMMYFUNCTION("""COMPUTED_VALUE"""),"Digizag")</f>
        <v>Digizag</v>
      </c>
      <c r="T1215" s="2" t="str">
        <f>IFERROR(__xludf.DUMMYFUNCTION("""COMPUTED_VALUE"""),"Digizag")</f>
        <v>Digizag</v>
      </c>
      <c r="U1215" s="5">
        <f>IFERROR(__xludf.DUMMYFUNCTION("""COMPUTED_VALUE"""),37.823192)</f>
        <v>37.823192</v>
      </c>
      <c r="V1215" s="2"/>
      <c r="W1215" s="2"/>
      <c r="X1215" s="2"/>
      <c r="Y1215" s="2"/>
      <c r="Z1215" s="2"/>
    </row>
    <row r="1216">
      <c r="A1216" s="6">
        <f>IFERROR(__xludf.DUMMYFUNCTION("""COMPUTED_VALUE"""),45936.58829861111)</f>
        <v>45936.5883</v>
      </c>
      <c r="B1216" s="2" t="str">
        <f>IFERROR(__xludf.DUMMYFUNCTION("""COMPUTED_VALUE"""),"October")</f>
        <v>October</v>
      </c>
      <c r="C1216" s="3">
        <f>IFERROR(__xludf.DUMMYFUNCTION("""COMPUTED_VALUE"""),8707.0)</f>
        <v>8707</v>
      </c>
      <c r="D1216" s="2" t="str">
        <f>IFERROR(__xludf.DUMMYFUNCTION("""COMPUTED_VALUE"""),"DB7")</f>
        <v>DB7</v>
      </c>
      <c r="E1216" s="2" t="str">
        <f>IFERROR(__xludf.DUMMYFUNCTION("""COMPUTED_VALUE"""),"Digizag")</f>
        <v>Digizag</v>
      </c>
      <c r="F1216" s="2" t="str">
        <f>IFERROR(__xludf.DUMMYFUNCTION("""COMPUTED_VALUE"""),"TQB261716")</f>
        <v>TQB261716</v>
      </c>
      <c r="G1216" s="2" t="str">
        <f>IFERROR(__xludf.DUMMYFUNCTION("""COMPUTED_VALUE"""),"UAE")</f>
        <v>UAE</v>
      </c>
      <c r="H1216" s="4">
        <f>IFERROR(__xludf.DUMMYFUNCTION("""COMPUTED_VALUE"""),84.0)</f>
        <v>84</v>
      </c>
      <c r="I1216" s="3">
        <f>IFERROR(__xludf.DUMMYFUNCTION("""COMPUTED_VALUE"""),0.0)</f>
        <v>0</v>
      </c>
      <c r="J1216" s="4">
        <f>IFERROR(__xludf.DUMMYFUNCTION("""COMPUTED_VALUE"""),8.4)</f>
        <v>8.4</v>
      </c>
      <c r="K1216" s="2"/>
      <c r="L1216" s="2" t="str">
        <f>IFERROR(__xludf.DUMMYFUNCTION("""COMPUTED_VALUE"""),"Delivered")</f>
        <v>Delivered</v>
      </c>
      <c r="M1216" s="2" t="str">
        <f>IFERROR(__xludf.DUMMYFUNCTION("""COMPUTED_VALUE"""),"")</f>
        <v></v>
      </c>
      <c r="N1216" s="2" t="str">
        <f>IFERROR(__xludf.DUMMYFUNCTION("""COMPUTED_VALUE"""),"Credit, Debit , Apple Pay")</f>
        <v>Credit, Debit , Apple Pay</v>
      </c>
      <c r="O1216" s="4">
        <f>IFERROR(__xludf.DUMMYFUNCTION("""COMPUTED_VALUE"""),0.0)</f>
        <v>0</v>
      </c>
      <c r="P1216" s="2">
        <f>IFERROR(__xludf.DUMMYFUNCTION("""COMPUTED_VALUE"""),6.0)</f>
        <v>6</v>
      </c>
      <c r="Q1216" s="2">
        <f>IFERROR(__xludf.DUMMYFUNCTION("""COMPUTED_VALUE"""),10.0)</f>
        <v>10</v>
      </c>
      <c r="R1216" s="2">
        <f>IFERROR(__xludf.DUMMYFUNCTION("""COMPUTED_VALUE"""),2025.0)</f>
        <v>2025</v>
      </c>
      <c r="S1216" s="2" t="str">
        <f>IFERROR(__xludf.DUMMYFUNCTION("""COMPUTED_VALUE"""),"Digizag")</f>
        <v>Digizag</v>
      </c>
      <c r="T1216" s="2" t="str">
        <f>IFERROR(__xludf.DUMMYFUNCTION("""COMPUTED_VALUE"""),"Digizag")</f>
        <v>Digizag</v>
      </c>
      <c r="U1216" s="5">
        <f>IFERROR(__xludf.DUMMYFUNCTION("""COMPUTED_VALUE"""),22.872702552)</f>
        <v>22.87270255</v>
      </c>
      <c r="V1216" s="2"/>
      <c r="W1216" s="2"/>
      <c r="X1216" s="2"/>
      <c r="Y1216" s="2"/>
      <c r="Z1216" s="2"/>
    </row>
    <row r="1217">
      <c r="A1217" s="6">
        <f>IFERROR(__xludf.DUMMYFUNCTION("""COMPUTED_VALUE"""),45936.65770833333)</f>
        <v>45936.65771</v>
      </c>
      <c r="B1217" s="2" t="str">
        <f>IFERROR(__xludf.DUMMYFUNCTION("""COMPUTED_VALUE"""),"October")</f>
        <v>October</v>
      </c>
      <c r="C1217" s="3">
        <f>IFERROR(__xludf.DUMMYFUNCTION("""COMPUTED_VALUE"""),812183.0)</f>
        <v>812183</v>
      </c>
      <c r="D1217" s="2" t="str">
        <f>IFERROR(__xludf.DUMMYFUNCTION("""COMPUTED_VALUE"""),"DB6")</f>
        <v>DB6</v>
      </c>
      <c r="E1217" s="2" t="str">
        <f>IFERROR(__xludf.DUMMYFUNCTION("""COMPUTED_VALUE"""),"Digizag")</f>
        <v>Digizag</v>
      </c>
      <c r="F1217" s="2" t="str">
        <f>IFERROR(__xludf.DUMMYFUNCTION("""COMPUTED_VALUE"""),"PYZ419388")</f>
        <v>PYZ419388</v>
      </c>
      <c r="G1217" s="2" t="str">
        <f>IFERROR(__xludf.DUMMYFUNCTION("""COMPUTED_VALUE"""),"Kingdom of Saudi Arabia")</f>
        <v>Kingdom of Saudi Arabia</v>
      </c>
      <c r="H1217" s="4">
        <f>IFERROR(__xludf.DUMMYFUNCTION("""COMPUTED_VALUE"""),51.33)</f>
        <v>51.33</v>
      </c>
      <c r="I1217" s="3">
        <f>IFERROR(__xludf.DUMMYFUNCTION("""COMPUTED_VALUE"""),0.0)</f>
        <v>0</v>
      </c>
      <c r="J1217" s="4">
        <f>IFERROR(__xludf.DUMMYFUNCTION("""COMPUTED_VALUE"""),12.83)</f>
        <v>12.83</v>
      </c>
      <c r="K1217" s="2"/>
      <c r="L1217" s="2" t="str">
        <f>IFERROR(__xludf.DUMMYFUNCTION("""COMPUTED_VALUE"""),"Delivered")</f>
        <v>Delivered</v>
      </c>
      <c r="M1217" s="2" t="str">
        <f>IFERROR(__xludf.DUMMYFUNCTION("""COMPUTED_VALUE"""),"")</f>
        <v></v>
      </c>
      <c r="N1217" s="2" t="str">
        <f>IFERROR(__xludf.DUMMYFUNCTION("""COMPUTED_VALUE"""),"Credit, Debit, Apple Pay")</f>
        <v>Credit, Debit, Apple Pay</v>
      </c>
      <c r="O1217" s="4">
        <f>IFERROR(__xludf.DUMMYFUNCTION("""COMPUTED_VALUE"""),0.0)</f>
        <v>0</v>
      </c>
      <c r="P1217" s="2">
        <f>IFERROR(__xludf.DUMMYFUNCTION("""COMPUTED_VALUE"""),6.0)</f>
        <v>6</v>
      </c>
      <c r="Q1217" s="2">
        <f>IFERROR(__xludf.DUMMYFUNCTION("""COMPUTED_VALUE"""),10.0)</f>
        <v>10</v>
      </c>
      <c r="R1217" s="2">
        <f>IFERROR(__xludf.DUMMYFUNCTION("""COMPUTED_VALUE"""),2025.0)</f>
        <v>2025</v>
      </c>
      <c r="S1217" s="2" t="str">
        <f>IFERROR(__xludf.DUMMYFUNCTION("""COMPUTED_VALUE"""),"Digizag")</f>
        <v>Digizag</v>
      </c>
      <c r="T1217" s="2" t="str">
        <f>IFERROR(__xludf.DUMMYFUNCTION("""COMPUTED_VALUE"""),"Digizag")</f>
        <v>Digizag</v>
      </c>
      <c r="U1217" s="5">
        <f>IFERROR(__xludf.DUMMYFUNCTION("""COMPUTED_VALUE"""),13.686941541180001)</f>
        <v>13.68694154</v>
      </c>
      <c r="V1217" s="2"/>
      <c r="W1217" s="2"/>
      <c r="X1217" s="2"/>
      <c r="Y1217" s="2"/>
      <c r="Z1217" s="2"/>
    </row>
    <row r="1218">
      <c r="A1218" s="6">
        <f>IFERROR(__xludf.DUMMYFUNCTION("""COMPUTED_VALUE"""),45937.24216435185)</f>
        <v>45937.24216</v>
      </c>
      <c r="B1218" s="2" t="str">
        <f>IFERROR(__xludf.DUMMYFUNCTION("""COMPUTED_VALUE"""),"October")</f>
        <v>October</v>
      </c>
      <c r="C1218" s="3">
        <f>IFERROR(__xludf.DUMMYFUNCTION("""COMPUTED_VALUE"""),318102.0)</f>
        <v>318102</v>
      </c>
      <c r="D1218" s="2" t="str">
        <f>IFERROR(__xludf.DUMMYFUNCTION("""COMPUTED_VALUE"""),"ZM22")</f>
        <v>ZM22</v>
      </c>
      <c r="E1218" s="2" t="str">
        <f>IFERROR(__xludf.DUMMYFUNCTION("""COMPUTED_VALUE"""),"Imported from file Digizag.xlsx")</f>
        <v>Imported from file Digizag.xlsx</v>
      </c>
      <c r="F1218" s="2" t="str">
        <f>IFERROR(__xludf.DUMMYFUNCTION("""COMPUTED_VALUE"""),"AGE861026")</f>
        <v>AGE861026</v>
      </c>
      <c r="G1218" s="2" t="str">
        <f>IFERROR(__xludf.DUMMYFUNCTION("""COMPUTED_VALUE"""),"UAE")</f>
        <v>UAE</v>
      </c>
      <c r="H1218" s="4">
        <f>IFERROR(__xludf.DUMMYFUNCTION("""COMPUTED_VALUE"""),104.0)</f>
        <v>104</v>
      </c>
      <c r="I1218" s="3">
        <f>IFERROR(__xludf.DUMMYFUNCTION("""COMPUTED_VALUE"""),0.0)</f>
        <v>0</v>
      </c>
      <c r="J1218" s="4">
        <f>IFERROR(__xludf.DUMMYFUNCTION("""COMPUTED_VALUE"""),10.4)</f>
        <v>10.4</v>
      </c>
      <c r="K1218" s="2"/>
      <c r="L1218" s="2" t="str">
        <f>IFERROR(__xludf.DUMMYFUNCTION("""COMPUTED_VALUE"""),"Processing")</f>
        <v>Processing</v>
      </c>
      <c r="M1218" s="2" t="str">
        <f>IFERROR(__xludf.DUMMYFUNCTION("""COMPUTED_VALUE"""),"")</f>
        <v></v>
      </c>
      <c r="N1218" s="2" t="str">
        <f>IFERROR(__xludf.DUMMYFUNCTION("""COMPUTED_VALUE"""),"Credit, Debit , Apple Pay")</f>
        <v>Credit, Debit , Apple Pay</v>
      </c>
      <c r="O1218" s="4">
        <f>IFERROR(__xludf.DUMMYFUNCTION("""COMPUTED_VALUE"""),0.0)</f>
        <v>0</v>
      </c>
      <c r="P1218" s="2">
        <f>IFERROR(__xludf.DUMMYFUNCTION("""COMPUTED_VALUE"""),7.0)</f>
        <v>7</v>
      </c>
      <c r="Q1218" s="2">
        <f>IFERROR(__xludf.DUMMYFUNCTION("""COMPUTED_VALUE"""),10.0)</f>
        <v>10</v>
      </c>
      <c r="R1218" s="2">
        <f>IFERROR(__xludf.DUMMYFUNCTION("""COMPUTED_VALUE"""),2025.0)</f>
        <v>2025</v>
      </c>
      <c r="S1218" s="2" t="str">
        <f>IFERROR(__xludf.DUMMYFUNCTION("""COMPUTED_VALUE"""),"Digizag")</f>
        <v>Digizag</v>
      </c>
      <c r="T1218" s="2" t="str">
        <f>IFERROR(__xludf.DUMMYFUNCTION("""COMPUTED_VALUE"""),"Digizag")</f>
        <v>Digizag</v>
      </c>
      <c r="U1218" s="5">
        <f>IFERROR(__xludf.DUMMYFUNCTION("""COMPUTED_VALUE"""),28.318584112)</f>
        <v>28.31858411</v>
      </c>
      <c r="V1218" s="2"/>
      <c r="W1218" s="2"/>
      <c r="X1218" s="2"/>
      <c r="Y1218" s="2"/>
      <c r="Z1218" s="2"/>
    </row>
    <row r="1219">
      <c r="A1219" s="6">
        <f>IFERROR(__xludf.DUMMYFUNCTION("""COMPUTED_VALUE"""),45937.30040509259)</f>
        <v>45937.30041</v>
      </c>
      <c r="B1219" s="2" t="str">
        <f>IFERROR(__xludf.DUMMYFUNCTION("""COMPUTED_VALUE"""),"October")</f>
        <v>October</v>
      </c>
      <c r="C1219" s="3">
        <f>IFERROR(__xludf.DUMMYFUNCTION("""COMPUTED_VALUE"""),30351.0)</f>
        <v>30351</v>
      </c>
      <c r="D1219" s="2" t="str">
        <f>IFERROR(__xludf.DUMMYFUNCTION("""COMPUTED_VALUE"""),"DB7")</f>
        <v>DB7</v>
      </c>
      <c r="E1219" s="2" t="str">
        <f>IFERROR(__xludf.DUMMYFUNCTION("""COMPUTED_VALUE"""),"Digizag")</f>
        <v>Digizag</v>
      </c>
      <c r="F1219" s="2" t="str">
        <f>IFERROR(__xludf.DUMMYFUNCTION("""COMPUTED_VALUE"""),"JSQ866515")</f>
        <v>JSQ866515</v>
      </c>
      <c r="G1219" s="2" t="str">
        <f>IFERROR(__xludf.DUMMYFUNCTION("""COMPUTED_VALUE"""),"Kuwait")</f>
        <v>Kuwait</v>
      </c>
      <c r="H1219" s="4">
        <f>IFERROR(__xludf.DUMMYFUNCTION("""COMPUTED_VALUE"""),27.75)</f>
        <v>27.75</v>
      </c>
      <c r="I1219" s="3">
        <f>IFERROR(__xludf.DUMMYFUNCTION("""COMPUTED_VALUE"""),0.0)</f>
        <v>0</v>
      </c>
      <c r="J1219" s="4">
        <f>IFERROR(__xludf.DUMMYFUNCTION("""COMPUTED_VALUE"""),2.775)</f>
        <v>2.775</v>
      </c>
      <c r="K1219" s="2"/>
      <c r="L1219" s="2" t="str">
        <f>IFERROR(__xludf.DUMMYFUNCTION("""COMPUTED_VALUE"""),"Processing")</f>
        <v>Processing</v>
      </c>
      <c r="M1219" s="2" t="str">
        <f>IFERROR(__xludf.DUMMYFUNCTION("""COMPUTED_VALUE"""),"KD")</f>
        <v>KD</v>
      </c>
      <c r="N1219" s="2" t="str">
        <f>IFERROR(__xludf.DUMMYFUNCTION("""COMPUTED_VALUE"""),"Credit, Debit, Knet")</f>
        <v>Credit, Debit, Knet</v>
      </c>
      <c r="O1219" s="4">
        <f>IFERROR(__xludf.DUMMYFUNCTION("""COMPUTED_VALUE"""),0.0)</f>
        <v>0</v>
      </c>
      <c r="P1219" s="2">
        <f>IFERROR(__xludf.DUMMYFUNCTION("""COMPUTED_VALUE"""),7.0)</f>
        <v>7</v>
      </c>
      <c r="Q1219" s="2">
        <f>IFERROR(__xludf.DUMMYFUNCTION("""COMPUTED_VALUE"""),10.0)</f>
        <v>10</v>
      </c>
      <c r="R1219" s="2">
        <f>IFERROR(__xludf.DUMMYFUNCTION("""COMPUTED_VALUE"""),2025.0)</f>
        <v>2025</v>
      </c>
      <c r="S1219" s="2" t="str">
        <f>IFERROR(__xludf.DUMMYFUNCTION("""COMPUTED_VALUE"""),"Digizag")</f>
        <v>Digizag</v>
      </c>
      <c r="T1219" s="2" t="str">
        <f>IFERROR(__xludf.DUMMYFUNCTION("""COMPUTED_VALUE"""),"Digizag")</f>
        <v>Digizag</v>
      </c>
      <c r="U1219" s="5">
        <f>IFERROR(__xludf.DUMMYFUNCTION("""COMPUTED_VALUE"""),90.482205)</f>
        <v>90.482205</v>
      </c>
      <c r="V1219" s="2"/>
      <c r="W1219" s="2"/>
      <c r="X1219" s="2"/>
      <c r="Y1219" s="2"/>
      <c r="Z1219" s="2"/>
    </row>
    <row r="1220">
      <c r="A1220" s="6">
        <f>IFERROR(__xludf.DUMMYFUNCTION("""COMPUTED_VALUE"""),45937.45915509259)</f>
        <v>45937.45916</v>
      </c>
      <c r="B1220" s="2" t="str">
        <f>IFERROR(__xludf.DUMMYFUNCTION("""COMPUTED_VALUE"""),"October")</f>
        <v>October</v>
      </c>
      <c r="C1220" s="3">
        <f>IFERROR(__xludf.DUMMYFUNCTION("""COMPUTED_VALUE"""),76770.0)</f>
        <v>76770</v>
      </c>
      <c r="D1220" s="2" t="str">
        <f>IFERROR(__xludf.DUMMYFUNCTION("""COMPUTED_VALUE"""),"CC22")</f>
        <v>CC22</v>
      </c>
      <c r="E1220" s="2" t="str">
        <f>IFERROR(__xludf.DUMMYFUNCTION("""COMPUTED_VALUE"""),"Imported from file Digizag.xlsx")</f>
        <v>Imported from file Digizag.xlsx</v>
      </c>
      <c r="F1220" s="2" t="str">
        <f>IFERROR(__xludf.DUMMYFUNCTION("""COMPUTED_VALUE"""),"HVG540295")</f>
        <v>HVG540295</v>
      </c>
      <c r="G1220" s="2" t="str">
        <f>IFERROR(__xludf.DUMMYFUNCTION("""COMPUTED_VALUE"""),"Kuwait")</f>
        <v>Kuwait</v>
      </c>
      <c r="H1220" s="4">
        <f>IFERROR(__xludf.DUMMYFUNCTION("""COMPUTED_VALUE"""),6.95)</f>
        <v>6.95</v>
      </c>
      <c r="I1220" s="3">
        <f>IFERROR(__xludf.DUMMYFUNCTION("""COMPUTED_VALUE"""),0.0)</f>
        <v>0</v>
      </c>
      <c r="J1220" s="4">
        <f>IFERROR(__xludf.DUMMYFUNCTION("""COMPUTED_VALUE"""),0.695)</f>
        <v>0.695</v>
      </c>
      <c r="K1220" s="2"/>
      <c r="L1220" s="2" t="str">
        <f>IFERROR(__xludf.DUMMYFUNCTION("""COMPUTED_VALUE"""),"Delivered")</f>
        <v>Delivered</v>
      </c>
      <c r="M1220" s="2" t="str">
        <f>IFERROR(__xludf.DUMMYFUNCTION("""COMPUTED_VALUE"""),"KD")</f>
        <v>KD</v>
      </c>
      <c r="N1220" s="2" t="str">
        <f>IFERROR(__xludf.DUMMYFUNCTION("""COMPUTED_VALUE"""),"Credit, Debit, Knet")</f>
        <v>Credit, Debit, Knet</v>
      </c>
      <c r="O1220" s="4">
        <f>IFERROR(__xludf.DUMMYFUNCTION("""COMPUTED_VALUE"""),0.0)</f>
        <v>0</v>
      </c>
      <c r="P1220" s="2">
        <f>IFERROR(__xludf.DUMMYFUNCTION("""COMPUTED_VALUE"""),7.0)</f>
        <v>7</v>
      </c>
      <c r="Q1220" s="2">
        <f>IFERROR(__xludf.DUMMYFUNCTION("""COMPUTED_VALUE"""),10.0)</f>
        <v>10</v>
      </c>
      <c r="R1220" s="2">
        <f>IFERROR(__xludf.DUMMYFUNCTION("""COMPUTED_VALUE"""),2025.0)</f>
        <v>2025</v>
      </c>
      <c r="S1220" s="2" t="str">
        <f>IFERROR(__xludf.DUMMYFUNCTION("""COMPUTED_VALUE"""),"Digizag")</f>
        <v>Digizag</v>
      </c>
      <c r="T1220" s="2" t="str">
        <f>IFERROR(__xludf.DUMMYFUNCTION("""COMPUTED_VALUE"""),"Digizag")</f>
        <v>Digizag</v>
      </c>
      <c r="U1220" s="5">
        <f>IFERROR(__xludf.DUMMYFUNCTION("""COMPUTED_VALUE"""),22.661309)</f>
        <v>22.661309</v>
      </c>
      <c r="V1220" s="2"/>
      <c r="W1220" s="2"/>
      <c r="X1220" s="2"/>
      <c r="Y1220" s="2"/>
      <c r="Z1220" s="2"/>
    </row>
    <row r="1221">
      <c r="A1221" s="6">
        <f>IFERROR(__xludf.DUMMYFUNCTION("""COMPUTED_VALUE"""),45937.672754629624)</f>
        <v>45937.67275</v>
      </c>
      <c r="B1221" s="2" t="str">
        <f>IFERROR(__xludf.DUMMYFUNCTION("""COMPUTED_VALUE"""),"October")</f>
        <v>October</v>
      </c>
      <c r="C1221" s="3">
        <f>IFERROR(__xludf.DUMMYFUNCTION("""COMPUTED_VALUE"""),662740.0)</f>
        <v>662740</v>
      </c>
      <c r="D1221" s="2" t="str">
        <f>IFERROR(__xludf.DUMMYFUNCTION("""COMPUTED_VALUE"""),"JM")</f>
        <v>JM</v>
      </c>
      <c r="E1221" s="2" t="str">
        <f>IFERROR(__xludf.DUMMYFUNCTION("""COMPUTED_VALUE"""),"Digizag")</f>
        <v>Digizag</v>
      </c>
      <c r="F1221" s="2" t="str">
        <f>IFERROR(__xludf.DUMMYFUNCTION("""COMPUTED_VALUE"""),"NEC741634")</f>
        <v>NEC741634</v>
      </c>
      <c r="G1221" s="2" t="str">
        <f>IFERROR(__xludf.DUMMYFUNCTION("""COMPUTED_VALUE"""),"Kuwait")</f>
        <v>Kuwait</v>
      </c>
      <c r="H1221" s="4">
        <f>IFERROR(__xludf.DUMMYFUNCTION("""COMPUTED_VALUE"""),11.4)</f>
        <v>11.4</v>
      </c>
      <c r="I1221" s="3">
        <f>IFERROR(__xludf.DUMMYFUNCTION("""COMPUTED_VALUE"""),0.0)</f>
        <v>0</v>
      </c>
      <c r="J1221" s="4">
        <f>IFERROR(__xludf.DUMMYFUNCTION("""COMPUTED_VALUE"""),1.14)</f>
        <v>1.14</v>
      </c>
      <c r="K1221" s="2"/>
      <c r="L1221" s="2" t="str">
        <f>IFERROR(__xludf.DUMMYFUNCTION("""COMPUTED_VALUE"""),"Delivered")</f>
        <v>Delivered</v>
      </c>
      <c r="M1221" s="2" t="str">
        <f>IFERROR(__xludf.DUMMYFUNCTION("""COMPUTED_VALUE"""),"KD")</f>
        <v>KD</v>
      </c>
      <c r="N1221" s="2" t="str">
        <f>IFERROR(__xludf.DUMMYFUNCTION("""COMPUTED_VALUE"""),"Credit, Debit, Knet")</f>
        <v>Credit, Debit, Knet</v>
      </c>
      <c r="O1221" s="4">
        <f>IFERROR(__xludf.DUMMYFUNCTION("""COMPUTED_VALUE"""),0.0)</f>
        <v>0</v>
      </c>
      <c r="P1221" s="2">
        <f>IFERROR(__xludf.DUMMYFUNCTION("""COMPUTED_VALUE"""),7.0)</f>
        <v>7</v>
      </c>
      <c r="Q1221" s="2">
        <f>IFERROR(__xludf.DUMMYFUNCTION("""COMPUTED_VALUE"""),10.0)</f>
        <v>10</v>
      </c>
      <c r="R1221" s="2">
        <f>IFERROR(__xludf.DUMMYFUNCTION("""COMPUTED_VALUE"""),2025.0)</f>
        <v>2025</v>
      </c>
      <c r="S1221" s="2" t="str">
        <f>IFERROR(__xludf.DUMMYFUNCTION("""COMPUTED_VALUE"""),"Digizag")</f>
        <v>Digizag</v>
      </c>
      <c r="T1221" s="2" t="str">
        <f>IFERROR(__xludf.DUMMYFUNCTION("""COMPUTED_VALUE"""),"Digizag")</f>
        <v>Digizag</v>
      </c>
      <c r="U1221" s="5">
        <f>IFERROR(__xludf.DUMMYFUNCTION("""COMPUTED_VALUE"""),37.171068)</f>
        <v>37.171068</v>
      </c>
      <c r="V1221" s="2"/>
      <c r="W1221" s="2"/>
      <c r="X1221" s="2"/>
      <c r="Y1221" s="2"/>
      <c r="Z1221" s="2"/>
    </row>
    <row r="1222">
      <c r="A1222" s="6">
        <f>IFERROR(__xludf.DUMMYFUNCTION("""COMPUTED_VALUE"""),45937.798634259256)</f>
        <v>45937.79863</v>
      </c>
      <c r="B1222" s="2" t="str">
        <f>IFERROR(__xludf.DUMMYFUNCTION("""COMPUTED_VALUE"""),"October")</f>
        <v>October</v>
      </c>
      <c r="C1222" s="3">
        <f>IFERROR(__xludf.DUMMYFUNCTION("""COMPUTED_VALUE"""),377205.0)</f>
        <v>377205</v>
      </c>
      <c r="D1222" s="2" t="str">
        <f>IFERROR(__xludf.DUMMYFUNCTION("""COMPUTED_VALUE"""),"CC22")</f>
        <v>CC22</v>
      </c>
      <c r="E1222" s="2" t="str">
        <f>IFERROR(__xludf.DUMMYFUNCTION("""COMPUTED_VALUE"""),"Imported from file Digizag.xlsx")</f>
        <v>Imported from file Digizag.xlsx</v>
      </c>
      <c r="F1222" s="2" t="str">
        <f>IFERROR(__xludf.DUMMYFUNCTION("""COMPUTED_VALUE"""),"EQZ176615")</f>
        <v>EQZ176615</v>
      </c>
      <c r="G1222" s="2" t="str">
        <f>IFERROR(__xludf.DUMMYFUNCTION("""COMPUTED_VALUE"""),"Kingdom of Saudi Arabia")</f>
        <v>Kingdom of Saudi Arabia</v>
      </c>
      <c r="H1222" s="4">
        <f>IFERROR(__xludf.DUMMYFUNCTION("""COMPUTED_VALUE"""),240.3)</f>
        <v>240.3</v>
      </c>
      <c r="I1222" s="3">
        <f>IFERROR(__xludf.DUMMYFUNCTION("""COMPUTED_VALUE"""),0.0)</f>
        <v>0</v>
      </c>
      <c r="J1222" s="4">
        <f>IFERROR(__xludf.DUMMYFUNCTION("""COMPUTED_VALUE"""),30.0)</f>
        <v>30</v>
      </c>
      <c r="K1222" s="2"/>
      <c r="L1222" s="2" t="str">
        <f>IFERROR(__xludf.DUMMYFUNCTION("""COMPUTED_VALUE"""),"Processing")</f>
        <v>Processing</v>
      </c>
      <c r="M1222" s="2" t="str">
        <f>IFERROR(__xludf.DUMMYFUNCTION("""COMPUTED_VALUE"""),"")</f>
        <v></v>
      </c>
      <c r="N1222" s="2" t="str">
        <f>IFERROR(__xludf.DUMMYFUNCTION("""COMPUTED_VALUE"""),"Credit, Debit, Apple Pay")</f>
        <v>Credit, Debit, Apple Pay</v>
      </c>
      <c r="O1222" s="4">
        <f>IFERROR(__xludf.DUMMYFUNCTION("""COMPUTED_VALUE"""),0.0)</f>
        <v>0</v>
      </c>
      <c r="P1222" s="2">
        <f>IFERROR(__xludf.DUMMYFUNCTION("""COMPUTED_VALUE"""),7.0)</f>
        <v>7</v>
      </c>
      <c r="Q1222" s="2">
        <f>IFERROR(__xludf.DUMMYFUNCTION("""COMPUTED_VALUE"""),10.0)</f>
        <v>10</v>
      </c>
      <c r="R1222" s="2">
        <f>IFERROR(__xludf.DUMMYFUNCTION("""COMPUTED_VALUE"""),2025.0)</f>
        <v>2025</v>
      </c>
      <c r="S1222" s="2" t="str">
        <f>IFERROR(__xludf.DUMMYFUNCTION("""COMPUTED_VALUE"""),"Digizag")</f>
        <v>Digizag</v>
      </c>
      <c r="T1222" s="2" t="str">
        <f>IFERROR(__xludf.DUMMYFUNCTION("""COMPUTED_VALUE"""),"Digizag")</f>
        <v>Digizag</v>
      </c>
      <c r="U1222" s="5">
        <f>IFERROR(__xludf.DUMMYFUNCTION("""COMPUTED_VALUE"""),64.07504485380001)</f>
        <v>64.07504485</v>
      </c>
      <c r="V1222" s="2"/>
      <c r="W1222" s="2"/>
      <c r="X1222" s="2"/>
      <c r="Y1222" s="2"/>
      <c r="Z1222" s="2"/>
    </row>
    <row r="1223">
      <c r="A1223" s="6">
        <f>IFERROR(__xludf.DUMMYFUNCTION("""COMPUTED_VALUE"""),45938.25033564815)</f>
        <v>45938.25034</v>
      </c>
      <c r="B1223" s="2" t="str">
        <f>IFERROR(__xludf.DUMMYFUNCTION("""COMPUTED_VALUE"""),"October")</f>
        <v>October</v>
      </c>
      <c r="C1223" s="3">
        <f>IFERROR(__xludf.DUMMYFUNCTION("""COMPUTED_VALUE"""),161760.0)</f>
        <v>161760</v>
      </c>
      <c r="D1223" s="2" t="str">
        <f>IFERROR(__xludf.DUMMYFUNCTION("""COMPUTED_VALUE"""),"DB6")</f>
        <v>DB6</v>
      </c>
      <c r="E1223" s="2" t="str">
        <f>IFERROR(__xludf.DUMMYFUNCTION("""COMPUTED_VALUE"""),"Digizag")</f>
        <v>Digizag</v>
      </c>
      <c r="F1223" s="2" t="str">
        <f>IFERROR(__xludf.DUMMYFUNCTION("""COMPUTED_VALUE"""),"QHR157256")</f>
        <v>QHR157256</v>
      </c>
      <c r="G1223" s="2" t="str">
        <f>IFERROR(__xludf.DUMMYFUNCTION("""COMPUTED_VALUE"""),"UAE")</f>
        <v>UAE</v>
      </c>
      <c r="H1223" s="4">
        <f>IFERROR(__xludf.DUMMYFUNCTION("""COMPUTED_VALUE"""),140.0)</f>
        <v>140</v>
      </c>
      <c r="I1223" s="3">
        <f>IFERROR(__xludf.DUMMYFUNCTION("""COMPUTED_VALUE"""),0.0)</f>
        <v>0</v>
      </c>
      <c r="J1223" s="4">
        <f>IFERROR(__xludf.DUMMYFUNCTION("""COMPUTED_VALUE"""),14.0)</f>
        <v>14</v>
      </c>
      <c r="K1223" s="2"/>
      <c r="L1223" s="2" t="str">
        <f>IFERROR(__xludf.DUMMYFUNCTION("""COMPUTED_VALUE"""),"Delivered")</f>
        <v>Delivered</v>
      </c>
      <c r="M1223" s="2" t="str">
        <f>IFERROR(__xludf.DUMMYFUNCTION("""COMPUTED_VALUE"""),"")</f>
        <v></v>
      </c>
      <c r="N1223" s="2" t="str">
        <f>IFERROR(__xludf.DUMMYFUNCTION("""COMPUTED_VALUE"""),"Credit, Debit , Apple Pay")</f>
        <v>Credit, Debit , Apple Pay</v>
      </c>
      <c r="O1223" s="4">
        <f>IFERROR(__xludf.DUMMYFUNCTION("""COMPUTED_VALUE"""),0.0)</f>
        <v>0</v>
      </c>
      <c r="P1223" s="2">
        <f>IFERROR(__xludf.DUMMYFUNCTION("""COMPUTED_VALUE"""),8.0)</f>
        <v>8</v>
      </c>
      <c r="Q1223" s="2">
        <f>IFERROR(__xludf.DUMMYFUNCTION("""COMPUTED_VALUE"""),10.0)</f>
        <v>10</v>
      </c>
      <c r="R1223" s="2">
        <f>IFERROR(__xludf.DUMMYFUNCTION("""COMPUTED_VALUE"""),2025.0)</f>
        <v>2025</v>
      </c>
      <c r="S1223" s="2" t="str">
        <f>IFERROR(__xludf.DUMMYFUNCTION("""COMPUTED_VALUE"""),"Digizag")</f>
        <v>Digizag</v>
      </c>
      <c r="T1223" s="2" t="str">
        <f>IFERROR(__xludf.DUMMYFUNCTION("""COMPUTED_VALUE"""),"Digizag")</f>
        <v>Digizag</v>
      </c>
      <c r="U1223" s="5">
        <f>IFERROR(__xludf.DUMMYFUNCTION("""COMPUTED_VALUE"""),38.12117092)</f>
        <v>38.12117092</v>
      </c>
      <c r="V1223" s="2"/>
      <c r="W1223" s="2"/>
      <c r="X1223" s="2"/>
      <c r="Y1223" s="2"/>
      <c r="Z1223" s="2"/>
    </row>
    <row r="1224">
      <c r="A1224" s="6">
        <f>IFERROR(__xludf.DUMMYFUNCTION("""COMPUTED_VALUE"""),45938.44569444445)</f>
        <v>45938.44569</v>
      </c>
      <c r="B1224" s="2" t="str">
        <f>IFERROR(__xludf.DUMMYFUNCTION("""COMPUTED_VALUE"""),"October")</f>
        <v>October</v>
      </c>
      <c r="C1224" s="3">
        <f>IFERROR(__xludf.DUMMYFUNCTION("""COMPUTED_VALUE"""),245733.0)</f>
        <v>245733</v>
      </c>
      <c r="D1224" s="2" t="str">
        <f>IFERROR(__xludf.DUMMYFUNCTION("""COMPUTED_VALUE"""),"ZM22")</f>
        <v>ZM22</v>
      </c>
      <c r="E1224" s="2" t="str">
        <f>IFERROR(__xludf.DUMMYFUNCTION("""COMPUTED_VALUE"""),"Imported from file Digizag.xlsx")</f>
        <v>Imported from file Digizag.xlsx</v>
      </c>
      <c r="F1224" s="2" t="str">
        <f>IFERROR(__xludf.DUMMYFUNCTION("""COMPUTED_VALUE"""),"MRM968307")</f>
        <v>MRM968307</v>
      </c>
      <c r="G1224" s="2" t="str">
        <f>IFERROR(__xludf.DUMMYFUNCTION("""COMPUTED_VALUE"""),"UAE")</f>
        <v>UAE</v>
      </c>
      <c r="H1224" s="4">
        <f>IFERROR(__xludf.DUMMYFUNCTION("""COMPUTED_VALUE"""),148.0)</f>
        <v>148</v>
      </c>
      <c r="I1224" s="3">
        <f>IFERROR(__xludf.DUMMYFUNCTION("""COMPUTED_VALUE"""),0.0)</f>
        <v>0</v>
      </c>
      <c r="J1224" s="4">
        <f>IFERROR(__xludf.DUMMYFUNCTION("""COMPUTED_VALUE"""),14.8)</f>
        <v>14.8</v>
      </c>
      <c r="K1224" s="2"/>
      <c r="L1224" s="2" t="str">
        <f>IFERROR(__xludf.DUMMYFUNCTION("""COMPUTED_VALUE"""),"Delivered")</f>
        <v>Delivered</v>
      </c>
      <c r="M1224" s="2" t="str">
        <f>IFERROR(__xludf.DUMMYFUNCTION("""COMPUTED_VALUE"""),"")</f>
        <v></v>
      </c>
      <c r="N1224" s="2" t="str">
        <f>IFERROR(__xludf.DUMMYFUNCTION("""COMPUTED_VALUE"""),"Credit, Debit , Apple Pay")</f>
        <v>Credit, Debit , Apple Pay</v>
      </c>
      <c r="O1224" s="4">
        <f>IFERROR(__xludf.DUMMYFUNCTION("""COMPUTED_VALUE"""),0.0)</f>
        <v>0</v>
      </c>
      <c r="P1224" s="2">
        <f>IFERROR(__xludf.DUMMYFUNCTION("""COMPUTED_VALUE"""),8.0)</f>
        <v>8</v>
      </c>
      <c r="Q1224" s="2">
        <f>IFERROR(__xludf.DUMMYFUNCTION("""COMPUTED_VALUE"""),10.0)</f>
        <v>10</v>
      </c>
      <c r="R1224" s="2">
        <f>IFERROR(__xludf.DUMMYFUNCTION("""COMPUTED_VALUE"""),2025.0)</f>
        <v>2025</v>
      </c>
      <c r="S1224" s="2" t="str">
        <f>IFERROR(__xludf.DUMMYFUNCTION("""COMPUTED_VALUE"""),"Digizag")</f>
        <v>Digizag</v>
      </c>
      <c r="T1224" s="2" t="str">
        <f>IFERROR(__xludf.DUMMYFUNCTION("""COMPUTED_VALUE"""),"Digizag")</f>
        <v>Digizag</v>
      </c>
      <c r="U1224" s="5">
        <f>IFERROR(__xludf.DUMMYFUNCTION("""COMPUTED_VALUE"""),40.299523543999996)</f>
        <v>40.29952354</v>
      </c>
      <c r="V1224" s="2"/>
      <c r="W1224" s="2"/>
      <c r="X1224" s="2"/>
      <c r="Y1224" s="2"/>
      <c r="Z1224" s="2"/>
    </row>
    <row r="1225">
      <c r="A1225" s="6">
        <f>IFERROR(__xludf.DUMMYFUNCTION("""COMPUTED_VALUE"""),45938.548854166664)</f>
        <v>45938.54885</v>
      </c>
      <c r="B1225" s="2" t="str">
        <f>IFERROR(__xludf.DUMMYFUNCTION("""COMPUTED_VALUE"""),"October")</f>
        <v>October</v>
      </c>
      <c r="C1225" s="3">
        <f>IFERROR(__xludf.DUMMYFUNCTION("""COMPUTED_VALUE"""),480857.0)</f>
        <v>480857</v>
      </c>
      <c r="D1225" s="2" t="str">
        <f>IFERROR(__xludf.DUMMYFUNCTION("""COMPUTED_VALUE"""),"DB6")</f>
        <v>DB6</v>
      </c>
      <c r="E1225" s="2" t="str">
        <f>IFERROR(__xludf.DUMMYFUNCTION("""COMPUTED_VALUE"""),"Digizag")</f>
        <v>Digizag</v>
      </c>
      <c r="F1225" s="2" t="str">
        <f>IFERROR(__xludf.DUMMYFUNCTION("""COMPUTED_VALUE"""),"WGV548259")</f>
        <v>WGV548259</v>
      </c>
      <c r="G1225" s="2" t="str">
        <f>IFERROR(__xludf.DUMMYFUNCTION("""COMPUTED_VALUE"""),"Kingdom of Saudi Arabia")</f>
        <v>Kingdom of Saudi Arabia</v>
      </c>
      <c r="H1225" s="4">
        <f>IFERROR(__xludf.DUMMYFUNCTION("""COMPUTED_VALUE"""),390.0)</f>
        <v>390</v>
      </c>
      <c r="I1225" s="3">
        <f>IFERROR(__xludf.DUMMYFUNCTION("""COMPUTED_VALUE"""),0.0)</f>
        <v>0</v>
      </c>
      <c r="J1225" s="4">
        <f>IFERROR(__xludf.DUMMYFUNCTION("""COMPUTED_VALUE"""),30.0)</f>
        <v>30</v>
      </c>
      <c r="K1225" s="2"/>
      <c r="L1225" s="2" t="str">
        <f>IFERROR(__xludf.DUMMYFUNCTION("""COMPUTED_VALUE"""),"Delivered")</f>
        <v>Delivered</v>
      </c>
      <c r="M1225" s="2" t="str">
        <f>IFERROR(__xludf.DUMMYFUNCTION("""COMPUTED_VALUE"""),"")</f>
        <v></v>
      </c>
      <c r="N1225" s="2" t="str">
        <f>IFERROR(__xludf.DUMMYFUNCTION("""COMPUTED_VALUE"""),"Credit, Debit, Apple Pay")</f>
        <v>Credit, Debit, Apple Pay</v>
      </c>
      <c r="O1225" s="4">
        <f>IFERROR(__xludf.DUMMYFUNCTION("""COMPUTED_VALUE"""),0.0)</f>
        <v>0</v>
      </c>
      <c r="P1225" s="2">
        <f>IFERROR(__xludf.DUMMYFUNCTION("""COMPUTED_VALUE"""),8.0)</f>
        <v>8</v>
      </c>
      <c r="Q1225" s="2">
        <f>IFERROR(__xludf.DUMMYFUNCTION("""COMPUTED_VALUE"""),10.0)</f>
        <v>10</v>
      </c>
      <c r="R1225" s="2">
        <f>IFERROR(__xludf.DUMMYFUNCTION("""COMPUTED_VALUE"""),2025.0)</f>
        <v>2025</v>
      </c>
      <c r="S1225" s="2" t="str">
        <f>IFERROR(__xludf.DUMMYFUNCTION("""COMPUTED_VALUE"""),"Digizag")</f>
        <v>Digizag</v>
      </c>
      <c r="T1225" s="2" t="str">
        <f>IFERROR(__xludf.DUMMYFUNCTION("""COMPUTED_VALUE"""),"Digizag")</f>
        <v>Digizag</v>
      </c>
      <c r="U1225" s="5">
        <f>IFERROR(__xludf.DUMMYFUNCTION("""COMPUTED_VALUE"""),103.99195794)</f>
        <v>103.9919579</v>
      </c>
      <c r="V1225" s="2"/>
      <c r="W1225" s="2"/>
      <c r="X1225" s="2"/>
      <c r="Y1225" s="2"/>
      <c r="Z1225" s="2"/>
    </row>
    <row r="1226">
      <c r="A1226" s="6">
        <f>IFERROR(__xludf.DUMMYFUNCTION("""COMPUTED_VALUE"""),45938.609560185185)</f>
        <v>45938.60956</v>
      </c>
      <c r="B1226" s="2" t="str">
        <f>IFERROR(__xludf.DUMMYFUNCTION("""COMPUTED_VALUE"""),"October")</f>
        <v>October</v>
      </c>
      <c r="C1226" s="3">
        <f>IFERROR(__xludf.DUMMYFUNCTION("""COMPUTED_VALUE"""),346445.0)</f>
        <v>346445</v>
      </c>
      <c r="D1226" s="2" t="str">
        <f>IFERROR(__xludf.DUMMYFUNCTION("""COMPUTED_VALUE"""),"DB3")</f>
        <v>DB3</v>
      </c>
      <c r="E1226" s="2" t="str">
        <f>IFERROR(__xludf.DUMMYFUNCTION("""COMPUTED_VALUE"""),"Imported from file Digizag.xlsx")</f>
        <v>Imported from file Digizag.xlsx</v>
      </c>
      <c r="F1226" s="2" t="str">
        <f>IFERROR(__xludf.DUMMYFUNCTION("""COMPUTED_VALUE"""),"HXE475732")</f>
        <v>HXE475732</v>
      </c>
      <c r="G1226" s="2" t="str">
        <f>IFERROR(__xludf.DUMMYFUNCTION("""COMPUTED_VALUE"""),"Kuwait")</f>
        <v>Kuwait</v>
      </c>
      <c r="H1226" s="4">
        <f>IFERROR(__xludf.DUMMYFUNCTION("""COMPUTED_VALUE"""),8.95)</f>
        <v>8.95</v>
      </c>
      <c r="I1226" s="3">
        <f>IFERROR(__xludf.DUMMYFUNCTION("""COMPUTED_VALUE"""),0.0)</f>
        <v>0</v>
      </c>
      <c r="J1226" s="4">
        <f>IFERROR(__xludf.DUMMYFUNCTION("""COMPUTED_VALUE"""),0.895)</f>
        <v>0.895</v>
      </c>
      <c r="K1226" s="2"/>
      <c r="L1226" s="2" t="str">
        <f>IFERROR(__xludf.DUMMYFUNCTION("""COMPUTED_VALUE"""),"Delivered")</f>
        <v>Delivered</v>
      </c>
      <c r="M1226" s="2" t="str">
        <f>IFERROR(__xludf.DUMMYFUNCTION("""COMPUTED_VALUE"""),"KD")</f>
        <v>KD</v>
      </c>
      <c r="N1226" s="2" t="str">
        <f>IFERROR(__xludf.DUMMYFUNCTION("""COMPUTED_VALUE"""),"Credit, Debit, Knet")</f>
        <v>Credit, Debit, Knet</v>
      </c>
      <c r="O1226" s="4">
        <f>IFERROR(__xludf.DUMMYFUNCTION("""COMPUTED_VALUE"""),0.0)</f>
        <v>0</v>
      </c>
      <c r="P1226" s="2">
        <f>IFERROR(__xludf.DUMMYFUNCTION("""COMPUTED_VALUE"""),8.0)</f>
        <v>8</v>
      </c>
      <c r="Q1226" s="2">
        <f>IFERROR(__xludf.DUMMYFUNCTION("""COMPUTED_VALUE"""),10.0)</f>
        <v>10</v>
      </c>
      <c r="R1226" s="2">
        <f>IFERROR(__xludf.DUMMYFUNCTION("""COMPUTED_VALUE"""),2025.0)</f>
        <v>2025</v>
      </c>
      <c r="S1226" s="2" t="str">
        <f>IFERROR(__xludf.DUMMYFUNCTION("""COMPUTED_VALUE"""),"Digizag")</f>
        <v>Digizag</v>
      </c>
      <c r="T1226" s="2" t="str">
        <f>IFERROR(__xludf.DUMMYFUNCTION("""COMPUTED_VALUE"""),"Digizag")</f>
        <v>Digizag</v>
      </c>
      <c r="U1226" s="5">
        <f>IFERROR(__xludf.DUMMYFUNCTION("""COMPUTED_VALUE"""),29.182548999999998)</f>
        <v>29.182549</v>
      </c>
      <c r="V1226" s="2"/>
      <c r="W1226" s="2"/>
      <c r="X1226" s="2"/>
      <c r="Y1226" s="2"/>
      <c r="Z1226" s="2"/>
    </row>
    <row r="1227">
      <c r="A1227" s="6">
        <f>IFERROR(__xludf.DUMMYFUNCTION("""COMPUTED_VALUE"""),45938.654965277776)</f>
        <v>45938.65497</v>
      </c>
      <c r="B1227" s="2" t="str">
        <f>IFERROR(__xludf.DUMMYFUNCTION("""COMPUTED_VALUE"""),"October")</f>
        <v>October</v>
      </c>
      <c r="C1227" s="3">
        <f>IFERROR(__xludf.DUMMYFUNCTION("""COMPUTED_VALUE"""),181781.0)</f>
        <v>181781</v>
      </c>
      <c r="D1227" s="2" t="str">
        <f>IFERROR(__xludf.DUMMYFUNCTION("""COMPUTED_VALUE"""),"ZM22")</f>
        <v>ZM22</v>
      </c>
      <c r="E1227" s="2" t="str">
        <f>IFERROR(__xludf.DUMMYFUNCTION("""COMPUTED_VALUE"""),"Imported from file Digizag.xlsx")</f>
        <v>Imported from file Digizag.xlsx</v>
      </c>
      <c r="F1227" s="2" t="str">
        <f>IFERROR(__xludf.DUMMYFUNCTION("""COMPUTED_VALUE"""),"NQB896143")</f>
        <v>NQB896143</v>
      </c>
      <c r="G1227" s="2" t="str">
        <f>IFERROR(__xludf.DUMMYFUNCTION("""COMPUTED_VALUE"""),"Kingdom of Saudi Arabia")</f>
        <v>Kingdom of Saudi Arabia</v>
      </c>
      <c r="H1227" s="4">
        <f>IFERROR(__xludf.DUMMYFUNCTION("""COMPUTED_VALUE"""),161.82)</f>
        <v>161.82</v>
      </c>
      <c r="I1227" s="3">
        <f>IFERROR(__xludf.DUMMYFUNCTION("""COMPUTED_VALUE"""),0.0)</f>
        <v>0</v>
      </c>
      <c r="J1227" s="4">
        <f>IFERROR(__xludf.DUMMYFUNCTION("""COMPUTED_VALUE"""),30.0)</f>
        <v>30</v>
      </c>
      <c r="K1227" s="2"/>
      <c r="L1227" s="2" t="str">
        <f>IFERROR(__xludf.DUMMYFUNCTION("""COMPUTED_VALUE"""),"Delivered")</f>
        <v>Delivered</v>
      </c>
      <c r="M1227" s="2" t="str">
        <f>IFERROR(__xludf.DUMMYFUNCTION("""COMPUTED_VALUE"""),"")</f>
        <v></v>
      </c>
      <c r="N1227" s="2" t="str">
        <f>IFERROR(__xludf.DUMMYFUNCTION("""COMPUTED_VALUE"""),"Credit, Debit, Apple Pay")</f>
        <v>Credit, Debit, Apple Pay</v>
      </c>
      <c r="O1227" s="4">
        <f>IFERROR(__xludf.DUMMYFUNCTION("""COMPUTED_VALUE"""),0.0)</f>
        <v>0</v>
      </c>
      <c r="P1227" s="2">
        <f>IFERROR(__xludf.DUMMYFUNCTION("""COMPUTED_VALUE"""),8.0)</f>
        <v>8</v>
      </c>
      <c r="Q1227" s="2">
        <f>IFERROR(__xludf.DUMMYFUNCTION("""COMPUTED_VALUE"""),10.0)</f>
        <v>10</v>
      </c>
      <c r="R1227" s="2">
        <f>IFERROR(__xludf.DUMMYFUNCTION("""COMPUTED_VALUE"""),2025.0)</f>
        <v>2025</v>
      </c>
      <c r="S1227" s="2" t="str">
        <f>IFERROR(__xludf.DUMMYFUNCTION("""COMPUTED_VALUE"""),"Digizag")</f>
        <v>Digizag</v>
      </c>
      <c r="T1227" s="2" t="str">
        <f>IFERROR(__xludf.DUMMYFUNCTION("""COMPUTED_VALUE"""),"Digizag")</f>
        <v>Digizag</v>
      </c>
      <c r="U1227" s="5">
        <f>IFERROR(__xludf.DUMMYFUNCTION("""COMPUTED_VALUE"""),43.14866316372)</f>
        <v>43.14866316</v>
      </c>
      <c r="V1227" s="2"/>
      <c r="W1227" s="2"/>
      <c r="X1227" s="2"/>
      <c r="Y1227" s="2"/>
      <c r="Z1227" s="2"/>
    </row>
    <row r="1228">
      <c r="A1228" s="6">
        <f>IFERROR(__xludf.DUMMYFUNCTION("""COMPUTED_VALUE"""),45938.75611111111)</f>
        <v>45938.75611</v>
      </c>
      <c r="B1228" s="2" t="str">
        <f>IFERROR(__xludf.DUMMYFUNCTION("""COMPUTED_VALUE"""),"October")</f>
        <v>October</v>
      </c>
      <c r="C1228" s="3">
        <f>IFERROR(__xludf.DUMMYFUNCTION("""COMPUTED_VALUE"""),678056.0)</f>
        <v>678056</v>
      </c>
      <c r="D1228" s="2" t="str">
        <f>IFERROR(__xludf.DUMMYFUNCTION("""COMPUTED_VALUE"""),"DB7")</f>
        <v>DB7</v>
      </c>
      <c r="E1228" s="2" t="str">
        <f>IFERROR(__xludf.DUMMYFUNCTION("""COMPUTED_VALUE"""),"Digizag")</f>
        <v>Digizag</v>
      </c>
      <c r="F1228" s="2" t="str">
        <f>IFERROR(__xludf.DUMMYFUNCTION("""COMPUTED_VALUE"""),"XVK668054")</f>
        <v>XVK668054</v>
      </c>
      <c r="G1228" s="2" t="str">
        <f>IFERROR(__xludf.DUMMYFUNCTION("""COMPUTED_VALUE"""),"Kuwait")</f>
        <v>Kuwait</v>
      </c>
      <c r="H1228" s="4">
        <f>IFERROR(__xludf.DUMMYFUNCTION("""COMPUTED_VALUE"""),7.5)</f>
        <v>7.5</v>
      </c>
      <c r="I1228" s="3">
        <f>IFERROR(__xludf.DUMMYFUNCTION("""COMPUTED_VALUE"""),0.0)</f>
        <v>0</v>
      </c>
      <c r="J1228" s="4">
        <f>IFERROR(__xludf.DUMMYFUNCTION("""COMPUTED_VALUE"""),0.75)</f>
        <v>0.75</v>
      </c>
      <c r="K1228" s="2"/>
      <c r="L1228" s="2" t="str">
        <f>IFERROR(__xludf.DUMMYFUNCTION("""COMPUTED_VALUE"""),"Delivered")</f>
        <v>Delivered</v>
      </c>
      <c r="M1228" s="2" t="str">
        <f>IFERROR(__xludf.DUMMYFUNCTION("""COMPUTED_VALUE"""),"KD")</f>
        <v>KD</v>
      </c>
      <c r="N1228" s="2" t="str">
        <f>IFERROR(__xludf.DUMMYFUNCTION("""COMPUTED_VALUE"""),"Credit, Debit, Knet")</f>
        <v>Credit, Debit, Knet</v>
      </c>
      <c r="O1228" s="4">
        <f>IFERROR(__xludf.DUMMYFUNCTION("""COMPUTED_VALUE"""),0.0)</f>
        <v>0</v>
      </c>
      <c r="P1228" s="2">
        <f>IFERROR(__xludf.DUMMYFUNCTION("""COMPUTED_VALUE"""),8.0)</f>
        <v>8</v>
      </c>
      <c r="Q1228" s="2">
        <f>IFERROR(__xludf.DUMMYFUNCTION("""COMPUTED_VALUE"""),10.0)</f>
        <v>10</v>
      </c>
      <c r="R1228" s="2">
        <f>IFERROR(__xludf.DUMMYFUNCTION("""COMPUTED_VALUE"""),2025.0)</f>
        <v>2025</v>
      </c>
      <c r="S1228" s="2" t="str">
        <f>IFERROR(__xludf.DUMMYFUNCTION("""COMPUTED_VALUE"""),"Digizag")</f>
        <v>Digizag</v>
      </c>
      <c r="T1228" s="2" t="str">
        <f>IFERROR(__xludf.DUMMYFUNCTION("""COMPUTED_VALUE"""),"Digizag")</f>
        <v>Digizag</v>
      </c>
      <c r="U1228" s="5">
        <f>IFERROR(__xludf.DUMMYFUNCTION("""COMPUTED_VALUE"""),24.454649999999997)</f>
        <v>24.45465</v>
      </c>
      <c r="V1228" s="2"/>
      <c r="W1228" s="2"/>
      <c r="X1228" s="2"/>
      <c r="Y1228" s="2"/>
      <c r="Z1228" s="2"/>
    </row>
    <row r="1229">
      <c r="A1229" s="6">
        <f>IFERROR(__xludf.DUMMYFUNCTION("""COMPUTED_VALUE"""),45938.791597222225)</f>
        <v>45938.7916</v>
      </c>
      <c r="B1229" s="2" t="str">
        <f>IFERROR(__xludf.DUMMYFUNCTION("""COMPUTED_VALUE"""),"October")</f>
        <v>October</v>
      </c>
      <c r="C1229" s="2">
        <f>IFERROR(__xludf.DUMMYFUNCTION("""COMPUTED_VALUE"""),813289.0)</f>
        <v>813289</v>
      </c>
      <c r="D1229" s="2" t="str">
        <f>IFERROR(__xludf.DUMMYFUNCTION("""COMPUTED_VALUE"""),"RR22")</f>
        <v>RR22</v>
      </c>
      <c r="E1229" s="2" t="str">
        <f>IFERROR(__xludf.DUMMYFUNCTION("""COMPUTED_VALUE"""),"Imported from file Digizag.xlsx")</f>
        <v>Imported from file Digizag.xlsx</v>
      </c>
      <c r="F1229" s="2" t="str">
        <f>IFERROR(__xludf.DUMMYFUNCTION("""COMPUTED_VALUE"""),"DJX759450")</f>
        <v>DJX759450</v>
      </c>
      <c r="G1229" s="2" t="str">
        <f>IFERROR(__xludf.DUMMYFUNCTION("""COMPUTED_VALUE"""),"UAE")</f>
        <v>UAE</v>
      </c>
      <c r="H1229" s="2">
        <f>IFERROR(__xludf.DUMMYFUNCTION("""COMPUTED_VALUE"""),90.0)</f>
        <v>90</v>
      </c>
      <c r="I1229" s="2">
        <f>IFERROR(__xludf.DUMMYFUNCTION("""COMPUTED_VALUE"""),0.0)</f>
        <v>0</v>
      </c>
      <c r="J1229" s="2">
        <f>IFERROR(__xludf.DUMMYFUNCTION("""COMPUTED_VALUE"""),9.0)</f>
        <v>9</v>
      </c>
      <c r="K1229" s="2"/>
      <c r="L1229" s="2" t="str">
        <f>IFERROR(__xludf.DUMMYFUNCTION("""COMPUTED_VALUE"""),"Delivered")</f>
        <v>Delivered</v>
      </c>
      <c r="M1229" s="2" t="str">
        <f>IFERROR(__xludf.DUMMYFUNCTION("""COMPUTED_VALUE"""),"")</f>
        <v></v>
      </c>
      <c r="N1229" s="2" t="str">
        <f>IFERROR(__xludf.DUMMYFUNCTION("""COMPUTED_VALUE"""),"Credit, Debit , Apple Pay")</f>
        <v>Credit, Debit , Apple Pay</v>
      </c>
      <c r="O1229" s="2">
        <f>IFERROR(__xludf.DUMMYFUNCTION("""COMPUTED_VALUE"""),0.0)</f>
        <v>0</v>
      </c>
      <c r="P1229" s="2">
        <f>IFERROR(__xludf.DUMMYFUNCTION("""COMPUTED_VALUE"""),8.0)</f>
        <v>8</v>
      </c>
      <c r="Q1229" s="2">
        <f>IFERROR(__xludf.DUMMYFUNCTION("""COMPUTED_VALUE"""),10.0)</f>
        <v>10</v>
      </c>
      <c r="R1229" s="2">
        <f>IFERROR(__xludf.DUMMYFUNCTION("""COMPUTED_VALUE"""),2025.0)</f>
        <v>2025</v>
      </c>
      <c r="S1229" s="2" t="str">
        <f>IFERROR(__xludf.DUMMYFUNCTION("""COMPUTED_VALUE"""),"Digizag")</f>
        <v>Digizag</v>
      </c>
      <c r="T1229" s="2" t="str">
        <f>IFERROR(__xludf.DUMMYFUNCTION("""COMPUTED_VALUE"""),"Digizag")</f>
        <v>Digizag</v>
      </c>
      <c r="U1229" s="5">
        <f>IFERROR(__xludf.DUMMYFUNCTION("""COMPUTED_VALUE"""),24.50646702)</f>
        <v>24.50646702</v>
      </c>
      <c r="V1229" s="2"/>
      <c r="W1229" s="2"/>
      <c r="X1229" s="2"/>
      <c r="Y1229" s="2"/>
      <c r="Z1229" s="2"/>
    </row>
    <row r="1230">
      <c r="A1230" s="6">
        <f>IFERROR(__xludf.DUMMYFUNCTION("""COMPUTED_VALUE"""),45938.827731481484)</f>
        <v>45938.82773</v>
      </c>
      <c r="B1230" s="2" t="str">
        <f>IFERROR(__xludf.DUMMYFUNCTION("""COMPUTED_VALUE"""),"October")</f>
        <v>October</v>
      </c>
      <c r="C1230" s="2">
        <f>IFERROR(__xludf.DUMMYFUNCTION("""COMPUTED_VALUE"""),813317.0)</f>
        <v>813317</v>
      </c>
      <c r="D1230" s="2" t="str">
        <f>IFERROR(__xludf.DUMMYFUNCTION("""COMPUTED_VALUE"""),"JM")</f>
        <v>JM</v>
      </c>
      <c r="E1230" s="2" t="str">
        <f>IFERROR(__xludf.DUMMYFUNCTION("""COMPUTED_VALUE"""),"DigiZag")</f>
        <v>DigiZag</v>
      </c>
      <c r="F1230" s="2" t="str">
        <f>IFERROR(__xludf.DUMMYFUNCTION("""COMPUTED_VALUE"""),"YVD730073")</f>
        <v>YVD730073</v>
      </c>
      <c r="G1230" s="2" t="str">
        <f>IFERROR(__xludf.DUMMYFUNCTION("""COMPUTED_VALUE"""),"UAE")</f>
        <v>UAE</v>
      </c>
      <c r="H1230" s="2">
        <f>IFERROR(__xludf.DUMMYFUNCTION("""COMPUTED_VALUE"""),220.4)</f>
        <v>220.4</v>
      </c>
      <c r="I1230" s="2">
        <f>IFERROR(__xludf.DUMMYFUNCTION("""COMPUTED_VALUE"""),1.0)</f>
        <v>1</v>
      </c>
      <c r="J1230" s="2">
        <f>IFERROR(__xludf.DUMMYFUNCTION("""COMPUTED_VALUE"""),22.04)</f>
        <v>22.04</v>
      </c>
      <c r="K1230" s="2"/>
      <c r="L1230" s="2" t="str">
        <f>IFERROR(__xludf.DUMMYFUNCTION("""COMPUTED_VALUE"""),"Cancelled")</f>
        <v>Cancelled</v>
      </c>
      <c r="M1230" s="2" t="str">
        <f>IFERROR(__xludf.DUMMYFUNCTION("""COMPUTED_VALUE"""),"")</f>
        <v></v>
      </c>
      <c r="N1230" s="2" t="str">
        <f>IFERROR(__xludf.DUMMYFUNCTION("""COMPUTED_VALUE"""),"Cash")</f>
        <v>Cash</v>
      </c>
      <c r="O1230" s="2">
        <f>IFERROR(__xludf.DUMMYFUNCTION("""COMPUTED_VALUE"""),198.36)</f>
        <v>198.36</v>
      </c>
      <c r="P1230" s="2">
        <f>IFERROR(__xludf.DUMMYFUNCTION("""COMPUTED_VALUE"""),8.0)</f>
        <v>8</v>
      </c>
      <c r="Q1230" s="2">
        <f>IFERROR(__xludf.DUMMYFUNCTION("""COMPUTED_VALUE"""),10.0)</f>
        <v>10</v>
      </c>
      <c r="R1230" s="2">
        <f>IFERROR(__xludf.DUMMYFUNCTION("""COMPUTED_VALUE"""),2025.0)</f>
        <v>2025</v>
      </c>
      <c r="S1230" s="2" t="str">
        <f>IFERROR(__xludf.DUMMYFUNCTION("""COMPUTED_VALUE"""),"Digizag")</f>
        <v>Digizag</v>
      </c>
      <c r="T1230" s="2" t="str">
        <f>IFERROR(__xludf.DUMMYFUNCTION("""COMPUTED_VALUE"""),"Digizag")</f>
        <v>Digizag</v>
      </c>
      <c r="U1230" s="5">
        <f>IFERROR(__xludf.DUMMYFUNCTION("""COMPUTED_VALUE"""),60.0136147912)</f>
        <v>60.01361479</v>
      </c>
      <c r="V1230" s="2"/>
      <c r="W1230" s="2"/>
      <c r="X1230" s="2"/>
      <c r="Y1230" s="2"/>
      <c r="Z1230" s="2"/>
    </row>
    <row r="1231">
      <c r="A1231" s="6">
        <f>IFERROR(__xludf.DUMMYFUNCTION("""COMPUTED_VALUE"""),45939.21549768518)</f>
        <v>45939.2155</v>
      </c>
      <c r="B1231" s="2" t="str">
        <f>IFERROR(__xludf.DUMMYFUNCTION("""COMPUTED_VALUE"""),"October")</f>
        <v>October</v>
      </c>
      <c r="C1231" s="2">
        <f>IFERROR(__xludf.DUMMYFUNCTION("""COMPUTED_VALUE"""),786710.0)</f>
        <v>786710</v>
      </c>
      <c r="D1231" s="2" t="str">
        <f>IFERROR(__xludf.DUMMYFUNCTION("""COMPUTED_VALUE"""),"DB6")</f>
        <v>DB6</v>
      </c>
      <c r="E1231" s="2" t="str">
        <f>IFERROR(__xludf.DUMMYFUNCTION("""COMPUTED_VALUE"""),"Digizag")</f>
        <v>Digizag</v>
      </c>
      <c r="F1231" s="2" t="str">
        <f>IFERROR(__xludf.DUMMYFUNCTION("""COMPUTED_VALUE"""),"NGZ463486")</f>
        <v>NGZ463486</v>
      </c>
      <c r="G1231" s="2" t="str">
        <f>IFERROR(__xludf.DUMMYFUNCTION("""COMPUTED_VALUE"""),"UAE")</f>
        <v>UAE</v>
      </c>
      <c r="H1231" s="2">
        <f>IFERROR(__xludf.DUMMYFUNCTION("""COMPUTED_VALUE"""),793.3)</f>
        <v>793.3</v>
      </c>
      <c r="I1231" s="2">
        <f>IFERROR(__xludf.DUMMYFUNCTION("""COMPUTED_VALUE"""),0.0)</f>
        <v>0</v>
      </c>
      <c r="J1231" s="2">
        <f>IFERROR(__xludf.DUMMYFUNCTION("""COMPUTED_VALUE"""),79.33)</f>
        <v>79.33</v>
      </c>
      <c r="K1231" s="2"/>
      <c r="L1231" s="2" t="str">
        <f>IFERROR(__xludf.DUMMYFUNCTION("""COMPUTED_VALUE"""),"Delivered")</f>
        <v>Delivered</v>
      </c>
      <c r="M1231" s="2" t="str">
        <f>IFERROR(__xludf.DUMMYFUNCTION("""COMPUTED_VALUE"""),"")</f>
        <v></v>
      </c>
      <c r="N1231" s="2" t="str">
        <f>IFERROR(__xludf.DUMMYFUNCTION("""COMPUTED_VALUE"""),"Credit, Debit , Apple Pay")</f>
        <v>Credit, Debit , Apple Pay</v>
      </c>
      <c r="O1231" s="2">
        <f>IFERROR(__xludf.DUMMYFUNCTION("""COMPUTED_VALUE"""),0.0)</f>
        <v>0</v>
      </c>
      <c r="P1231" s="2">
        <f>IFERROR(__xludf.DUMMYFUNCTION("""COMPUTED_VALUE"""),9.0)</f>
        <v>9</v>
      </c>
      <c r="Q1231" s="2">
        <f>IFERROR(__xludf.DUMMYFUNCTION("""COMPUTED_VALUE"""),10.0)</f>
        <v>10</v>
      </c>
      <c r="R1231" s="2">
        <f>IFERROR(__xludf.DUMMYFUNCTION("""COMPUTED_VALUE"""),2025.0)</f>
        <v>2025</v>
      </c>
      <c r="S1231" s="2" t="str">
        <f>IFERROR(__xludf.DUMMYFUNCTION("""COMPUTED_VALUE"""),"Digizag")</f>
        <v>Digizag</v>
      </c>
      <c r="T1231" s="2" t="str">
        <f>IFERROR(__xludf.DUMMYFUNCTION("""COMPUTED_VALUE"""),"Digizag")</f>
        <v>Digizag</v>
      </c>
      <c r="U1231" s="5">
        <f>IFERROR(__xludf.DUMMYFUNCTION("""COMPUTED_VALUE"""),216.01089207739997)</f>
        <v>216.0108921</v>
      </c>
      <c r="V1231" s="2"/>
      <c r="W1231" s="2"/>
      <c r="X1231" s="2"/>
      <c r="Y1231" s="2"/>
      <c r="Z1231" s="2"/>
    </row>
    <row r="1232">
      <c r="A1232" s="6">
        <f>IFERROR(__xludf.DUMMYFUNCTION("""COMPUTED_VALUE"""),45939.23386574074)</f>
        <v>45939.23387</v>
      </c>
      <c r="B1232" s="2" t="str">
        <f>IFERROR(__xludf.DUMMYFUNCTION("""COMPUTED_VALUE"""),"October")</f>
        <v>October</v>
      </c>
      <c r="C1232" s="2">
        <f>IFERROR(__xludf.DUMMYFUNCTION("""COMPUTED_VALUE"""),267848.0)</f>
        <v>267848</v>
      </c>
      <c r="D1232" s="2" t="str">
        <f>IFERROR(__xludf.DUMMYFUNCTION("""COMPUTED_VALUE"""),"CC22")</f>
        <v>CC22</v>
      </c>
      <c r="E1232" s="2" t="str">
        <f>IFERROR(__xludf.DUMMYFUNCTION("""COMPUTED_VALUE"""),"Imported from file Digizag.xlsx")</f>
        <v>Imported from file Digizag.xlsx</v>
      </c>
      <c r="F1232" s="2" t="str">
        <f>IFERROR(__xludf.DUMMYFUNCTION("""COMPUTED_VALUE"""),"HDU586806")</f>
        <v>HDU586806</v>
      </c>
      <c r="G1232" s="2" t="str">
        <f>IFERROR(__xludf.DUMMYFUNCTION("""COMPUTED_VALUE"""),"Kingdom of Saudi Arabia")</f>
        <v>Kingdom of Saudi Arabia</v>
      </c>
      <c r="H1232" s="2">
        <f>IFERROR(__xludf.DUMMYFUNCTION("""COMPUTED_VALUE"""),60.88)</f>
        <v>60.88</v>
      </c>
      <c r="I1232" s="2">
        <f>IFERROR(__xludf.DUMMYFUNCTION("""COMPUTED_VALUE"""),0.0)</f>
        <v>0</v>
      </c>
      <c r="J1232" s="2">
        <f>IFERROR(__xludf.DUMMYFUNCTION("""COMPUTED_VALUE"""),15.22)</f>
        <v>15.22</v>
      </c>
      <c r="K1232" s="2"/>
      <c r="L1232" s="2" t="str">
        <f>IFERROR(__xludf.DUMMYFUNCTION("""COMPUTED_VALUE"""),"Delivered")</f>
        <v>Delivered</v>
      </c>
      <c r="M1232" s="2" t="str">
        <f>IFERROR(__xludf.DUMMYFUNCTION("""COMPUTED_VALUE"""),"")</f>
        <v></v>
      </c>
      <c r="N1232" s="2" t="str">
        <f>IFERROR(__xludf.DUMMYFUNCTION("""COMPUTED_VALUE"""),"Credit, Debit, Apple Pay")</f>
        <v>Credit, Debit, Apple Pay</v>
      </c>
      <c r="O1232" s="2">
        <f>IFERROR(__xludf.DUMMYFUNCTION("""COMPUTED_VALUE"""),0.0)</f>
        <v>0</v>
      </c>
      <c r="P1232" s="2">
        <f>IFERROR(__xludf.DUMMYFUNCTION("""COMPUTED_VALUE"""),9.0)</f>
        <v>9</v>
      </c>
      <c r="Q1232" s="2">
        <f>IFERROR(__xludf.DUMMYFUNCTION("""COMPUTED_VALUE"""),10.0)</f>
        <v>10</v>
      </c>
      <c r="R1232" s="2">
        <f>IFERROR(__xludf.DUMMYFUNCTION("""COMPUTED_VALUE"""),2025.0)</f>
        <v>2025</v>
      </c>
      <c r="S1232" s="2" t="str">
        <f>IFERROR(__xludf.DUMMYFUNCTION("""COMPUTED_VALUE"""),"Digizag")</f>
        <v>Digizag</v>
      </c>
      <c r="T1232" s="2" t="str">
        <f>IFERROR(__xludf.DUMMYFUNCTION("""COMPUTED_VALUE"""),"Digizag")</f>
        <v>Digizag</v>
      </c>
      <c r="U1232" s="5">
        <f>IFERROR(__xludf.DUMMYFUNCTION("""COMPUTED_VALUE"""),16.233411280480002)</f>
        <v>16.23341128</v>
      </c>
      <c r="V1232" s="2"/>
      <c r="W1232" s="2"/>
      <c r="X1232" s="2"/>
      <c r="Y1232" s="2"/>
      <c r="Z1232" s="2"/>
    </row>
    <row r="1233">
      <c r="A1233" s="6">
        <f>IFERROR(__xludf.DUMMYFUNCTION("""COMPUTED_VALUE"""),45939.47783564815)</f>
        <v>45939.47784</v>
      </c>
      <c r="B1233" s="2" t="str">
        <f>IFERROR(__xludf.DUMMYFUNCTION("""COMPUTED_VALUE"""),"October")</f>
        <v>October</v>
      </c>
      <c r="C1233" s="2">
        <f>IFERROR(__xludf.DUMMYFUNCTION("""COMPUTED_VALUE"""),39410.0)</f>
        <v>39410</v>
      </c>
      <c r="D1233" s="2" t="str">
        <f>IFERROR(__xludf.DUMMYFUNCTION("""COMPUTED_VALUE"""),"CC22")</f>
        <v>CC22</v>
      </c>
      <c r="E1233" s="2" t="str">
        <f>IFERROR(__xludf.DUMMYFUNCTION("""COMPUTED_VALUE"""),"Imported from file Digizag.xlsx")</f>
        <v>Imported from file Digizag.xlsx</v>
      </c>
      <c r="F1233" s="2" t="str">
        <f>IFERROR(__xludf.DUMMYFUNCTION("""COMPUTED_VALUE"""),"ZEE358384")</f>
        <v>ZEE358384</v>
      </c>
      <c r="G1233" s="2" t="str">
        <f>IFERROR(__xludf.DUMMYFUNCTION("""COMPUTED_VALUE"""),"Kuwait")</f>
        <v>Kuwait</v>
      </c>
      <c r="H1233" s="2">
        <f>IFERROR(__xludf.DUMMYFUNCTION("""COMPUTED_VALUE"""),19.95)</f>
        <v>19.95</v>
      </c>
      <c r="I1233" s="2">
        <f>IFERROR(__xludf.DUMMYFUNCTION("""COMPUTED_VALUE"""),0.0)</f>
        <v>0</v>
      </c>
      <c r="J1233" s="2">
        <f>IFERROR(__xludf.DUMMYFUNCTION("""COMPUTED_VALUE"""),1.995)</f>
        <v>1.995</v>
      </c>
      <c r="K1233" s="2"/>
      <c r="L1233" s="2" t="str">
        <f>IFERROR(__xludf.DUMMYFUNCTION("""COMPUTED_VALUE"""),"Delivered")</f>
        <v>Delivered</v>
      </c>
      <c r="M1233" s="2" t="str">
        <f>IFERROR(__xludf.DUMMYFUNCTION("""COMPUTED_VALUE"""),"KD")</f>
        <v>KD</v>
      </c>
      <c r="N1233" s="2" t="str">
        <f>IFERROR(__xludf.DUMMYFUNCTION("""COMPUTED_VALUE"""),"Credit, Debit, Knet")</f>
        <v>Credit, Debit, Knet</v>
      </c>
      <c r="O1233" s="2">
        <f>IFERROR(__xludf.DUMMYFUNCTION("""COMPUTED_VALUE"""),0.0)</f>
        <v>0</v>
      </c>
      <c r="P1233" s="2">
        <f>IFERROR(__xludf.DUMMYFUNCTION("""COMPUTED_VALUE"""),9.0)</f>
        <v>9</v>
      </c>
      <c r="Q1233" s="2">
        <f>IFERROR(__xludf.DUMMYFUNCTION("""COMPUTED_VALUE"""),10.0)</f>
        <v>10</v>
      </c>
      <c r="R1233" s="2">
        <f>IFERROR(__xludf.DUMMYFUNCTION("""COMPUTED_VALUE"""),2025.0)</f>
        <v>2025</v>
      </c>
      <c r="S1233" s="2" t="str">
        <f>IFERROR(__xludf.DUMMYFUNCTION("""COMPUTED_VALUE"""),"Digizag")</f>
        <v>Digizag</v>
      </c>
      <c r="T1233" s="2" t="str">
        <f>IFERROR(__xludf.DUMMYFUNCTION("""COMPUTED_VALUE"""),"Digizag")</f>
        <v>Digizag</v>
      </c>
      <c r="U1233" s="5">
        <f>IFERROR(__xludf.DUMMYFUNCTION("""COMPUTED_VALUE"""),65.049369)</f>
        <v>65.049369</v>
      </c>
      <c r="V1233" s="2"/>
      <c r="W1233" s="2"/>
      <c r="X1233" s="2"/>
      <c r="Y1233" s="2"/>
      <c r="Z1233" s="2"/>
    </row>
    <row r="1234">
      <c r="A1234" s="6">
        <f>IFERROR(__xludf.DUMMYFUNCTION("""COMPUTED_VALUE"""),45939.539513888885)</f>
        <v>45939.53951</v>
      </c>
      <c r="B1234" s="2" t="str">
        <f>IFERROR(__xludf.DUMMYFUNCTION("""COMPUTED_VALUE"""),"October")</f>
        <v>October</v>
      </c>
      <c r="C1234" s="2">
        <f>IFERROR(__xludf.DUMMYFUNCTION("""COMPUTED_VALUE"""),813691.0)</f>
        <v>813691</v>
      </c>
      <c r="D1234" s="2" t="str">
        <f>IFERROR(__xludf.DUMMYFUNCTION("""COMPUTED_VALUE"""),"ZM22")</f>
        <v>ZM22</v>
      </c>
      <c r="E1234" s="2" t="str">
        <f>IFERROR(__xludf.DUMMYFUNCTION("""COMPUTED_VALUE"""),"Imported from file Digizag.xlsx")</f>
        <v>Imported from file Digizag.xlsx</v>
      </c>
      <c r="F1234" s="2" t="str">
        <f>IFERROR(__xludf.DUMMYFUNCTION("""COMPUTED_VALUE"""),"AUJ414922")</f>
        <v>AUJ414922</v>
      </c>
      <c r="G1234" s="2" t="str">
        <f>IFERROR(__xludf.DUMMYFUNCTION("""COMPUTED_VALUE"""),"UAE")</f>
        <v>UAE</v>
      </c>
      <c r="H1234" s="2">
        <f>IFERROR(__xludf.DUMMYFUNCTION("""COMPUTED_VALUE"""),729.0)</f>
        <v>729</v>
      </c>
      <c r="I1234" s="2">
        <f>IFERROR(__xludf.DUMMYFUNCTION("""COMPUTED_VALUE"""),0.0)</f>
        <v>0</v>
      </c>
      <c r="J1234" s="2">
        <f>IFERROR(__xludf.DUMMYFUNCTION("""COMPUTED_VALUE"""),72.9)</f>
        <v>72.9</v>
      </c>
      <c r="K1234" s="2"/>
      <c r="L1234" s="2" t="str">
        <f>IFERROR(__xludf.DUMMYFUNCTION("""COMPUTED_VALUE"""),"Delivered")</f>
        <v>Delivered</v>
      </c>
      <c r="M1234" s="2" t="str">
        <f>IFERROR(__xludf.DUMMYFUNCTION("""COMPUTED_VALUE"""),"")</f>
        <v></v>
      </c>
      <c r="N1234" s="2" t="str">
        <f>IFERROR(__xludf.DUMMYFUNCTION("""COMPUTED_VALUE"""),"Credit, Debit , Apple Pay")</f>
        <v>Credit, Debit , Apple Pay</v>
      </c>
      <c r="O1234" s="2">
        <f>IFERROR(__xludf.DUMMYFUNCTION("""COMPUTED_VALUE"""),0.0)</f>
        <v>0</v>
      </c>
      <c r="P1234" s="2">
        <f>IFERROR(__xludf.DUMMYFUNCTION("""COMPUTED_VALUE"""),9.0)</f>
        <v>9</v>
      </c>
      <c r="Q1234" s="2">
        <f>IFERROR(__xludf.DUMMYFUNCTION("""COMPUTED_VALUE"""),10.0)</f>
        <v>10</v>
      </c>
      <c r="R1234" s="2">
        <f>IFERROR(__xludf.DUMMYFUNCTION("""COMPUTED_VALUE"""),2025.0)</f>
        <v>2025</v>
      </c>
      <c r="S1234" s="2" t="str">
        <f>IFERROR(__xludf.DUMMYFUNCTION("""COMPUTED_VALUE"""),"Digizag")</f>
        <v>Digizag</v>
      </c>
      <c r="T1234" s="2" t="str">
        <f>IFERROR(__xludf.DUMMYFUNCTION("""COMPUTED_VALUE"""),"Digizag")</f>
        <v>Digizag</v>
      </c>
      <c r="U1234" s="5">
        <f>IFERROR(__xludf.DUMMYFUNCTION("""COMPUTED_VALUE"""),198.502382862)</f>
        <v>198.5023829</v>
      </c>
      <c r="V1234" s="2"/>
      <c r="W1234" s="2"/>
      <c r="X1234" s="2"/>
      <c r="Y1234" s="2"/>
      <c r="Z1234" s="2"/>
    </row>
    <row r="1235">
      <c r="A1235" s="6">
        <f>IFERROR(__xludf.DUMMYFUNCTION("""COMPUTED_VALUE"""),45939.54798611111)</f>
        <v>45939.54799</v>
      </c>
      <c r="B1235" s="2" t="str">
        <f>IFERROR(__xludf.DUMMYFUNCTION("""COMPUTED_VALUE"""),"October")</f>
        <v>October</v>
      </c>
      <c r="C1235" s="2">
        <f>IFERROR(__xludf.DUMMYFUNCTION("""COMPUTED_VALUE"""),29312.0)</f>
        <v>29312</v>
      </c>
      <c r="D1235" s="2" t="str">
        <f>IFERROR(__xludf.DUMMYFUNCTION("""COMPUTED_VALUE"""),"ZM22")</f>
        <v>ZM22</v>
      </c>
      <c r="E1235" s="2" t="str">
        <f>IFERROR(__xludf.DUMMYFUNCTION("""COMPUTED_VALUE"""),"Imported from file Digizag.xlsx")</f>
        <v>Imported from file Digizag.xlsx</v>
      </c>
      <c r="F1235" s="2" t="str">
        <f>IFERROR(__xludf.DUMMYFUNCTION("""COMPUTED_VALUE"""),"RHX734665")</f>
        <v>RHX734665</v>
      </c>
      <c r="G1235" s="2" t="str">
        <f>IFERROR(__xludf.DUMMYFUNCTION("""COMPUTED_VALUE"""),"Kingdom of Saudi Arabia")</f>
        <v>Kingdom of Saudi Arabia</v>
      </c>
      <c r="H1235" s="2">
        <f>IFERROR(__xludf.DUMMYFUNCTION("""COMPUTED_VALUE"""),337.22)</f>
        <v>337.22</v>
      </c>
      <c r="I1235" s="2">
        <f>IFERROR(__xludf.DUMMYFUNCTION("""COMPUTED_VALUE"""),0.0)</f>
        <v>0</v>
      </c>
      <c r="J1235" s="2">
        <f>IFERROR(__xludf.DUMMYFUNCTION("""COMPUTED_VALUE"""),30.0)</f>
        <v>30</v>
      </c>
      <c r="K1235" s="2"/>
      <c r="L1235" s="2" t="str">
        <f>IFERROR(__xludf.DUMMYFUNCTION("""COMPUTED_VALUE"""),"Delivered")</f>
        <v>Delivered</v>
      </c>
      <c r="M1235" s="2" t="str">
        <f>IFERROR(__xludf.DUMMYFUNCTION("""COMPUTED_VALUE"""),"")</f>
        <v></v>
      </c>
      <c r="N1235" s="2" t="str">
        <f>IFERROR(__xludf.DUMMYFUNCTION("""COMPUTED_VALUE"""),"Credit, Debit, Apple Pay")</f>
        <v>Credit, Debit, Apple Pay</v>
      </c>
      <c r="O1235" s="2">
        <f>IFERROR(__xludf.DUMMYFUNCTION("""COMPUTED_VALUE"""),0.0)</f>
        <v>0</v>
      </c>
      <c r="P1235" s="2">
        <f>IFERROR(__xludf.DUMMYFUNCTION("""COMPUTED_VALUE"""),9.0)</f>
        <v>9</v>
      </c>
      <c r="Q1235" s="2">
        <f>IFERROR(__xludf.DUMMYFUNCTION("""COMPUTED_VALUE"""),10.0)</f>
        <v>10</v>
      </c>
      <c r="R1235" s="2">
        <f>IFERROR(__xludf.DUMMYFUNCTION("""COMPUTED_VALUE"""),2025.0)</f>
        <v>2025</v>
      </c>
      <c r="S1235" s="2" t="str">
        <f>IFERROR(__xludf.DUMMYFUNCTION("""COMPUTED_VALUE"""),"Digizag")</f>
        <v>Digizag</v>
      </c>
      <c r="T1235" s="2" t="str">
        <f>IFERROR(__xludf.DUMMYFUNCTION("""COMPUTED_VALUE"""),"Digizag")</f>
        <v>Digizag</v>
      </c>
      <c r="U1235" s="5">
        <f>IFERROR(__xludf.DUMMYFUNCTION("""COMPUTED_VALUE"""),89.91837963212002)</f>
        <v>89.91837963</v>
      </c>
      <c r="V1235" s="2"/>
      <c r="W1235" s="2"/>
      <c r="X1235" s="2"/>
      <c r="Y1235" s="2"/>
      <c r="Z1235" s="2"/>
    </row>
    <row r="1236">
      <c r="A1236" s="6">
        <f>IFERROR(__xludf.DUMMYFUNCTION("""COMPUTED_VALUE"""),45939.62709490741)</f>
        <v>45939.62709</v>
      </c>
      <c r="B1236" s="2" t="str">
        <f>IFERROR(__xludf.DUMMYFUNCTION("""COMPUTED_VALUE"""),"October")</f>
        <v>October</v>
      </c>
      <c r="C1236" s="2">
        <f>IFERROR(__xludf.DUMMYFUNCTION("""COMPUTED_VALUE"""),813777.0)</f>
        <v>813777</v>
      </c>
      <c r="D1236" s="2" t="str">
        <f>IFERROR(__xludf.DUMMYFUNCTION("""COMPUTED_VALUE"""),"DB6")</f>
        <v>DB6</v>
      </c>
      <c r="E1236" s="2" t="str">
        <f>IFERROR(__xludf.DUMMYFUNCTION("""COMPUTED_VALUE"""),"Digizag")</f>
        <v>Digizag</v>
      </c>
      <c r="F1236" s="2" t="str">
        <f>IFERROR(__xludf.DUMMYFUNCTION("""COMPUTED_VALUE"""),"DEJ900813")</f>
        <v>DEJ900813</v>
      </c>
      <c r="G1236" s="2" t="str">
        <f>IFERROR(__xludf.DUMMYFUNCTION("""COMPUTED_VALUE"""),"UAE")</f>
        <v>UAE</v>
      </c>
      <c r="H1236" s="2">
        <f>IFERROR(__xludf.DUMMYFUNCTION("""COMPUTED_VALUE"""),1199.0)</f>
        <v>1199</v>
      </c>
      <c r="I1236" s="2">
        <f>IFERROR(__xludf.DUMMYFUNCTION("""COMPUTED_VALUE"""),0.0)</f>
        <v>0</v>
      </c>
      <c r="J1236" s="2">
        <f>IFERROR(__xludf.DUMMYFUNCTION("""COMPUTED_VALUE"""),119.9)</f>
        <v>119.9</v>
      </c>
      <c r="K1236" s="2"/>
      <c r="L1236" s="2" t="str">
        <f>IFERROR(__xludf.DUMMYFUNCTION("""COMPUTED_VALUE"""),"Delivered")</f>
        <v>Delivered</v>
      </c>
      <c r="M1236" s="2" t="str">
        <f>IFERROR(__xludf.DUMMYFUNCTION("""COMPUTED_VALUE"""),"")</f>
        <v></v>
      </c>
      <c r="N1236" s="2" t="str">
        <f>IFERROR(__xludf.DUMMYFUNCTION("""COMPUTED_VALUE"""),"Credit, Debit , Apple Pay")</f>
        <v>Credit, Debit , Apple Pay</v>
      </c>
      <c r="O1236" s="2">
        <f>IFERROR(__xludf.DUMMYFUNCTION("""COMPUTED_VALUE"""),0.0)</f>
        <v>0</v>
      </c>
      <c r="P1236" s="2">
        <f>IFERROR(__xludf.DUMMYFUNCTION("""COMPUTED_VALUE"""),9.0)</f>
        <v>9</v>
      </c>
      <c r="Q1236" s="2">
        <f>IFERROR(__xludf.DUMMYFUNCTION("""COMPUTED_VALUE"""),10.0)</f>
        <v>10</v>
      </c>
      <c r="R1236" s="2">
        <f>IFERROR(__xludf.DUMMYFUNCTION("""COMPUTED_VALUE"""),2025.0)</f>
        <v>2025</v>
      </c>
      <c r="S1236" s="2" t="str">
        <f>IFERROR(__xludf.DUMMYFUNCTION("""COMPUTED_VALUE"""),"Digizag")</f>
        <v>Digizag</v>
      </c>
      <c r="T1236" s="2" t="str">
        <f>IFERROR(__xludf.DUMMYFUNCTION("""COMPUTED_VALUE"""),"Digizag")</f>
        <v>Digizag</v>
      </c>
      <c r="U1236" s="5">
        <f>IFERROR(__xludf.DUMMYFUNCTION("""COMPUTED_VALUE"""),326.480599522)</f>
        <v>326.4805995</v>
      </c>
      <c r="V1236" s="2"/>
      <c r="W1236" s="2"/>
      <c r="X1236" s="2"/>
      <c r="Y1236" s="2"/>
      <c r="Z1236" s="2"/>
    </row>
    <row r="1237">
      <c r="A1237" s="6">
        <f>IFERROR(__xludf.DUMMYFUNCTION("""COMPUTED_VALUE"""),45940.10766203704)</f>
        <v>45940.10766</v>
      </c>
      <c r="B1237" s="2" t="str">
        <f>IFERROR(__xludf.DUMMYFUNCTION("""COMPUTED_VALUE"""),"October")</f>
        <v>October</v>
      </c>
      <c r="C1237" s="2">
        <f>IFERROR(__xludf.DUMMYFUNCTION("""COMPUTED_VALUE"""),814150.0)</f>
        <v>814150</v>
      </c>
      <c r="D1237" s="2" t="str">
        <f>IFERROR(__xludf.DUMMYFUNCTION("""COMPUTED_VALUE"""),"ZM22")</f>
        <v>ZM22</v>
      </c>
      <c r="E1237" s="2" t="str">
        <f>IFERROR(__xludf.DUMMYFUNCTION("""COMPUTED_VALUE"""),"Imported from file Digizag.xlsx")</f>
        <v>Imported from file Digizag.xlsx</v>
      </c>
      <c r="F1237" s="2" t="str">
        <f>IFERROR(__xludf.DUMMYFUNCTION("""COMPUTED_VALUE"""),"ZLN758313")</f>
        <v>ZLN758313</v>
      </c>
      <c r="G1237" s="2" t="str">
        <f>IFERROR(__xludf.DUMMYFUNCTION("""COMPUTED_VALUE"""),"Kingdom of Saudi Arabia")</f>
        <v>Kingdom of Saudi Arabia</v>
      </c>
      <c r="H1237" s="2">
        <f>IFERROR(__xludf.DUMMYFUNCTION("""COMPUTED_VALUE"""),244.0)</f>
        <v>244</v>
      </c>
      <c r="I1237" s="2">
        <f>IFERROR(__xludf.DUMMYFUNCTION("""COMPUTED_VALUE"""),0.0)</f>
        <v>0</v>
      </c>
      <c r="J1237" s="2">
        <f>IFERROR(__xludf.DUMMYFUNCTION("""COMPUTED_VALUE"""),30.0)</f>
        <v>30</v>
      </c>
      <c r="K1237" s="2"/>
      <c r="L1237" s="2" t="str">
        <f>IFERROR(__xludf.DUMMYFUNCTION("""COMPUTED_VALUE"""),"Delivered")</f>
        <v>Delivered</v>
      </c>
      <c r="M1237" s="2" t="str">
        <f>IFERROR(__xludf.DUMMYFUNCTION("""COMPUTED_VALUE"""),"")</f>
        <v></v>
      </c>
      <c r="N1237" s="2" t="str">
        <f>IFERROR(__xludf.DUMMYFUNCTION("""COMPUTED_VALUE"""),"Credit, Debit, Apple Pay")</f>
        <v>Credit, Debit, Apple Pay</v>
      </c>
      <c r="O1237" s="2">
        <f>IFERROR(__xludf.DUMMYFUNCTION("""COMPUTED_VALUE"""),0.0)</f>
        <v>0</v>
      </c>
      <c r="P1237" s="2">
        <f>IFERROR(__xludf.DUMMYFUNCTION("""COMPUTED_VALUE"""),10.0)</f>
        <v>10</v>
      </c>
      <c r="Q1237" s="2">
        <f>IFERROR(__xludf.DUMMYFUNCTION("""COMPUTED_VALUE"""),10.0)</f>
        <v>10</v>
      </c>
      <c r="R1237" s="2">
        <f>IFERROR(__xludf.DUMMYFUNCTION("""COMPUTED_VALUE"""),2025.0)</f>
        <v>2025</v>
      </c>
      <c r="S1237" s="2" t="str">
        <f>IFERROR(__xludf.DUMMYFUNCTION("""COMPUTED_VALUE"""),"Digizag")</f>
        <v>Digizag</v>
      </c>
      <c r="T1237" s="2" t="str">
        <f>IFERROR(__xludf.DUMMYFUNCTION("""COMPUTED_VALUE"""),"Digizag")</f>
        <v>Digizag</v>
      </c>
      <c r="U1237" s="5">
        <f>IFERROR(__xludf.DUMMYFUNCTION("""COMPUTED_VALUE"""),65.061635224)</f>
        <v>65.06163522</v>
      </c>
      <c r="V1237" s="2"/>
      <c r="W1237" s="2"/>
      <c r="X1237" s="2"/>
      <c r="Y1237" s="2"/>
      <c r="Z1237" s="2"/>
    </row>
    <row r="1238">
      <c r="A1238" s="6">
        <f>IFERROR(__xludf.DUMMYFUNCTION("""COMPUTED_VALUE"""),45940.19694444445)</f>
        <v>45940.19694</v>
      </c>
      <c r="B1238" s="2" t="str">
        <f>IFERROR(__xludf.DUMMYFUNCTION("""COMPUTED_VALUE"""),"October")</f>
        <v>October</v>
      </c>
      <c r="C1238" s="2">
        <f>IFERROR(__xludf.DUMMYFUNCTION("""COMPUTED_VALUE"""),814167.0)</f>
        <v>814167</v>
      </c>
      <c r="D1238" s="2" t="str">
        <f>IFERROR(__xludf.DUMMYFUNCTION("""COMPUTED_VALUE"""),"RR22")</f>
        <v>RR22</v>
      </c>
      <c r="E1238" s="2" t="str">
        <f>IFERROR(__xludf.DUMMYFUNCTION("""COMPUTED_VALUE"""),"Imported from file Digizag.xlsx")</f>
        <v>Imported from file Digizag.xlsx</v>
      </c>
      <c r="F1238" s="2" t="str">
        <f>IFERROR(__xludf.DUMMYFUNCTION("""COMPUTED_VALUE"""),"AMK342612")</f>
        <v>AMK342612</v>
      </c>
      <c r="G1238" s="2" t="str">
        <f>IFERROR(__xludf.DUMMYFUNCTION("""COMPUTED_VALUE"""),"UAE")</f>
        <v>UAE</v>
      </c>
      <c r="H1238" s="2">
        <f>IFERROR(__xludf.DUMMYFUNCTION("""COMPUTED_VALUE"""),355.0)</f>
        <v>355</v>
      </c>
      <c r="I1238" s="2">
        <f>IFERROR(__xludf.DUMMYFUNCTION("""COMPUTED_VALUE"""),0.0)</f>
        <v>0</v>
      </c>
      <c r="J1238" s="2">
        <f>IFERROR(__xludf.DUMMYFUNCTION("""COMPUTED_VALUE"""),35.5)</f>
        <v>35.5</v>
      </c>
      <c r="K1238" s="2"/>
      <c r="L1238" s="2" t="str">
        <f>IFERROR(__xludf.DUMMYFUNCTION("""COMPUTED_VALUE"""),"Delivered")</f>
        <v>Delivered</v>
      </c>
      <c r="M1238" s="2" t="str">
        <f>IFERROR(__xludf.DUMMYFUNCTION("""COMPUTED_VALUE"""),"")</f>
        <v></v>
      </c>
      <c r="N1238" s="2" t="str">
        <f>IFERROR(__xludf.DUMMYFUNCTION("""COMPUTED_VALUE"""),"Credit, Debit , Apple Pay")</f>
        <v>Credit, Debit , Apple Pay</v>
      </c>
      <c r="O1238" s="2">
        <f>IFERROR(__xludf.DUMMYFUNCTION("""COMPUTED_VALUE"""),0.0)</f>
        <v>0</v>
      </c>
      <c r="P1238" s="2">
        <f>IFERROR(__xludf.DUMMYFUNCTION("""COMPUTED_VALUE"""),10.0)</f>
        <v>10</v>
      </c>
      <c r="Q1238" s="2">
        <f>IFERROR(__xludf.DUMMYFUNCTION("""COMPUTED_VALUE"""),10.0)</f>
        <v>10</v>
      </c>
      <c r="R1238" s="2">
        <f>IFERROR(__xludf.DUMMYFUNCTION("""COMPUTED_VALUE"""),2025.0)</f>
        <v>2025</v>
      </c>
      <c r="S1238" s="2" t="str">
        <f>IFERROR(__xludf.DUMMYFUNCTION("""COMPUTED_VALUE"""),"Digizag")</f>
        <v>Digizag</v>
      </c>
      <c r="T1238" s="2" t="str">
        <f>IFERROR(__xludf.DUMMYFUNCTION("""COMPUTED_VALUE"""),"Digizag")</f>
        <v>Digizag</v>
      </c>
      <c r="U1238" s="5">
        <f>IFERROR(__xludf.DUMMYFUNCTION("""COMPUTED_VALUE"""),96.66439769)</f>
        <v>96.66439769</v>
      </c>
      <c r="V1238" s="2"/>
      <c r="W1238" s="2"/>
      <c r="X1238" s="2"/>
      <c r="Y1238" s="2"/>
      <c r="Z1238" s="2"/>
    </row>
    <row r="1239">
      <c r="A1239" s="6">
        <f>IFERROR(__xludf.DUMMYFUNCTION("""COMPUTED_VALUE"""),45940.218773148146)</f>
        <v>45940.21877</v>
      </c>
      <c r="B1239" s="2" t="str">
        <f>IFERROR(__xludf.DUMMYFUNCTION("""COMPUTED_VALUE"""),"October")</f>
        <v>October</v>
      </c>
      <c r="C1239" s="2">
        <f>IFERROR(__xludf.DUMMYFUNCTION("""COMPUTED_VALUE"""),195024.0)</f>
        <v>195024</v>
      </c>
      <c r="D1239" s="2" t="str">
        <f>IFERROR(__xludf.DUMMYFUNCTION("""COMPUTED_VALUE"""),"ZM22")</f>
        <v>ZM22</v>
      </c>
      <c r="E1239" s="2" t="str">
        <f>IFERROR(__xludf.DUMMYFUNCTION("""COMPUTED_VALUE"""),"Imported from file Digizag.xlsx")</f>
        <v>Imported from file Digizag.xlsx</v>
      </c>
      <c r="F1239" s="2" t="str">
        <f>IFERROR(__xludf.DUMMYFUNCTION("""COMPUTED_VALUE"""),"PNL154553")</f>
        <v>PNL154553</v>
      </c>
      <c r="G1239" s="2" t="str">
        <f>IFERROR(__xludf.DUMMYFUNCTION("""COMPUTED_VALUE"""),"Kingdom of Saudi Arabia")</f>
        <v>Kingdom of Saudi Arabia</v>
      </c>
      <c r="H1239" s="2">
        <f>IFERROR(__xludf.DUMMYFUNCTION("""COMPUTED_VALUE"""),113.4)</f>
        <v>113.4</v>
      </c>
      <c r="I1239" s="2">
        <f>IFERROR(__xludf.DUMMYFUNCTION("""COMPUTED_VALUE"""),0.0)</f>
        <v>0</v>
      </c>
      <c r="J1239" s="2">
        <f>IFERROR(__xludf.DUMMYFUNCTION("""COMPUTED_VALUE"""),28.35)</f>
        <v>28.35</v>
      </c>
      <c r="K1239" s="2"/>
      <c r="L1239" s="2" t="str">
        <f>IFERROR(__xludf.DUMMYFUNCTION("""COMPUTED_VALUE"""),"Processing")</f>
        <v>Processing</v>
      </c>
      <c r="M1239" s="2" t="str">
        <f>IFERROR(__xludf.DUMMYFUNCTION("""COMPUTED_VALUE"""),"")</f>
        <v></v>
      </c>
      <c r="N1239" s="2" t="str">
        <f>IFERROR(__xludf.DUMMYFUNCTION("""COMPUTED_VALUE"""),"Credit, Debit, Apple Pay")</f>
        <v>Credit, Debit, Apple Pay</v>
      </c>
      <c r="O1239" s="2">
        <f>IFERROR(__xludf.DUMMYFUNCTION("""COMPUTED_VALUE"""),0.0)</f>
        <v>0</v>
      </c>
      <c r="P1239" s="2">
        <f>IFERROR(__xludf.DUMMYFUNCTION("""COMPUTED_VALUE"""),10.0)</f>
        <v>10</v>
      </c>
      <c r="Q1239" s="2">
        <f>IFERROR(__xludf.DUMMYFUNCTION("""COMPUTED_VALUE"""),10.0)</f>
        <v>10</v>
      </c>
      <c r="R1239" s="2">
        <f>IFERROR(__xludf.DUMMYFUNCTION("""COMPUTED_VALUE"""),2025.0)</f>
        <v>2025</v>
      </c>
      <c r="S1239" s="2" t="str">
        <f>IFERROR(__xludf.DUMMYFUNCTION("""COMPUTED_VALUE"""),"Digizag")</f>
        <v>Digizag</v>
      </c>
      <c r="T1239" s="2" t="str">
        <f>IFERROR(__xludf.DUMMYFUNCTION("""COMPUTED_VALUE"""),"Digizag")</f>
        <v>Digizag</v>
      </c>
      <c r="U1239" s="5">
        <f>IFERROR(__xludf.DUMMYFUNCTION("""COMPUTED_VALUE"""),30.237661616400004)</f>
        <v>30.23766162</v>
      </c>
      <c r="V1239" s="2"/>
      <c r="W1239" s="2"/>
      <c r="X1239" s="2"/>
      <c r="Y1239" s="2"/>
      <c r="Z1239" s="2"/>
    </row>
    <row r="1240">
      <c r="A1240" s="6">
        <f>IFERROR(__xludf.DUMMYFUNCTION("""COMPUTED_VALUE"""),45940.27863425926)</f>
        <v>45940.27863</v>
      </c>
      <c r="B1240" s="2" t="str">
        <f>IFERROR(__xludf.DUMMYFUNCTION("""COMPUTED_VALUE"""),"October")</f>
        <v>October</v>
      </c>
      <c r="C1240" s="2">
        <f>IFERROR(__xludf.DUMMYFUNCTION("""COMPUTED_VALUE"""),32147.0)</f>
        <v>32147</v>
      </c>
      <c r="D1240" s="2" t="str">
        <f>IFERROR(__xludf.DUMMYFUNCTION("""COMPUTED_VALUE"""),"JM")</f>
        <v>JM</v>
      </c>
      <c r="E1240" s="2" t="str">
        <f>IFERROR(__xludf.DUMMYFUNCTION("""COMPUTED_VALUE"""),"Digizag")</f>
        <v>Digizag</v>
      </c>
      <c r="F1240" s="2" t="str">
        <f>IFERROR(__xludf.DUMMYFUNCTION("""COMPUTED_VALUE"""),"PYL509199")</f>
        <v>PYL509199</v>
      </c>
      <c r="G1240" s="2" t="str">
        <f>IFERROR(__xludf.DUMMYFUNCTION("""COMPUTED_VALUE"""),"Kuwait")</f>
        <v>Kuwait</v>
      </c>
      <c r="H1240" s="2">
        <f>IFERROR(__xludf.DUMMYFUNCTION("""COMPUTED_VALUE"""),11.0)</f>
        <v>11</v>
      </c>
      <c r="I1240" s="2">
        <f>IFERROR(__xludf.DUMMYFUNCTION("""COMPUTED_VALUE"""),0.0)</f>
        <v>0</v>
      </c>
      <c r="J1240" s="2">
        <f>IFERROR(__xludf.DUMMYFUNCTION("""COMPUTED_VALUE"""),1.1)</f>
        <v>1.1</v>
      </c>
      <c r="K1240" s="2"/>
      <c r="L1240" s="2" t="str">
        <f>IFERROR(__xludf.DUMMYFUNCTION("""COMPUTED_VALUE"""),"Delivered")</f>
        <v>Delivered</v>
      </c>
      <c r="M1240" s="2" t="str">
        <f>IFERROR(__xludf.DUMMYFUNCTION("""COMPUTED_VALUE"""),"KD")</f>
        <v>KD</v>
      </c>
      <c r="N1240" s="2" t="str">
        <f>IFERROR(__xludf.DUMMYFUNCTION("""COMPUTED_VALUE"""),"Credit, Debit, Knet")</f>
        <v>Credit, Debit, Knet</v>
      </c>
      <c r="O1240" s="2">
        <f>IFERROR(__xludf.DUMMYFUNCTION("""COMPUTED_VALUE"""),0.0)</f>
        <v>0</v>
      </c>
      <c r="P1240" s="2">
        <f>IFERROR(__xludf.DUMMYFUNCTION("""COMPUTED_VALUE"""),10.0)</f>
        <v>10</v>
      </c>
      <c r="Q1240" s="2">
        <f>IFERROR(__xludf.DUMMYFUNCTION("""COMPUTED_VALUE"""),10.0)</f>
        <v>10</v>
      </c>
      <c r="R1240" s="2">
        <f>IFERROR(__xludf.DUMMYFUNCTION("""COMPUTED_VALUE"""),2025.0)</f>
        <v>2025</v>
      </c>
      <c r="S1240" s="2" t="str">
        <f>IFERROR(__xludf.DUMMYFUNCTION("""COMPUTED_VALUE"""),"Digizag")</f>
        <v>Digizag</v>
      </c>
      <c r="T1240" s="2" t="str">
        <f>IFERROR(__xludf.DUMMYFUNCTION("""COMPUTED_VALUE"""),"Digizag")</f>
        <v>Digizag</v>
      </c>
      <c r="U1240" s="5">
        <f>IFERROR(__xludf.DUMMYFUNCTION("""COMPUTED_VALUE"""),35.86682)</f>
        <v>35.86682</v>
      </c>
      <c r="V1240" s="2"/>
      <c r="W1240" s="2"/>
      <c r="X1240" s="2"/>
      <c r="Y1240" s="2"/>
      <c r="Z1240" s="2"/>
    </row>
    <row r="1241">
      <c r="A1241" s="6">
        <f>IFERROR(__xludf.DUMMYFUNCTION("""COMPUTED_VALUE"""),45940.30405092592)</f>
        <v>45940.30405</v>
      </c>
      <c r="B1241" s="2" t="str">
        <f>IFERROR(__xludf.DUMMYFUNCTION("""COMPUTED_VALUE"""),"October")</f>
        <v>October</v>
      </c>
      <c r="C1241" s="2">
        <f>IFERROR(__xludf.DUMMYFUNCTION("""COMPUTED_VALUE"""),137079.0)</f>
        <v>137079</v>
      </c>
      <c r="D1241" s="2" t="str">
        <f>IFERROR(__xludf.DUMMYFUNCTION("""COMPUTED_VALUE"""),"DB7")</f>
        <v>DB7</v>
      </c>
      <c r="E1241" s="2" t="str">
        <f>IFERROR(__xludf.DUMMYFUNCTION("""COMPUTED_VALUE"""),"Digizag")</f>
        <v>Digizag</v>
      </c>
      <c r="F1241" s="2" t="str">
        <f>IFERROR(__xludf.DUMMYFUNCTION("""COMPUTED_VALUE"""),"SVN230432")</f>
        <v>SVN230432</v>
      </c>
      <c r="G1241" s="2" t="str">
        <f>IFERROR(__xludf.DUMMYFUNCTION("""COMPUTED_VALUE"""),"Kingdom of Saudi Arabia")</f>
        <v>Kingdom of Saudi Arabia</v>
      </c>
      <c r="H1241" s="2">
        <f>IFERROR(__xludf.DUMMYFUNCTION("""COMPUTED_VALUE"""),59.81)</f>
        <v>59.81</v>
      </c>
      <c r="I1241" s="2">
        <f>IFERROR(__xludf.DUMMYFUNCTION("""COMPUTED_VALUE"""),0.0)</f>
        <v>0</v>
      </c>
      <c r="J1241" s="2">
        <f>IFERROR(__xludf.DUMMYFUNCTION("""COMPUTED_VALUE"""),14.95)</f>
        <v>14.95</v>
      </c>
      <c r="K1241" s="2"/>
      <c r="L1241" s="2" t="str">
        <f>IFERROR(__xludf.DUMMYFUNCTION("""COMPUTED_VALUE"""),"Delivered")</f>
        <v>Delivered</v>
      </c>
      <c r="M1241" s="2" t="str">
        <f>IFERROR(__xludf.DUMMYFUNCTION("""COMPUTED_VALUE"""),"")</f>
        <v></v>
      </c>
      <c r="N1241" s="2" t="str">
        <f>IFERROR(__xludf.DUMMYFUNCTION("""COMPUTED_VALUE"""),"Credit, Debit, Apple Pay")</f>
        <v>Credit, Debit, Apple Pay</v>
      </c>
      <c r="O1241" s="2">
        <f>IFERROR(__xludf.DUMMYFUNCTION("""COMPUTED_VALUE"""),0.0)</f>
        <v>0</v>
      </c>
      <c r="P1241" s="2">
        <f>IFERROR(__xludf.DUMMYFUNCTION("""COMPUTED_VALUE"""),10.0)</f>
        <v>10</v>
      </c>
      <c r="Q1241" s="2">
        <f>IFERROR(__xludf.DUMMYFUNCTION("""COMPUTED_VALUE"""),10.0)</f>
        <v>10</v>
      </c>
      <c r="R1241" s="2">
        <f>IFERROR(__xludf.DUMMYFUNCTION("""COMPUTED_VALUE"""),2025.0)</f>
        <v>2025</v>
      </c>
      <c r="S1241" s="2" t="str">
        <f>IFERROR(__xludf.DUMMYFUNCTION("""COMPUTED_VALUE"""),"Digizag")</f>
        <v>Digizag</v>
      </c>
      <c r="T1241" s="2" t="str">
        <f>IFERROR(__xludf.DUMMYFUNCTION("""COMPUTED_VALUE"""),"Digizag")</f>
        <v>Digizag</v>
      </c>
      <c r="U1241" s="5">
        <f>IFERROR(__xludf.DUMMYFUNCTION("""COMPUTED_VALUE"""),15.948100011260003)</f>
        <v>15.94810001</v>
      </c>
      <c r="V1241" s="2"/>
      <c r="W1241" s="2"/>
      <c r="X1241" s="2"/>
      <c r="Y1241" s="2"/>
      <c r="Z1241" s="2"/>
    </row>
    <row r="1242">
      <c r="A1242" s="6">
        <f>IFERROR(__xludf.DUMMYFUNCTION("""COMPUTED_VALUE"""),45940.35146990741)</f>
        <v>45940.35147</v>
      </c>
      <c r="B1242" s="2" t="str">
        <f>IFERROR(__xludf.DUMMYFUNCTION("""COMPUTED_VALUE"""),"October")</f>
        <v>October</v>
      </c>
      <c r="C1242" s="2">
        <f>IFERROR(__xludf.DUMMYFUNCTION("""COMPUTED_VALUE"""),131074.0)</f>
        <v>131074</v>
      </c>
      <c r="D1242" s="2" t="str">
        <f>IFERROR(__xludf.DUMMYFUNCTION("""COMPUTED_VALUE"""),"CC22")</f>
        <v>CC22</v>
      </c>
      <c r="E1242" s="2" t="str">
        <f>IFERROR(__xludf.DUMMYFUNCTION("""COMPUTED_VALUE"""),"Imported from file Digizag.xlsx")</f>
        <v>Imported from file Digizag.xlsx</v>
      </c>
      <c r="F1242" s="2" t="str">
        <f>IFERROR(__xludf.DUMMYFUNCTION("""COMPUTED_VALUE"""),"VMJ134650")</f>
        <v>VMJ134650</v>
      </c>
      <c r="G1242" s="2" t="str">
        <f>IFERROR(__xludf.DUMMYFUNCTION("""COMPUTED_VALUE"""),"Kuwait")</f>
        <v>Kuwait</v>
      </c>
      <c r="H1242" s="2">
        <f>IFERROR(__xludf.DUMMYFUNCTION("""COMPUTED_VALUE"""),40.85)</f>
        <v>40.85</v>
      </c>
      <c r="I1242" s="2">
        <f>IFERROR(__xludf.DUMMYFUNCTION("""COMPUTED_VALUE"""),0.0)</f>
        <v>0</v>
      </c>
      <c r="J1242" s="2">
        <f>IFERROR(__xludf.DUMMYFUNCTION("""COMPUTED_VALUE"""),4.085)</f>
        <v>4.085</v>
      </c>
      <c r="K1242" s="2"/>
      <c r="L1242" s="2" t="str">
        <f>IFERROR(__xludf.DUMMYFUNCTION("""COMPUTED_VALUE"""),"Delivered")</f>
        <v>Delivered</v>
      </c>
      <c r="M1242" s="2" t="str">
        <f>IFERROR(__xludf.DUMMYFUNCTION("""COMPUTED_VALUE"""),"KD")</f>
        <v>KD</v>
      </c>
      <c r="N1242" s="2" t="str">
        <f>IFERROR(__xludf.DUMMYFUNCTION("""COMPUTED_VALUE"""),"Credit, Debit, Knet")</f>
        <v>Credit, Debit, Knet</v>
      </c>
      <c r="O1242" s="2">
        <f>IFERROR(__xludf.DUMMYFUNCTION("""COMPUTED_VALUE"""),0.0)</f>
        <v>0</v>
      </c>
      <c r="P1242" s="2">
        <f>IFERROR(__xludf.DUMMYFUNCTION("""COMPUTED_VALUE"""),10.0)</f>
        <v>10</v>
      </c>
      <c r="Q1242" s="2">
        <f>IFERROR(__xludf.DUMMYFUNCTION("""COMPUTED_VALUE"""),10.0)</f>
        <v>10</v>
      </c>
      <c r="R1242" s="2">
        <f>IFERROR(__xludf.DUMMYFUNCTION("""COMPUTED_VALUE"""),2025.0)</f>
        <v>2025</v>
      </c>
      <c r="S1242" s="2" t="str">
        <f>IFERROR(__xludf.DUMMYFUNCTION("""COMPUTED_VALUE"""),"Digizag")</f>
        <v>Digizag</v>
      </c>
      <c r="T1242" s="2" t="str">
        <f>IFERROR(__xludf.DUMMYFUNCTION("""COMPUTED_VALUE"""),"Digizag")</f>
        <v>Digizag</v>
      </c>
      <c r="U1242" s="5">
        <f>IFERROR(__xludf.DUMMYFUNCTION("""COMPUTED_VALUE"""),133.196327)</f>
        <v>133.196327</v>
      </c>
      <c r="V1242" s="2"/>
      <c r="W1242" s="2"/>
      <c r="X1242" s="2"/>
      <c r="Y1242" s="2"/>
      <c r="Z1242" s="2"/>
    </row>
    <row r="1243">
      <c r="A1243" s="6">
        <f>IFERROR(__xludf.DUMMYFUNCTION("""COMPUTED_VALUE"""),45940.47232638889)</f>
        <v>45940.47233</v>
      </c>
      <c r="B1243" s="2" t="str">
        <f>IFERROR(__xludf.DUMMYFUNCTION("""COMPUTED_VALUE"""),"October")</f>
        <v>October</v>
      </c>
      <c r="C1243" s="2">
        <f>IFERROR(__xludf.DUMMYFUNCTION("""COMPUTED_VALUE"""),57737.0)</f>
        <v>57737</v>
      </c>
      <c r="D1243" s="2" t="str">
        <f>IFERROR(__xludf.DUMMYFUNCTION("""COMPUTED_VALUE"""),"MNN27")</f>
        <v>MNN27</v>
      </c>
      <c r="E1243" s="2" t="str">
        <f>IFERROR(__xludf.DUMMYFUNCTION("""COMPUTED_VALUE"""),"Imported from file DigiZag Bidding Codes.xlsx")</f>
        <v>Imported from file DigiZag Bidding Codes.xlsx</v>
      </c>
      <c r="F1243" s="2" t="str">
        <f>IFERROR(__xludf.DUMMYFUNCTION("""COMPUTED_VALUE"""),"UVN290573")</f>
        <v>UVN290573</v>
      </c>
      <c r="G1243" s="2" t="str">
        <f>IFERROR(__xludf.DUMMYFUNCTION("""COMPUTED_VALUE"""),"Kingdom of Saudi Arabia")</f>
        <v>Kingdom of Saudi Arabia</v>
      </c>
      <c r="H1243" s="2">
        <f>IFERROR(__xludf.DUMMYFUNCTION("""COMPUTED_VALUE"""),129.2)</f>
        <v>129.2</v>
      </c>
      <c r="I1243" s="2">
        <f>IFERROR(__xludf.DUMMYFUNCTION("""COMPUTED_VALUE"""),0.0)</f>
        <v>0</v>
      </c>
      <c r="J1243" s="2">
        <f>IFERROR(__xludf.DUMMYFUNCTION("""COMPUTED_VALUE"""),30.0)</f>
        <v>30</v>
      </c>
      <c r="K1243" s="2"/>
      <c r="L1243" s="2" t="str">
        <f>IFERROR(__xludf.DUMMYFUNCTION("""COMPUTED_VALUE"""),"Delivered")</f>
        <v>Delivered</v>
      </c>
      <c r="M1243" s="2" t="str">
        <f>IFERROR(__xludf.DUMMYFUNCTION("""COMPUTED_VALUE"""),"")</f>
        <v></v>
      </c>
      <c r="N1243" s="2" t="str">
        <f>IFERROR(__xludf.DUMMYFUNCTION("""COMPUTED_VALUE"""),"Credit, Debit, Apple Pay")</f>
        <v>Credit, Debit, Apple Pay</v>
      </c>
      <c r="O1243" s="2">
        <f>IFERROR(__xludf.DUMMYFUNCTION("""COMPUTED_VALUE"""),0.0)</f>
        <v>0</v>
      </c>
      <c r="P1243" s="2">
        <f>IFERROR(__xludf.DUMMYFUNCTION("""COMPUTED_VALUE"""),10.0)</f>
        <v>10</v>
      </c>
      <c r="Q1243" s="2">
        <f>IFERROR(__xludf.DUMMYFUNCTION("""COMPUTED_VALUE"""),10.0)</f>
        <v>10</v>
      </c>
      <c r="R1243" s="2">
        <f>IFERROR(__xludf.DUMMYFUNCTION("""COMPUTED_VALUE"""),2025.0)</f>
        <v>2025</v>
      </c>
      <c r="S1243" s="2" t="str">
        <f>IFERROR(__xludf.DUMMYFUNCTION("""COMPUTED_VALUE"""),"Digizag")</f>
        <v>Digizag</v>
      </c>
      <c r="T1243" s="2" t="str">
        <f>IFERROR(__xludf.DUMMYFUNCTION("""COMPUTED_VALUE"""),"Digizag")</f>
        <v>Digizag</v>
      </c>
      <c r="U1243" s="5">
        <f>IFERROR(__xludf.DUMMYFUNCTION("""COMPUTED_VALUE"""),34.4506691432)</f>
        <v>34.45066914</v>
      </c>
      <c r="V1243" s="2"/>
      <c r="W1243" s="2"/>
      <c r="X1243" s="2"/>
      <c r="Y1243" s="2"/>
      <c r="Z1243" s="2"/>
    </row>
    <row r="1244">
      <c r="A1244" s="6">
        <f>IFERROR(__xludf.DUMMYFUNCTION("""COMPUTED_VALUE"""),45940.487280092595)</f>
        <v>45940.48728</v>
      </c>
      <c r="B1244" s="2" t="str">
        <f>IFERROR(__xludf.DUMMYFUNCTION("""COMPUTED_VALUE"""),"October")</f>
        <v>October</v>
      </c>
      <c r="C1244" s="2">
        <f>IFERROR(__xludf.DUMMYFUNCTION("""COMPUTED_VALUE"""),10060.0)</f>
        <v>10060</v>
      </c>
      <c r="D1244" s="2" t="str">
        <f>IFERROR(__xludf.DUMMYFUNCTION("""COMPUTED_VALUE"""),"MNN19")</f>
        <v>MNN19</v>
      </c>
      <c r="E1244" s="2" t="str">
        <f>IFERROR(__xludf.DUMMYFUNCTION("""COMPUTED_VALUE"""),"Imported from file DigiZag Codes 25Feb25.xlsx")</f>
        <v>Imported from file DigiZag Codes 25Feb25.xlsx</v>
      </c>
      <c r="F1244" s="2" t="str">
        <f>IFERROR(__xludf.DUMMYFUNCTION("""COMPUTED_VALUE"""),"TAG423756")</f>
        <v>TAG423756</v>
      </c>
      <c r="G1244" s="2" t="str">
        <f>IFERROR(__xludf.DUMMYFUNCTION("""COMPUTED_VALUE"""),"Kuwait")</f>
        <v>Kuwait</v>
      </c>
      <c r="H1244" s="2">
        <f>IFERROR(__xludf.DUMMYFUNCTION("""COMPUTED_VALUE"""),36.2)</f>
        <v>36.2</v>
      </c>
      <c r="I1244" s="2">
        <f>IFERROR(__xludf.DUMMYFUNCTION("""COMPUTED_VALUE"""),0.0)</f>
        <v>0</v>
      </c>
      <c r="J1244" s="2">
        <f>IFERROR(__xludf.DUMMYFUNCTION("""COMPUTED_VALUE"""),3.62)</f>
        <v>3.62</v>
      </c>
      <c r="K1244" s="2"/>
      <c r="L1244" s="2" t="str">
        <f>IFERROR(__xludf.DUMMYFUNCTION("""COMPUTED_VALUE"""),"Delivered")</f>
        <v>Delivered</v>
      </c>
      <c r="M1244" s="2" t="str">
        <f>IFERROR(__xludf.DUMMYFUNCTION("""COMPUTED_VALUE"""),"KD")</f>
        <v>KD</v>
      </c>
      <c r="N1244" s="2" t="str">
        <f>IFERROR(__xludf.DUMMYFUNCTION("""COMPUTED_VALUE"""),"Credit, Debit, Knet")</f>
        <v>Credit, Debit, Knet</v>
      </c>
      <c r="O1244" s="2">
        <f>IFERROR(__xludf.DUMMYFUNCTION("""COMPUTED_VALUE"""),0.0)</f>
        <v>0</v>
      </c>
      <c r="P1244" s="2">
        <f>IFERROR(__xludf.DUMMYFUNCTION("""COMPUTED_VALUE"""),10.0)</f>
        <v>10</v>
      </c>
      <c r="Q1244" s="2">
        <f>IFERROR(__xludf.DUMMYFUNCTION("""COMPUTED_VALUE"""),10.0)</f>
        <v>10</v>
      </c>
      <c r="R1244" s="2">
        <f>IFERROR(__xludf.DUMMYFUNCTION("""COMPUTED_VALUE"""),2025.0)</f>
        <v>2025</v>
      </c>
      <c r="S1244" s="2" t="str">
        <f>IFERROR(__xludf.DUMMYFUNCTION("""COMPUTED_VALUE"""),"Digizag")</f>
        <v>Digizag</v>
      </c>
      <c r="T1244" s="2" t="str">
        <f>IFERROR(__xludf.DUMMYFUNCTION("""COMPUTED_VALUE"""),"Digizag")</f>
        <v>Digizag</v>
      </c>
      <c r="U1244" s="5">
        <f>IFERROR(__xludf.DUMMYFUNCTION("""COMPUTED_VALUE"""),118.03444400000001)</f>
        <v>118.034444</v>
      </c>
      <c r="V1244" s="2"/>
      <c r="W1244" s="2"/>
      <c r="X1244" s="2"/>
      <c r="Y1244" s="2"/>
      <c r="Z1244" s="2"/>
    </row>
    <row r="1245">
      <c r="A1245" s="6">
        <f>IFERROR(__xludf.DUMMYFUNCTION("""COMPUTED_VALUE"""),45940.51122685185)</f>
        <v>45940.51123</v>
      </c>
      <c r="B1245" s="2" t="str">
        <f>IFERROR(__xludf.DUMMYFUNCTION("""COMPUTED_VALUE"""),"October")</f>
        <v>October</v>
      </c>
      <c r="C1245" s="2">
        <f>IFERROR(__xludf.DUMMYFUNCTION("""COMPUTED_VALUE"""),136394.0)</f>
        <v>136394</v>
      </c>
      <c r="D1245" s="2" t="str">
        <f>IFERROR(__xludf.DUMMYFUNCTION("""COMPUTED_VALUE"""),"NAA10")</f>
        <v>NAA10</v>
      </c>
      <c r="E1245" s="2" t="str">
        <f>IFERROR(__xludf.DUMMYFUNCTION("""COMPUTED_VALUE"""),"Imported from file DigiZag Codes 25Feb25.xlsx")</f>
        <v>Imported from file DigiZag Codes 25Feb25.xlsx</v>
      </c>
      <c r="F1245" s="2" t="str">
        <f>IFERROR(__xludf.DUMMYFUNCTION("""COMPUTED_VALUE"""),"LSM190796")</f>
        <v>LSM190796</v>
      </c>
      <c r="G1245" s="2" t="str">
        <f>IFERROR(__xludf.DUMMYFUNCTION("""COMPUTED_VALUE"""),"Bahrain")</f>
        <v>Bahrain</v>
      </c>
      <c r="H1245" s="2">
        <f>IFERROR(__xludf.DUMMYFUNCTION("""COMPUTED_VALUE"""),8.53)</f>
        <v>8.53</v>
      </c>
      <c r="I1245" s="2">
        <f>IFERROR(__xludf.DUMMYFUNCTION("""COMPUTED_VALUE"""),0.0)</f>
        <v>0</v>
      </c>
      <c r="J1245" s="2">
        <f>IFERROR(__xludf.DUMMYFUNCTION("""COMPUTED_VALUE"""),0.84)</f>
        <v>0.84</v>
      </c>
      <c r="K1245" s="2"/>
      <c r="L1245" s="2" t="str">
        <f>IFERROR(__xludf.DUMMYFUNCTION("""COMPUTED_VALUE"""),"Delivered")</f>
        <v>Delivered</v>
      </c>
      <c r="M1245" s="2" t="str">
        <f>IFERROR(__xludf.DUMMYFUNCTION("""COMPUTED_VALUE"""),"BHD")</f>
        <v>BHD</v>
      </c>
      <c r="N1245" s="2" t="str">
        <f>IFERROR(__xludf.DUMMYFUNCTION("""COMPUTED_VALUE"""),"Credit, Debit")</f>
        <v>Credit, Debit</v>
      </c>
      <c r="O1245" s="2">
        <f>IFERROR(__xludf.DUMMYFUNCTION("""COMPUTED_VALUE"""),0.0)</f>
        <v>0</v>
      </c>
      <c r="P1245" s="2">
        <f>IFERROR(__xludf.DUMMYFUNCTION("""COMPUTED_VALUE"""),10.0)</f>
        <v>10</v>
      </c>
      <c r="Q1245" s="2">
        <f>IFERROR(__xludf.DUMMYFUNCTION("""COMPUTED_VALUE"""),10.0)</f>
        <v>10</v>
      </c>
      <c r="R1245" s="2">
        <f>IFERROR(__xludf.DUMMYFUNCTION("""COMPUTED_VALUE"""),2025.0)</f>
        <v>2025</v>
      </c>
      <c r="S1245" s="2" t="str">
        <f>IFERROR(__xludf.DUMMYFUNCTION("""COMPUTED_VALUE"""),"Digizag")</f>
        <v>Digizag</v>
      </c>
      <c r="T1245" s="2" t="str">
        <f>IFERROR(__xludf.DUMMYFUNCTION("""COMPUTED_VALUE"""),"Digizag")</f>
        <v>Digizag</v>
      </c>
      <c r="U1245" s="5">
        <f>IFERROR(__xludf.DUMMYFUNCTION("""COMPUTED_VALUE"""),22.629382009999997)</f>
        <v>22.62938201</v>
      </c>
      <c r="V1245" s="2"/>
      <c r="W1245" s="2"/>
      <c r="X1245" s="2"/>
      <c r="Y1245" s="2"/>
      <c r="Z1245" s="2"/>
    </row>
    <row r="1246">
      <c r="A1246" s="6">
        <f>IFERROR(__xludf.DUMMYFUNCTION("""COMPUTED_VALUE"""),45940.65388888889)</f>
        <v>45940.65389</v>
      </c>
      <c r="B1246" s="2" t="str">
        <f>IFERROR(__xludf.DUMMYFUNCTION("""COMPUTED_VALUE"""),"October")</f>
        <v>October</v>
      </c>
      <c r="C1246" s="2">
        <f>IFERROR(__xludf.DUMMYFUNCTION("""COMPUTED_VALUE"""),745365.0)</f>
        <v>745365</v>
      </c>
      <c r="D1246" s="2" t="str">
        <f>IFERROR(__xludf.DUMMYFUNCTION("""COMPUTED_VALUE"""),"ZM22")</f>
        <v>ZM22</v>
      </c>
      <c r="E1246" s="2" t="str">
        <f>IFERROR(__xludf.DUMMYFUNCTION("""COMPUTED_VALUE"""),"Imported from file Digizag.xlsx")</f>
        <v>Imported from file Digizag.xlsx</v>
      </c>
      <c r="F1246" s="2" t="str">
        <f>IFERROR(__xludf.DUMMYFUNCTION("""COMPUTED_VALUE"""),"NKX555191")</f>
        <v>NKX555191</v>
      </c>
      <c r="G1246" s="2" t="str">
        <f>IFERROR(__xludf.DUMMYFUNCTION("""COMPUTED_VALUE"""),"Kuwait")</f>
        <v>Kuwait</v>
      </c>
      <c r="H1246" s="2">
        <f>IFERROR(__xludf.DUMMYFUNCTION("""COMPUTED_VALUE"""),8.95)</f>
        <v>8.95</v>
      </c>
      <c r="I1246" s="2">
        <f>IFERROR(__xludf.DUMMYFUNCTION("""COMPUTED_VALUE"""),0.0)</f>
        <v>0</v>
      </c>
      <c r="J1246" s="2">
        <f>IFERROR(__xludf.DUMMYFUNCTION("""COMPUTED_VALUE"""),0.895)</f>
        <v>0.895</v>
      </c>
      <c r="K1246" s="2"/>
      <c r="L1246" s="2" t="str">
        <f>IFERROR(__xludf.DUMMYFUNCTION("""COMPUTED_VALUE"""),"Processing")</f>
        <v>Processing</v>
      </c>
      <c r="M1246" s="2" t="str">
        <f>IFERROR(__xludf.DUMMYFUNCTION("""COMPUTED_VALUE"""),"KD")</f>
        <v>KD</v>
      </c>
      <c r="N1246" s="2" t="str">
        <f>IFERROR(__xludf.DUMMYFUNCTION("""COMPUTED_VALUE"""),"Credit, Debit, Knet")</f>
        <v>Credit, Debit, Knet</v>
      </c>
      <c r="O1246" s="2">
        <f>IFERROR(__xludf.DUMMYFUNCTION("""COMPUTED_VALUE"""),0.0)</f>
        <v>0</v>
      </c>
      <c r="P1246" s="2">
        <f>IFERROR(__xludf.DUMMYFUNCTION("""COMPUTED_VALUE"""),10.0)</f>
        <v>10</v>
      </c>
      <c r="Q1246" s="2">
        <f>IFERROR(__xludf.DUMMYFUNCTION("""COMPUTED_VALUE"""),10.0)</f>
        <v>10</v>
      </c>
      <c r="R1246" s="2">
        <f>IFERROR(__xludf.DUMMYFUNCTION("""COMPUTED_VALUE"""),2025.0)</f>
        <v>2025</v>
      </c>
      <c r="S1246" s="2" t="str">
        <f>IFERROR(__xludf.DUMMYFUNCTION("""COMPUTED_VALUE"""),"Digizag")</f>
        <v>Digizag</v>
      </c>
      <c r="T1246" s="2" t="str">
        <f>IFERROR(__xludf.DUMMYFUNCTION("""COMPUTED_VALUE"""),"Digizag")</f>
        <v>Digizag</v>
      </c>
      <c r="U1246" s="5">
        <f>IFERROR(__xludf.DUMMYFUNCTION("""COMPUTED_VALUE"""),29.182548999999998)</f>
        <v>29.182549</v>
      </c>
      <c r="V1246" s="2"/>
      <c r="W1246" s="2"/>
      <c r="X1246" s="2"/>
      <c r="Y1246" s="2"/>
      <c r="Z1246" s="2"/>
    </row>
    <row r="1247">
      <c r="A1247" s="6">
        <f>IFERROR(__xludf.DUMMYFUNCTION("""COMPUTED_VALUE"""),45940.69037037037)</f>
        <v>45940.69037</v>
      </c>
      <c r="B1247" s="2" t="str">
        <f>IFERROR(__xludf.DUMMYFUNCTION("""COMPUTED_VALUE"""),"October")</f>
        <v>October</v>
      </c>
      <c r="C1247" s="2">
        <f>IFERROR(__xludf.DUMMYFUNCTION("""COMPUTED_VALUE"""),409368.0)</f>
        <v>409368</v>
      </c>
      <c r="D1247" s="2" t="str">
        <f>IFERROR(__xludf.DUMMYFUNCTION("""COMPUTED_VALUE"""),"DB1")</f>
        <v>DB1</v>
      </c>
      <c r="E1247" s="2" t="str">
        <f>IFERROR(__xludf.DUMMYFUNCTION("""COMPUTED_VALUE"""),"Imported from file Digizag.xlsx")</f>
        <v>Imported from file Digizag.xlsx</v>
      </c>
      <c r="F1247" s="2" t="str">
        <f>IFERROR(__xludf.DUMMYFUNCTION("""COMPUTED_VALUE"""),"DPB813963")</f>
        <v>DPB813963</v>
      </c>
      <c r="G1247" s="2" t="str">
        <f>IFERROR(__xludf.DUMMYFUNCTION("""COMPUTED_VALUE"""),"Kingdom of Saudi Arabia")</f>
        <v>Kingdom of Saudi Arabia</v>
      </c>
      <c r="H1247" s="2">
        <f>IFERROR(__xludf.DUMMYFUNCTION("""COMPUTED_VALUE"""),253.66)</f>
        <v>253.66</v>
      </c>
      <c r="I1247" s="2">
        <f>IFERROR(__xludf.DUMMYFUNCTION("""COMPUTED_VALUE"""),0.0)</f>
        <v>0</v>
      </c>
      <c r="J1247" s="2">
        <f>IFERROR(__xludf.DUMMYFUNCTION("""COMPUTED_VALUE"""),30.0)</f>
        <v>30</v>
      </c>
      <c r="K1247" s="2"/>
      <c r="L1247" s="2" t="str">
        <f>IFERROR(__xludf.DUMMYFUNCTION("""COMPUTED_VALUE"""),"Delivered")</f>
        <v>Delivered</v>
      </c>
      <c r="M1247" s="2" t="str">
        <f>IFERROR(__xludf.DUMMYFUNCTION("""COMPUTED_VALUE"""),"")</f>
        <v></v>
      </c>
      <c r="N1247" s="2" t="str">
        <f>IFERROR(__xludf.DUMMYFUNCTION("""COMPUTED_VALUE"""),"Credit, Debit, Apple Pay")</f>
        <v>Credit, Debit, Apple Pay</v>
      </c>
      <c r="O1247" s="2">
        <f>IFERROR(__xludf.DUMMYFUNCTION("""COMPUTED_VALUE"""),0.0)</f>
        <v>0</v>
      </c>
      <c r="P1247" s="2">
        <f>IFERROR(__xludf.DUMMYFUNCTION("""COMPUTED_VALUE"""),10.0)</f>
        <v>10</v>
      </c>
      <c r="Q1247" s="2">
        <f>IFERROR(__xludf.DUMMYFUNCTION("""COMPUTED_VALUE"""),10.0)</f>
        <v>10</v>
      </c>
      <c r="R1247" s="2">
        <f>IFERROR(__xludf.DUMMYFUNCTION("""COMPUTED_VALUE"""),2025.0)</f>
        <v>2025</v>
      </c>
      <c r="S1247" s="2" t="str">
        <f>IFERROR(__xludf.DUMMYFUNCTION("""COMPUTED_VALUE"""),"Digizag")</f>
        <v>Digizag</v>
      </c>
      <c r="T1247" s="2" t="str">
        <f>IFERROR(__xludf.DUMMYFUNCTION("""COMPUTED_VALUE"""),"Digizag")</f>
        <v>Digizag</v>
      </c>
      <c r="U1247" s="5">
        <f>IFERROR(__xludf.DUMMYFUNCTION("""COMPUTED_VALUE"""),67.63743602836)</f>
        <v>67.63743603</v>
      </c>
      <c r="V1247" s="2"/>
      <c r="W1247" s="2"/>
      <c r="X1247" s="2"/>
      <c r="Y1247" s="2"/>
      <c r="Z1247" s="2"/>
    </row>
    <row r="1248">
      <c r="A1248" s="6">
        <f>IFERROR(__xludf.DUMMYFUNCTION("""COMPUTED_VALUE"""),45941.313159722224)</f>
        <v>45941.31316</v>
      </c>
      <c r="B1248" s="2" t="str">
        <f>IFERROR(__xludf.DUMMYFUNCTION("""COMPUTED_VALUE"""),"October")</f>
        <v>October</v>
      </c>
      <c r="C1248" s="2">
        <f>IFERROR(__xludf.DUMMYFUNCTION("""COMPUTED_VALUE"""),814944.0)</f>
        <v>814944</v>
      </c>
      <c r="D1248" s="2" t="str">
        <f>IFERROR(__xludf.DUMMYFUNCTION("""COMPUTED_VALUE"""),"CC22")</f>
        <v>CC22</v>
      </c>
      <c r="E1248" s="2" t="str">
        <f>IFERROR(__xludf.DUMMYFUNCTION("""COMPUTED_VALUE"""),"Imported from file Digizag.xlsx")</f>
        <v>Imported from file Digizag.xlsx</v>
      </c>
      <c r="F1248" s="2" t="str">
        <f>IFERROR(__xludf.DUMMYFUNCTION("""COMPUTED_VALUE"""),"ENR310854")</f>
        <v>ENR310854</v>
      </c>
      <c r="G1248" s="2" t="str">
        <f>IFERROR(__xludf.DUMMYFUNCTION("""COMPUTED_VALUE"""),"Kingdom of Saudi Arabia")</f>
        <v>Kingdom of Saudi Arabia</v>
      </c>
      <c r="H1248" s="2">
        <f>IFERROR(__xludf.DUMMYFUNCTION("""COMPUTED_VALUE"""),69.0)</f>
        <v>69</v>
      </c>
      <c r="I1248" s="2">
        <f>IFERROR(__xludf.DUMMYFUNCTION("""COMPUTED_VALUE"""),0.0)</f>
        <v>0</v>
      </c>
      <c r="J1248" s="2">
        <f>IFERROR(__xludf.DUMMYFUNCTION("""COMPUTED_VALUE"""),17.25)</f>
        <v>17.25</v>
      </c>
      <c r="K1248" s="2"/>
      <c r="L1248" s="2" t="str">
        <f>IFERROR(__xludf.DUMMYFUNCTION("""COMPUTED_VALUE"""),"Delivered")</f>
        <v>Delivered</v>
      </c>
      <c r="M1248" s="2" t="str">
        <f>IFERROR(__xludf.DUMMYFUNCTION("""COMPUTED_VALUE"""),"")</f>
        <v></v>
      </c>
      <c r="N1248" s="2" t="str">
        <f>IFERROR(__xludf.DUMMYFUNCTION("""COMPUTED_VALUE"""),"Credit, Debit, Apple Pay")</f>
        <v>Credit, Debit, Apple Pay</v>
      </c>
      <c r="O1248" s="2">
        <f>IFERROR(__xludf.DUMMYFUNCTION("""COMPUTED_VALUE"""),0.0)</f>
        <v>0</v>
      </c>
      <c r="P1248" s="2">
        <f>IFERROR(__xludf.DUMMYFUNCTION("""COMPUTED_VALUE"""),11.0)</f>
        <v>11</v>
      </c>
      <c r="Q1248" s="2">
        <f>IFERROR(__xludf.DUMMYFUNCTION("""COMPUTED_VALUE"""),10.0)</f>
        <v>10</v>
      </c>
      <c r="R1248" s="2">
        <f>IFERROR(__xludf.DUMMYFUNCTION("""COMPUTED_VALUE"""),2025.0)</f>
        <v>2025</v>
      </c>
      <c r="S1248" s="2" t="str">
        <f>IFERROR(__xludf.DUMMYFUNCTION("""COMPUTED_VALUE"""),"Digizag")</f>
        <v>Digizag</v>
      </c>
      <c r="T1248" s="2" t="str">
        <f>IFERROR(__xludf.DUMMYFUNCTION("""COMPUTED_VALUE"""),"Digizag")</f>
        <v>Digizag</v>
      </c>
      <c r="U1248" s="5">
        <f>IFERROR(__xludf.DUMMYFUNCTION("""COMPUTED_VALUE"""),18.398577174000003)</f>
        <v>18.39857717</v>
      </c>
      <c r="V1248" s="2"/>
      <c r="W1248" s="2"/>
      <c r="X1248" s="2"/>
      <c r="Y1248" s="2"/>
      <c r="Z1248" s="2"/>
    </row>
    <row r="1249">
      <c r="A1249" s="6">
        <f>IFERROR(__xludf.DUMMYFUNCTION("""COMPUTED_VALUE"""),45941.32010416667)</f>
        <v>45941.3201</v>
      </c>
      <c r="B1249" s="2" t="str">
        <f>IFERROR(__xludf.DUMMYFUNCTION("""COMPUTED_VALUE"""),"October")</f>
        <v>October</v>
      </c>
      <c r="C1249" s="2">
        <f>IFERROR(__xludf.DUMMYFUNCTION("""COMPUTED_VALUE"""),814167.0)</f>
        <v>814167</v>
      </c>
      <c r="D1249" s="2" t="str">
        <f>IFERROR(__xludf.DUMMYFUNCTION("""COMPUTED_VALUE"""),"RR22")</f>
        <v>RR22</v>
      </c>
      <c r="E1249" s="2" t="str">
        <f>IFERROR(__xludf.DUMMYFUNCTION("""COMPUTED_VALUE"""),"Imported from file Digizag.xlsx")</f>
        <v>Imported from file Digizag.xlsx</v>
      </c>
      <c r="F1249" s="2" t="str">
        <f>IFERROR(__xludf.DUMMYFUNCTION("""COMPUTED_VALUE"""),"QTH233312")</f>
        <v>QTH233312</v>
      </c>
      <c r="G1249" s="2" t="str">
        <f>IFERROR(__xludf.DUMMYFUNCTION("""COMPUTED_VALUE"""),"UAE")</f>
        <v>UAE</v>
      </c>
      <c r="H1249" s="2">
        <f>IFERROR(__xludf.DUMMYFUNCTION("""COMPUTED_VALUE"""),143.0)</f>
        <v>143</v>
      </c>
      <c r="I1249" s="2">
        <f>IFERROR(__xludf.DUMMYFUNCTION("""COMPUTED_VALUE"""),0.0)</f>
        <v>0</v>
      </c>
      <c r="J1249" s="2">
        <f>IFERROR(__xludf.DUMMYFUNCTION("""COMPUTED_VALUE"""),14.3)</f>
        <v>14.3</v>
      </c>
      <c r="K1249" s="2"/>
      <c r="L1249" s="2" t="str">
        <f>IFERROR(__xludf.DUMMYFUNCTION("""COMPUTED_VALUE"""),"Delivered")</f>
        <v>Delivered</v>
      </c>
      <c r="M1249" s="2" t="str">
        <f>IFERROR(__xludf.DUMMYFUNCTION("""COMPUTED_VALUE"""),"")</f>
        <v></v>
      </c>
      <c r="N1249" s="2" t="str">
        <f>IFERROR(__xludf.DUMMYFUNCTION("""COMPUTED_VALUE"""),"Tamara: split in 3, interest-free")</f>
        <v>Tamara: split in 3, interest-free</v>
      </c>
      <c r="O1249" s="2">
        <f>IFERROR(__xludf.DUMMYFUNCTION("""COMPUTED_VALUE"""),0.0)</f>
        <v>0</v>
      </c>
      <c r="P1249" s="2">
        <f>IFERROR(__xludf.DUMMYFUNCTION("""COMPUTED_VALUE"""),11.0)</f>
        <v>11</v>
      </c>
      <c r="Q1249" s="2">
        <f>IFERROR(__xludf.DUMMYFUNCTION("""COMPUTED_VALUE"""),10.0)</f>
        <v>10</v>
      </c>
      <c r="R1249" s="2">
        <f>IFERROR(__xludf.DUMMYFUNCTION("""COMPUTED_VALUE"""),2025.0)</f>
        <v>2025</v>
      </c>
      <c r="S1249" s="2" t="str">
        <f>IFERROR(__xludf.DUMMYFUNCTION("""COMPUTED_VALUE"""),"Digizag")</f>
        <v>Digizag</v>
      </c>
      <c r="T1249" s="2" t="str">
        <f>IFERROR(__xludf.DUMMYFUNCTION("""COMPUTED_VALUE"""),"Digizag")</f>
        <v>Digizag</v>
      </c>
      <c r="U1249" s="5">
        <f>IFERROR(__xludf.DUMMYFUNCTION("""COMPUTED_VALUE"""),38.938053154)</f>
        <v>38.93805315</v>
      </c>
      <c r="V1249" s="2"/>
      <c r="W1249" s="2"/>
      <c r="X1249" s="2"/>
      <c r="Y1249" s="2"/>
      <c r="Z1249" s="2"/>
    </row>
    <row r="1250">
      <c r="A1250" s="6">
        <f>IFERROR(__xludf.DUMMYFUNCTION("""COMPUTED_VALUE"""),45941.366319444445)</f>
        <v>45941.36632</v>
      </c>
      <c r="B1250" s="2" t="str">
        <f>IFERROR(__xludf.DUMMYFUNCTION("""COMPUTED_VALUE"""),"October")</f>
        <v>October</v>
      </c>
      <c r="C1250" s="2">
        <f>IFERROR(__xludf.DUMMYFUNCTION("""COMPUTED_VALUE"""),814167.0)</f>
        <v>814167</v>
      </c>
      <c r="D1250" s="2" t="str">
        <f>IFERROR(__xludf.DUMMYFUNCTION("""COMPUTED_VALUE"""),"RR22")</f>
        <v>RR22</v>
      </c>
      <c r="E1250" s="2" t="str">
        <f>IFERROR(__xludf.DUMMYFUNCTION("""COMPUTED_VALUE"""),"Imported from file Digizag.xlsx")</f>
        <v>Imported from file Digizag.xlsx</v>
      </c>
      <c r="F1250" s="2" t="str">
        <f>IFERROR(__xludf.DUMMYFUNCTION("""COMPUTED_VALUE"""),"EHR936868")</f>
        <v>EHR936868</v>
      </c>
      <c r="G1250" s="2" t="str">
        <f>IFERROR(__xludf.DUMMYFUNCTION("""COMPUTED_VALUE"""),"UAE")</f>
        <v>UAE</v>
      </c>
      <c r="H1250" s="2">
        <f>IFERROR(__xludf.DUMMYFUNCTION("""COMPUTED_VALUE"""),118.0)</f>
        <v>118</v>
      </c>
      <c r="I1250" s="2">
        <f>IFERROR(__xludf.DUMMYFUNCTION("""COMPUTED_VALUE"""),0.0)</f>
        <v>0</v>
      </c>
      <c r="J1250" s="2">
        <f>IFERROR(__xludf.DUMMYFUNCTION("""COMPUTED_VALUE"""),11.8)</f>
        <v>11.8</v>
      </c>
      <c r="K1250" s="2"/>
      <c r="L1250" s="2" t="str">
        <f>IFERROR(__xludf.DUMMYFUNCTION("""COMPUTED_VALUE"""),"Delivered")</f>
        <v>Delivered</v>
      </c>
      <c r="M1250" s="2" t="str">
        <f>IFERROR(__xludf.DUMMYFUNCTION("""COMPUTED_VALUE"""),"")</f>
        <v></v>
      </c>
      <c r="N1250" s="2" t="str">
        <f>IFERROR(__xludf.DUMMYFUNCTION("""COMPUTED_VALUE"""),"Tamara: split in 3, interest-free")</f>
        <v>Tamara: split in 3, interest-free</v>
      </c>
      <c r="O1250" s="2">
        <f>IFERROR(__xludf.DUMMYFUNCTION("""COMPUTED_VALUE"""),0.0)</f>
        <v>0</v>
      </c>
      <c r="P1250" s="2">
        <f>IFERROR(__xludf.DUMMYFUNCTION("""COMPUTED_VALUE"""),11.0)</f>
        <v>11</v>
      </c>
      <c r="Q1250" s="2">
        <f>IFERROR(__xludf.DUMMYFUNCTION("""COMPUTED_VALUE"""),10.0)</f>
        <v>10</v>
      </c>
      <c r="R1250" s="2">
        <f>IFERROR(__xludf.DUMMYFUNCTION("""COMPUTED_VALUE"""),2025.0)</f>
        <v>2025</v>
      </c>
      <c r="S1250" s="2" t="str">
        <f>IFERROR(__xludf.DUMMYFUNCTION("""COMPUTED_VALUE"""),"Digizag")</f>
        <v>Digizag</v>
      </c>
      <c r="T1250" s="2" t="str">
        <f>IFERROR(__xludf.DUMMYFUNCTION("""COMPUTED_VALUE"""),"Digizag")</f>
        <v>Digizag</v>
      </c>
      <c r="U1250" s="5">
        <f>IFERROR(__xludf.DUMMYFUNCTION("""COMPUTED_VALUE"""),32.130701204)</f>
        <v>32.1307012</v>
      </c>
      <c r="V1250" s="2"/>
      <c r="W1250" s="2"/>
      <c r="X1250" s="2"/>
      <c r="Y1250" s="2"/>
      <c r="Z1250" s="2"/>
    </row>
    <row r="1251">
      <c r="A1251" s="6">
        <f>IFERROR(__xludf.DUMMYFUNCTION("""COMPUTED_VALUE"""),45941.42524305556)</f>
        <v>45941.42524</v>
      </c>
      <c r="B1251" s="2" t="str">
        <f>IFERROR(__xludf.DUMMYFUNCTION("""COMPUTED_VALUE"""),"October")</f>
        <v>October</v>
      </c>
      <c r="C1251" s="2">
        <f>IFERROR(__xludf.DUMMYFUNCTION("""COMPUTED_VALUE"""),22870.0)</f>
        <v>22870</v>
      </c>
      <c r="D1251" s="2" t="str">
        <f>IFERROR(__xludf.DUMMYFUNCTION("""COMPUTED_VALUE"""),"ZM22")</f>
        <v>ZM22</v>
      </c>
      <c r="E1251" s="2" t="str">
        <f>IFERROR(__xludf.DUMMYFUNCTION("""COMPUTED_VALUE"""),"Imported from file Digizag.xlsx")</f>
        <v>Imported from file Digizag.xlsx</v>
      </c>
      <c r="F1251" s="2" t="str">
        <f>IFERROR(__xludf.DUMMYFUNCTION("""COMPUTED_VALUE"""),"LBS574039")</f>
        <v>LBS574039</v>
      </c>
      <c r="G1251" s="2" t="str">
        <f>IFERROR(__xludf.DUMMYFUNCTION("""COMPUTED_VALUE"""),"Kingdom of Saudi Arabia")</f>
        <v>Kingdom of Saudi Arabia</v>
      </c>
      <c r="H1251" s="2">
        <f>IFERROR(__xludf.DUMMYFUNCTION("""COMPUTED_VALUE"""),250.3)</f>
        <v>250.3</v>
      </c>
      <c r="I1251" s="2">
        <f>IFERROR(__xludf.DUMMYFUNCTION("""COMPUTED_VALUE"""),0.0)</f>
        <v>0</v>
      </c>
      <c r="J1251" s="2">
        <f>IFERROR(__xludf.DUMMYFUNCTION("""COMPUTED_VALUE"""),30.0)</f>
        <v>30</v>
      </c>
      <c r="K1251" s="2"/>
      <c r="L1251" s="2" t="str">
        <f>IFERROR(__xludf.DUMMYFUNCTION("""COMPUTED_VALUE"""),"Delivered")</f>
        <v>Delivered</v>
      </c>
      <c r="M1251" s="2" t="str">
        <f>IFERROR(__xludf.DUMMYFUNCTION("""COMPUTED_VALUE"""),"")</f>
        <v></v>
      </c>
      <c r="N1251" s="2" t="str">
        <f>IFERROR(__xludf.DUMMYFUNCTION("""COMPUTED_VALUE"""),"Credit, Debit, Apple Pay")</f>
        <v>Credit, Debit, Apple Pay</v>
      </c>
      <c r="O1251" s="2">
        <f>IFERROR(__xludf.DUMMYFUNCTION("""COMPUTED_VALUE"""),0.0)</f>
        <v>0</v>
      </c>
      <c r="P1251" s="2">
        <f>IFERROR(__xludf.DUMMYFUNCTION("""COMPUTED_VALUE"""),11.0)</f>
        <v>11</v>
      </c>
      <c r="Q1251" s="2">
        <f>IFERROR(__xludf.DUMMYFUNCTION("""COMPUTED_VALUE"""),10.0)</f>
        <v>10</v>
      </c>
      <c r="R1251" s="2">
        <f>IFERROR(__xludf.DUMMYFUNCTION("""COMPUTED_VALUE"""),2025.0)</f>
        <v>2025</v>
      </c>
      <c r="S1251" s="2" t="str">
        <f>IFERROR(__xludf.DUMMYFUNCTION("""COMPUTED_VALUE"""),"Digizag")</f>
        <v>Digizag</v>
      </c>
      <c r="T1251" s="2" t="str">
        <f>IFERROR(__xludf.DUMMYFUNCTION("""COMPUTED_VALUE"""),"Digizag")</f>
        <v>Digizag</v>
      </c>
      <c r="U1251" s="5">
        <f>IFERROR(__xludf.DUMMYFUNCTION("""COMPUTED_VALUE"""),66.7415053138)</f>
        <v>66.74150531</v>
      </c>
      <c r="V1251" s="2"/>
      <c r="W1251" s="2"/>
      <c r="X1251" s="2"/>
      <c r="Y1251" s="2"/>
      <c r="Z1251" s="2"/>
    </row>
    <row r="1252">
      <c r="A1252" s="6">
        <f>IFERROR(__xludf.DUMMYFUNCTION("""COMPUTED_VALUE"""),45941.50575231481)</f>
        <v>45941.50575</v>
      </c>
      <c r="B1252" s="2" t="str">
        <f>IFERROR(__xludf.DUMMYFUNCTION("""COMPUTED_VALUE"""),"October")</f>
        <v>October</v>
      </c>
      <c r="C1252" s="2">
        <f>IFERROR(__xludf.DUMMYFUNCTION("""COMPUTED_VALUE"""),135417.0)</f>
        <v>135417</v>
      </c>
      <c r="D1252" s="2" t="str">
        <f>IFERROR(__xludf.DUMMYFUNCTION("""COMPUTED_VALUE"""),"DB7")</f>
        <v>DB7</v>
      </c>
      <c r="E1252" s="2" t="str">
        <f>IFERROR(__xludf.DUMMYFUNCTION("""COMPUTED_VALUE"""),"Digizag")</f>
        <v>Digizag</v>
      </c>
      <c r="F1252" s="2" t="str">
        <f>IFERROR(__xludf.DUMMYFUNCTION("""COMPUTED_VALUE"""),"PXR248776")</f>
        <v>PXR248776</v>
      </c>
      <c r="G1252" s="2" t="str">
        <f>IFERROR(__xludf.DUMMYFUNCTION("""COMPUTED_VALUE"""),"Kingdom of Saudi Arabia")</f>
        <v>Kingdom of Saudi Arabia</v>
      </c>
      <c r="H1252" s="2">
        <f>IFERROR(__xludf.DUMMYFUNCTION("""COMPUTED_VALUE"""),220.0)</f>
        <v>220</v>
      </c>
      <c r="I1252" s="2">
        <f>IFERROR(__xludf.DUMMYFUNCTION("""COMPUTED_VALUE"""),0.0)</f>
        <v>0</v>
      </c>
      <c r="J1252" s="2">
        <f>IFERROR(__xludf.DUMMYFUNCTION("""COMPUTED_VALUE"""),30.0)</f>
        <v>30</v>
      </c>
      <c r="K1252" s="2"/>
      <c r="L1252" s="2" t="str">
        <f>IFERROR(__xludf.DUMMYFUNCTION("""COMPUTED_VALUE"""),"Delivered")</f>
        <v>Delivered</v>
      </c>
      <c r="M1252" s="2" t="str">
        <f>IFERROR(__xludf.DUMMYFUNCTION("""COMPUTED_VALUE"""),"")</f>
        <v></v>
      </c>
      <c r="N1252" s="2" t="str">
        <f>IFERROR(__xludf.DUMMYFUNCTION("""COMPUTED_VALUE"""),"Credit, Debit, Apple Pay")</f>
        <v>Credit, Debit, Apple Pay</v>
      </c>
      <c r="O1252" s="2">
        <f>IFERROR(__xludf.DUMMYFUNCTION("""COMPUTED_VALUE"""),0.0)</f>
        <v>0</v>
      </c>
      <c r="P1252" s="2">
        <f>IFERROR(__xludf.DUMMYFUNCTION("""COMPUTED_VALUE"""),11.0)</f>
        <v>11</v>
      </c>
      <c r="Q1252" s="2">
        <f>IFERROR(__xludf.DUMMYFUNCTION("""COMPUTED_VALUE"""),10.0)</f>
        <v>10</v>
      </c>
      <c r="R1252" s="2">
        <f>IFERROR(__xludf.DUMMYFUNCTION("""COMPUTED_VALUE"""),2025.0)</f>
        <v>2025</v>
      </c>
      <c r="S1252" s="2" t="str">
        <f>IFERROR(__xludf.DUMMYFUNCTION("""COMPUTED_VALUE"""),"Digizag")</f>
        <v>Digizag</v>
      </c>
      <c r="T1252" s="2" t="str">
        <f>IFERROR(__xludf.DUMMYFUNCTION("""COMPUTED_VALUE"""),"Digizag")</f>
        <v>Digizag</v>
      </c>
      <c r="U1252" s="5">
        <f>IFERROR(__xludf.DUMMYFUNCTION("""COMPUTED_VALUE"""),58.66213012000001)</f>
        <v>58.66213012</v>
      </c>
      <c r="V1252" s="2"/>
      <c r="W1252" s="2"/>
      <c r="X1252" s="2"/>
      <c r="Y1252" s="2"/>
      <c r="Z1252" s="2"/>
    </row>
    <row r="1253">
      <c r="A1253" s="6">
        <f>IFERROR(__xludf.DUMMYFUNCTION("""COMPUTED_VALUE"""),45941.52744212963)</f>
        <v>45941.52744</v>
      </c>
      <c r="B1253" s="2" t="str">
        <f>IFERROR(__xludf.DUMMYFUNCTION("""COMPUTED_VALUE"""),"October")</f>
        <v>October</v>
      </c>
      <c r="C1253" s="2">
        <f>IFERROR(__xludf.DUMMYFUNCTION("""COMPUTED_VALUE"""),153418.0)</f>
        <v>153418</v>
      </c>
      <c r="D1253" s="2" t="str">
        <f>IFERROR(__xludf.DUMMYFUNCTION("""COMPUTED_VALUE"""),"DB7")</f>
        <v>DB7</v>
      </c>
      <c r="E1253" s="2" t="str">
        <f>IFERROR(__xludf.DUMMYFUNCTION("""COMPUTED_VALUE"""),"Digizag")</f>
        <v>Digizag</v>
      </c>
      <c r="F1253" s="2" t="str">
        <f>IFERROR(__xludf.DUMMYFUNCTION("""COMPUTED_VALUE"""),"TWN194785")</f>
        <v>TWN194785</v>
      </c>
      <c r="G1253" s="2" t="str">
        <f>IFERROR(__xludf.DUMMYFUNCTION("""COMPUTED_VALUE"""),"Kuwait")</f>
        <v>Kuwait</v>
      </c>
      <c r="H1253" s="2">
        <f>IFERROR(__xludf.DUMMYFUNCTION("""COMPUTED_VALUE"""),6.75)</f>
        <v>6.75</v>
      </c>
      <c r="I1253" s="2">
        <f>IFERROR(__xludf.DUMMYFUNCTION("""COMPUTED_VALUE"""),0.0)</f>
        <v>0</v>
      </c>
      <c r="J1253" s="2">
        <f>IFERROR(__xludf.DUMMYFUNCTION("""COMPUTED_VALUE"""),0.675)</f>
        <v>0.675</v>
      </c>
      <c r="K1253" s="2"/>
      <c r="L1253" s="2" t="str">
        <f>IFERROR(__xludf.DUMMYFUNCTION("""COMPUTED_VALUE"""),"Delivered")</f>
        <v>Delivered</v>
      </c>
      <c r="M1253" s="2" t="str">
        <f>IFERROR(__xludf.DUMMYFUNCTION("""COMPUTED_VALUE"""),"KD")</f>
        <v>KD</v>
      </c>
      <c r="N1253" s="2" t="str">
        <f>IFERROR(__xludf.DUMMYFUNCTION("""COMPUTED_VALUE"""),"Credit, Debit, Knet")</f>
        <v>Credit, Debit, Knet</v>
      </c>
      <c r="O1253" s="2">
        <f>IFERROR(__xludf.DUMMYFUNCTION("""COMPUTED_VALUE"""),0.0)</f>
        <v>0</v>
      </c>
      <c r="P1253" s="2">
        <f>IFERROR(__xludf.DUMMYFUNCTION("""COMPUTED_VALUE"""),11.0)</f>
        <v>11</v>
      </c>
      <c r="Q1253" s="2">
        <f>IFERROR(__xludf.DUMMYFUNCTION("""COMPUTED_VALUE"""),10.0)</f>
        <v>10</v>
      </c>
      <c r="R1253" s="2">
        <f>IFERROR(__xludf.DUMMYFUNCTION("""COMPUTED_VALUE"""),2025.0)</f>
        <v>2025</v>
      </c>
      <c r="S1253" s="2" t="str">
        <f>IFERROR(__xludf.DUMMYFUNCTION("""COMPUTED_VALUE"""),"Digizag")</f>
        <v>Digizag</v>
      </c>
      <c r="T1253" s="2" t="str">
        <f>IFERROR(__xludf.DUMMYFUNCTION("""COMPUTED_VALUE"""),"Digizag")</f>
        <v>Digizag</v>
      </c>
      <c r="U1253" s="5">
        <f>IFERROR(__xludf.DUMMYFUNCTION("""COMPUTED_VALUE"""),22.009185)</f>
        <v>22.009185</v>
      </c>
      <c r="V1253" s="2"/>
      <c r="W1253" s="2"/>
      <c r="X1253" s="2"/>
      <c r="Y1253" s="2"/>
      <c r="Z1253" s="2"/>
    </row>
    <row r="1254">
      <c r="A1254" s="6">
        <f>IFERROR(__xludf.DUMMYFUNCTION("""COMPUTED_VALUE"""),45941.56334490741)</f>
        <v>45941.56334</v>
      </c>
      <c r="B1254" s="2" t="str">
        <f>IFERROR(__xludf.DUMMYFUNCTION("""COMPUTED_VALUE"""),"October")</f>
        <v>October</v>
      </c>
      <c r="C1254" s="2">
        <f>IFERROR(__xludf.DUMMYFUNCTION("""COMPUTED_VALUE"""),419789.0)</f>
        <v>419789</v>
      </c>
      <c r="D1254" s="2" t="str">
        <f>IFERROR(__xludf.DUMMYFUNCTION("""COMPUTED_VALUE"""),"DB1")</f>
        <v>DB1</v>
      </c>
      <c r="E1254" s="2" t="str">
        <f>IFERROR(__xludf.DUMMYFUNCTION("""COMPUTED_VALUE"""),"Imported from file Digizag.xlsx")</f>
        <v>Imported from file Digizag.xlsx</v>
      </c>
      <c r="F1254" s="2" t="str">
        <f>IFERROR(__xludf.DUMMYFUNCTION("""COMPUTED_VALUE"""),"QUJ336303")</f>
        <v>QUJ336303</v>
      </c>
      <c r="G1254" s="2" t="str">
        <f>IFERROR(__xludf.DUMMYFUNCTION("""COMPUTED_VALUE"""),"Kingdom of Saudi Arabia")</f>
        <v>Kingdom of Saudi Arabia</v>
      </c>
      <c r="H1254" s="2">
        <f>IFERROR(__xludf.DUMMYFUNCTION("""COMPUTED_VALUE"""),94.79)</f>
        <v>94.79</v>
      </c>
      <c r="I1254" s="2">
        <f>IFERROR(__xludf.DUMMYFUNCTION("""COMPUTED_VALUE"""),0.0)</f>
        <v>0</v>
      </c>
      <c r="J1254" s="2">
        <f>IFERROR(__xludf.DUMMYFUNCTION("""COMPUTED_VALUE"""),23.69)</f>
        <v>23.69</v>
      </c>
      <c r="K1254" s="2"/>
      <c r="L1254" s="2" t="str">
        <f>IFERROR(__xludf.DUMMYFUNCTION("""COMPUTED_VALUE"""),"Delivered")</f>
        <v>Delivered</v>
      </c>
      <c r="M1254" s="2" t="str">
        <f>IFERROR(__xludf.DUMMYFUNCTION("""COMPUTED_VALUE"""),"")</f>
        <v></v>
      </c>
      <c r="N1254" s="2" t="str">
        <f>IFERROR(__xludf.DUMMYFUNCTION("""COMPUTED_VALUE"""),"Cash")</f>
        <v>Cash</v>
      </c>
      <c r="O1254" s="2">
        <f>IFERROR(__xludf.DUMMYFUNCTION("""COMPUTED_VALUE"""),0.0)</f>
        <v>0</v>
      </c>
      <c r="P1254" s="2">
        <f>IFERROR(__xludf.DUMMYFUNCTION("""COMPUTED_VALUE"""),11.0)</f>
        <v>11</v>
      </c>
      <c r="Q1254" s="2">
        <f>IFERROR(__xludf.DUMMYFUNCTION("""COMPUTED_VALUE"""),10.0)</f>
        <v>10</v>
      </c>
      <c r="R1254" s="2">
        <f>IFERROR(__xludf.DUMMYFUNCTION("""COMPUTED_VALUE"""),2025.0)</f>
        <v>2025</v>
      </c>
      <c r="S1254" s="2" t="str">
        <f>IFERROR(__xludf.DUMMYFUNCTION("""COMPUTED_VALUE"""),"Digizag")</f>
        <v>Digizag</v>
      </c>
      <c r="T1254" s="2" t="str">
        <f>IFERROR(__xludf.DUMMYFUNCTION("""COMPUTED_VALUE"""),"Digizag")</f>
        <v>Digizag</v>
      </c>
      <c r="U1254" s="5">
        <f>IFERROR(__xludf.DUMMYFUNCTION("""COMPUTED_VALUE"""),25.275378700340003)</f>
        <v>25.2753787</v>
      </c>
      <c r="V1254" s="2"/>
      <c r="W1254" s="2"/>
      <c r="X1254" s="2"/>
      <c r="Y1254" s="2"/>
      <c r="Z1254" s="2"/>
    </row>
    <row r="1255">
      <c r="A1255" s="6">
        <f>IFERROR(__xludf.DUMMYFUNCTION("""COMPUTED_VALUE"""),45941.76025462963)</f>
        <v>45941.76025</v>
      </c>
      <c r="B1255" s="2" t="str">
        <f>IFERROR(__xludf.DUMMYFUNCTION("""COMPUTED_VALUE"""),"October")</f>
        <v>October</v>
      </c>
      <c r="C1255" s="2">
        <f>IFERROR(__xludf.DUMMYFUNCTION("""COMPUTED_VALUE"""),429586.0)</f>
        <v>429586</v>
      </c>
      <c r="D1255" s="2" t="str">
        <f>IFERROR(__xludf.DUMMYFUNCTION("""COMPUTED_VALUE"""),"ZM22")</f>
        <v>ZM22</v>
      </c>
      <c r="E1255" s="2" t="str">
        <f>IFERROR(__xludf.DUMMYFUNCTION("""COMPUTED_VALUE"""),"Imported from file Digizag.xlsx")</f>
        <v>Imported from file Digizag.xlsx</v>
      </c>
      <c r="F1255" s="2" t="str">
        <f>IFERROR(__xludf.DUMMYFUNCTION("""COMPUTED_VALUE"""),"JJS371640")</f>
        <v>JJS371640</v>
      </c>
      <c r="G1255" s="2" t="str">
        <f>IFERROR(__xludf.DUMMYFUNCTION("""COMPUTED_VALUE"""),"UAE")</f>
        <v>UAE</v>
      </c>
      <c r="H1255" s="2">
        <f>IFERROR(__xludf.DUMMYFUNCTION("""COMPUTED_VALUE"""),149.0)</f>
        <v>149</v>
      </c>
      <c r="I1255" s="2">
        <f>IFERROR(__xludf.DUMMYFUNCTION("""COMPUTED_VALUE"""),0.0)</f>
        <v>0</v>
      </c>
      <c r="J1255" s="2">
        <f>IFERROR(__xludf.DUMMYFUNCTION("""COMPUTED_VALUE"""),14.9)</f>
        <v>14.9</v>
      </c>
      <c r="K1255" s="2"/>
      <c r="L1255" s="2" t="str">
        <f>IFERROR(__xludf.DUMMYFUNCTION("""COMPUTED_VALUE"""),"Delivered")</f>
        <v>Delivered</v>
      </c>
      <c r="M1255" s="2" t="str">
        <f>IFERROR(__xludf.DUMMYFUNCTION("""COMPUTED_VALUE"""),"")</f>
        <v></v>
      </c>
      <c r="N1255" s="2" t="str">
        <f>IFERROR(__xludf.DUMMYFUNCTION("""COMPUTED_VALUE"""),"Credit, Debit , Apple Pay")</f>
        <v>Credit, Debit , Apple Pay</v>
      </c>
      <c r="O1255" s="2">
        <f>IFERROR(__xludf.DUMMYFUNCTION("""COMPUTED_VALUE"""),0.0)</f>
        <v>0</v>
      </c>
      <c r="P1255" s="2">
        <f>IFERROR(__xludf.DUMMYFUNCTION("""COMPUTED_VALUE"""),11.0)</f>
        <v>11</v>
      </c>
      <c r="Q1255" s="2">
        <f>IFERROR(__xludf.DUMMYFUNCTION("""COMPUTED_VALUE"""),10.0)</f>
        <v>10</v>
      </c>
      <c r="R1255" s="2">
        <f>IFERROR(__xludf.DUMMYFUNCTION("""COMPUTED_VALUE"""),2025.0)</f>
        <v>2025</v>
      </c>
      <c r="S1255" s="2" t="str">
        <f>IFERROR(__xludf.DUMMYFUNCTION("""COMPUTED_VALUE"""),"Digizag")</f>
        <v>Digizag</v>
      </c>
      <c r="T1255" s="2" t="str">
        <f>IFERROR(__xludf.DUMMYFUNCTION("""COMPUTED_VALUE"""),"Digizag")</f>
        <v>Digizag</v>
      </c>
      <c r="U1255" s="5">
        <f>IFERROR(__xludf.DUMMYFUNCTION("""COMPUTED_VALUE"""),40.571817622)</f>
        <v>40.57181762</v>
      </c>
      <c r="V1255" s="2"/>
      <c r="W1255" s="2"/>
      <c r="X1255" s="2"/>
      <c r="Y1255" s="2"/>
      <c r="Z1255" s="2"/>
    </row>
    <row r="1256">
      <c r="A1256" s="6">
        <f>IFERROR(__xludf.DUMMYFUNCTION("""COMPUTED_VALUE"""),45942.242800925924)</f>
        <v>45942.2428</v>
      </c>
      <c r="B1256" s="2" t="str">
        <f>IFERROR(__xludf.DUMMYFUNCTION("""COMPUTED_VALUE"""),"October")</f>
        <v>October</v>
      </c>
      <c r="C1256" s="2">
        <f>IFERROR(__xludf.DUMMYFUNCTION("""COMPUTED_VALUE"""),47703.0)</f>
        <v>47703</v>
      </c>
      <c r="D1256" s="2" t="str">
        <f>IFERROR(__xludf.DUMMYFUNCTION("""COMPUTED_VALUE"""),"CC22")</f>
        <v>CC22</v>
      </c>
      <c r="E1256" s="2" t="str">
        <f>IFERROR(__xludf.DUMMYFUNCTION("""COMPUTED_VALUE"""),"Imported from file Digizag.xlsx")</f>
        <v>Imported from file Digizag.xlsx</v>
      </c>
      <c r="F1256" s="2" t="str">
        <f>IFERROR(__xludf.DUMMYFUNCTION("""COMPUTED_VALUE"""),"UXR815240")</f>
        <v>UXR815240</v>
      </c>
      <c r="G1256" s="2" t="str">
        <f>IFERROR(__xludf.DUMMYFUNCTION("""COMPUTED_VALUE"""),"Kingdom of Saudi Arabia")</f>
        <v>Kingdom of Saudi Arabia</v>
      </c>
      <c r="H1256" s="2">
        <f>IFERROR(__xludf.DUMMYFUNCTION("""COMPUTED_VALUE"""),211.6)</f>
        <v>211.6</v>
      </c>
      <c r="I1256" s="2">
        <f>IFERROR(__xludf.DUMMYFUNCTION("""COMPUTED_VALUE"""),0.0)</f>
        <v>0</v>
      </c>
      <c r="J1256" s="2">
        <f>IFERROR(__xludf.DUMMYFUNCTION("""COMPUTED_VALUE"""),30.0)</f>
        <v>30</v>
      </c>
      <c r="K1256" s="2"/>
      <c r="L1256" s="2" t="str">
        <f>IFERROR(__xludf.DUMMYFUNCTION("""COMPUTED_VALUE"""),"Delivered")</f>
        <v>Delivered</v>
      </c>
      <c r="M1256" s="2" t="str">
        <f>IFERROR(__xludf.DUMMYFUNCTION("""COMPUTED_VALUE"""),"")</f>
        <v></v>
      </c>
      <c r="N1256" s="2" t="str">
        <f>IFERROR(__xludf.DUMMYFUNCTION("""COMPUTED_VALUE"""),"Credit, Debit, Apple Pay")</f>
        <v>Credit, Debit, Apple Pay</v>
      </c>
      <c r="O1256" s="2">
        <f>IFERROR(__xludf.DUMMYFUNCTION("""COMPUTED_VALUE"""),0.0)</f>
        <v>0</v>
      </c>
      <c r="P1256" s="2">
        <f>IFERROR(__xludf.DUMMYFUNCTION("""COMPUTED_VALUE"""),12.0)</f>
        <v>12</v>
      </c>
      <c r="Q1256" s="2">
        <f>IFERROR(__xludf.DUMMYFUNCTION("""COMPUTED_VALUE"""),10.0)</f>
        <v>10</v>
      </c>
      <c r="R1256" s="2">
        <f>IFERROR(__xludf.DUMMYFUNCTION("""COMPUTED_VALUE"""),2025.0)</f>
        <v>2025</v>
      </c>
      <c r="S1256" s="2" t="str">
        <f>IFERROR(__xludf.DUMMYFUNCTION("""COMPUTED_VALUE"""),"Digizag")</f>
        <v>Digizag</v>
      </c>
      <c r="T1256" s="2" t="str">
        <f>IFERROR(__xludf.DUMMYFUNCTION("""COMPUTED_VALUE"""),"Digizag")</f>
        <v>Digizag</v>
      </c>
      <c r="U1256" s="5">
        <f>IFERROR(__xludf.DUMMYFUNCTION("""COMPUTED_VALUE"""),56.422303333600006)</f>
        <v>56.42230333</v>
      </c>
      <c r="V1256" s="2"/>
      <c r="W1256" s="2"/>
      <c r="X1256" s="2"/>
      <c r="Y1256" s="2"/>
      <c r="Z1256" s="2"/>
    </row>
    <row r="1257">
      <c r="A1257" s="6">
        <f>IFERROR(__xludf.DUMMYFUNCTION("""COMPUTED_VALUE"""),45942.5077662037)</f>
        <v>45942.50777</v>
      </c>
      <c r="B1257" s="2" t="str">
        <f>IFERROR(__xludf.DUMMYFUNCTION("""COMPUTED_VALUE"""),"October")</f>
        <v>October</v>
      </c>
      <c r="C1257" s="2">
        <f>IFERROR(__xludf.DUMMYFUNCTION("""COMPUTED_VALUE"""),690666.0)</f>
        <v>690666</v>
      </c>
      <c r="D1257" s="2" t="str">
        <f>IFERROR(__xludf.DUMMYFUNCTION("""COMPUTED_VALUE"""),"DB1")</f>
        <v>DB1</v>
      </c>
      <c r="E1257" s="2" t="str">
        <f>IFERROR(__xludf.DUMMYFUNCTION("""COMPUTED_VALUE"""),"Imported from file Digizag.xlsx")</f>
        <v>Imported from file Digizag.xlsx</v>
      </c>
      <c r="F1257" s="2" t="str">
        <f>IFERROR(__xludf.DUMMYFUNCTION("""COMPUTED_VALUE"""),"ALP856864")</f>
        <v>ALP856864</v>
      </c>
      <c r="G1257" s="2" t="str">
        <f>IFERROR(__xludf.DUMMYFUNCTION("""COMPUTED_VALUE"""),"Kingdom of Saudi Arabia")</f>
        <v>Kingdom of Saudi Arabia</v>
      </c>
      <c r="H1257" s="2">
        <f>IFERROR(__xludf.DUMMYFUNCTION("""COMPUTED_VALUE"""),156.51)</f>
        <v>156.51</v>
      </c>
      <c r="I1257" s="2">
        <f>IFERROR(__xludf.DUMMYFUNCTION("""COMPUTED_VALUE"""),0.0)</f>
        <v>0</v>
      </c>
      <c r="J1257" s="2">
        <f>IFERROR(__xludf.DUMMYFUNCTION("""COMPUTED_VALUE"""),30.0)</f>
        <v>30</v>
      </c>
      <c r="K1257" s="2"/>
      <c r="L1257" s="2" t="str">
        <f>IFERROR(__xludf.DUMMYFUNCTION("""COMPUTED_VALUE"""),"Delivered")</f>
        <v>Delivered</v>
      </c>
      <c r="M1257" s="2" t="str">
        <f>IFERROR(__xludf.DUMMYFUNCTION("""COMPUTED_VALUE"""),"")</f>
        <v></v>
      </c>
      <c r="N1257" s="2" t="str">
        <f>IFERROR(__xludf.DUMMYFUNCTION("""COMPUTED_VALUE"""),"Pay in 4. No interest, no fees")</f>
        <v>Pay in 4. No interest, no fees</v>
      </c>
      <c r="O1257" s="2">
        <f>IFERROR(__xludf.DUMMYFUNCTION("""COMPUTED_VALUE"""),0.0)</f>
        <v>0</v>
      </c>
      <c r="P1257" s="2">
        <f>IFERROR(__xludf.DUMMYFUNCTION("""COMPUTED_VALUE"""),12.0)</f>
        <v>12</v>
      </c>
      <c r="Q1257" s="2">
        <f>IFERROR(__xludf.DUMMYFUNCTION("""COMPUTED_VALUE"""),10.0)</f>
        <v>10</v>
      </c>
      <c r="R1257" s="2">
        <f>IFERROR(__xludf.DUMMYFUNCTION("""COMPUTED_VALUE"""),2025.0)</f>
        <v>2025</v>
      </c>
      <c r="S1257" s="2" t="str">
        <f>IFERROR(__xludf.DUMMYFUNCTION("""COMPUTED_VALUE"""),"Digizag")</f>
        <v>Digizag</v>
      </c>
      <c r="T1257" s="2" t="str">
        <f>IFERROR(__xludf.DUMMYFUNCTION("""COMPUTED_VALUE"""),"Digizag")</f>
        <v>Digizag</v>
      </c>
      <c r="U1257" s="5">
        <f>IFERROR(__xludf.DUMMYFUNCTION("""COMPUTED_VALUE"""),41.732772659460004)</f>
        <v>41.73277266</v>
      </c>
      <c r="V1257" s="2"/>
      <c r="W1257" s="2"/>
      <c r="X1257" s="2"/>
      <c r="Y1257" s="2"/>
      <c r="Z1257" s="2"/>
    </row>
    <row r="1258">
      <c r="A1258" s="6">
        <f>IFERROR(__xludf.DUMMYFUNCTION("""COMPUTED_VALUE"""),45942.52621527778)</f>
        <v>45942.52622</v>
      </c>
      <c r="B1258" s="2" t="str">
        <f>IFERROR(__xludf.DUMMYFUNCTION("""COMPUTED_VALUE"""),"October")</f>
        <v>October</v>
      </c>
      <c r="C1258" s="2">
        <f>IFERROR(__xludf.DUMMYFUNCTION("""COMPUTED_VALUE"""),815537.0)</f>
        <v>815537</v>
      </c>
      <c r="D1258" s="2" t="str">
        <f>IFERROR(__xludf.DUMMYFUNCTION("""COMPUTED_VALUE"""),"DB1")</f>
        <v>DB1</v>
      </c>
      <c r="E1258" s="2" t="str">
        <f>IFERROR(__xludf.DUMMYFUNCTION("""COMPUTED_VALUE"""),"Imported from file Digizag.xlsx")</f>
        <v>Imported from file Digizag.xlsx</v>
      </c>
      <c r="F1258" s="2" t="str">
        <f>IFERROR(__xludf.DUMMYFUNCTION("""COMPUTED_VALUE"""),"KRH909362")</f>
        <v>KRH909362</v>
      </c>
      <c r="G1258" s="2" t="str">
        <f>IFERROR(__xludf.DUMMYFUNCTION("""COMPUTED_VALUE"""),"Kingdom of Saudi Arabia")</f>
        <v>Kingdom of Saudi Arabia</v>
      </c>
      <c r="H1258" s="2">
        <f>IFERROR(__xludf.DUMMYFUNCTION("""COMPUTED_VALUE"""),41.5)</f>
        <v>41.5</v>
      </c>
      <c r="I1258" s="2">
        <f>IFERROR(__xludf.DUMMYFUNCTION("""COMPUTED_VALUE"""),0.0)</f>
        <v>0</v>
      </c>
      <c r="J1258" s="2">
        <f>IFERROR(__xludf.DUMMYFUNCTION("""COMPUTED_VALUE"""),10.37)</f>
        <v>10.37</v>
      </c>
      <c r="K1258" s="2"/>
      <c r="L1258" s="2" t="str">
        <f>IFERROR(__xludf.DUMMYFUNCTION("""COMPUTED_VALUE"""),"Delivered")</f>
        <v>Delivered</v>
      </c>
      <c r="M1258" s="2" t="str">
        <f>IFERROR(__xludf.DUMMYFUNCTION("""COMPUTED_VALUE"""),"")</f>
        <v></v>
      </c>
      <c r="N1258" s="2" t="str">
        <f>IFERROR(__xludf.DUMMYFUNCTION("""COMPUTED_VALUE"""),"Credit, Debit, Apple Pay")</f>
        <v>Credit, Debit, Apple Pay</v>
      </c>
      <c r="O1258" s="2">
        <f>IFERROR(__xludf.DUMMYFUNCTION("""COMPUTED_VALUE"""),0.0)</f>
        <v>0</v>
      </c>
      <c r="P1258" s="2">
        <f>IFERROR(__xludf.DUMMYFUNCTION("""COMPUTED_VALUE"""),12.0)</f>
        <v>12</v>
      </c>
      <c r="Q1258" s="2">
        <f>IFERROR(__xludf.DUMMYFUNCTION("""COMPUTED_VALUE"""),10.0)</f>
        <v>10</v>
      </c>
      <c r="R1258" s="2">
        <f>IFERROR(__xludf.DUMMYFUNCTION("""COMPUTED_VALUE"""),2025.0)</f>
        <v>2025</v>
      </c>
      <c r="S1258" s="2" t="str">
        <f>IFERROR(__xludf.DUMMYFUNCTION("""COMPUTED_VALUE"""),"Digizag")</f>
        <v>Digizag</v>
      </c>
      <c r="T1258" s="2" t="str">
        <f>IFERROR(__xludf.DUMMYFUNCTION("""COMPUTED_VALUE"""),"Digizag")</f>
        <v>Digizag</v>
      </c>
      <c r="U1258" s="5">
        <f>IFERROR(__xludf.DUMMYFUNCTION("""COMPUTED_VALUE"""),11.065810909000001)</f>
        <v>11.06581091</v>
      </c>
      <c r="V1258" s="2"/>
      <c r="W1258" s="2"/>
      <c r="X1258" s="2"/>
      <c r="Y1258" s="2"/>
      <c r="Z1258" s="2"/>
    </row>
    <row r="1259">
      <c r="A1259" s="6">
        <f>IFERROR(__xludf.DUMMYFUNCTION("""COMPUTED_VALUE"""),45942.535520833335)</f>
        <v>45942.53552</v>
      </c>
      <c r="B1259" s="2" t="str">
        <f>IFERROR(__xludf.DUMMYFUNCTION("""COMPUTED_VALUE"""),"October")</f>
        <v>October</v>
      </c>
      <c r="C1259" s="2">
        <f>IFERROR(__xludf.DUMMYFUNCTION("""COMPUTED_VALUE"""),114622.0)</f>
        <v>114622</v>
      </c>
      <c r="D1259" s="2" t="str">
        <f>IFERROR(__xludf.DUMMYFUNCTION("""COMPUTED_VALUE"""),"ZM22")</f>
        <v>ZM22</v>
      </c>
      <c r="E1259" s="2" t="str">
        <f>IFERROR(__xludf.DUMMYFUNCTION("""COMPUTED_VALUE"""),"Imported from file Digizag.xlsx")</f>
        <v>Imported from file Digizag.xlsx</v>
      </c>
      <c r="F1259" s="2" t="str">
        <f>IFERROR(__xludf.DUMMYFUNCTION("""COMPUTED_VALUE"""),"URL353040")</f>
        <v>URL353040</v>
      </c>
      <c r="G1259" s="2" t="str">
        <f>IFERROR(__xludf.DUMMYFUNCTION("""COMPUTED_VALUE"""),"Kingdom of Saudi Arabia")</f>
        <v>Kingdom of Saudi Arabia</v>
      </c>
      <c r="H1259" s="2">
        <f>IFERROR(__xludf.DUMMYFUNCTION("""COMPUTED_VALUE"""),957.0)</f>
        <v>957</v>
      </c>
      <c r="I1259" s="2">
        <f>IFERROR(__xludf.DUMMYFUNCTION("""COMPUTED_VALUE"""),1.0)</f>
        <v>1</v>
      </c>
      <c r="J1259" s="2">
        <f>IFERROR(__xludf.DUMMYFUNCTION("""COMPUTED_VALUE"""),30.0)</f>
        <v>30</v>
      </c>
      <c r="K1259" s="2"/>
      <c r="L1259" s="2" t="str">
        <f>IFERROR(__xludf.DUMMYFUNCTION("""COMPUTED_VALUE"""),"Partially Cancelled")</f>
        <v>Partially Cancelled</v>
      </c>
      <c r="M1259" s="2" t="str">
        <f>IFERROR(__xludf.DUMMYFUNCTION("""COMPUTED_VALUE"""),"")</f>
        <v></v>
      </c>
      <c r="N1259" s="2" t="str">
        <f>IFERROR(__xludf.DUMMYFUNCTION("""COMPUTED_VALUE"""),"Credit, Debit, Apple Pay")</f>
        <v>Credit, Debit, Apple Pay</v>
      </c>
      <c r="O1259" s="2">
        <f>IFERROR(__xludf.DUMMYFUNCTION("""COMPUTED_VALUE"""),16.47)</f>
        <v>16.47</v>
      </c>
      <c r="P1259" s="2">
        <f>IFERROR(__xludf.DUMMYFUNCTION("""COMPUTED_VALUE"""),12.0)</f>
        <v>12</v>
      </c>
      <c r="Q1259" s="2">
        <f>IFERROR(__xludf.DUMMYFUNCTION("""COMPUTED_VALUE"""),10.0)</f>
        <v>10</v>
      </c>
      <c r="R1259" s="2">
        <f>IFERROR(__xludf.DUMMYFUNCTION("""COMPUTED_VALUE"""),2025.0)</f>
        <v>2025</v>
      </c>
      <c r="S1259" s="2" t="str">
        <f>IFERROR(__xludf.DUMMYFUNCTION("""COMPUTED_VALUE"""),"Digizag")</f>
        <v>Digizag</v>
      </c>
      <c r="T1259" s="2" t="str">
        <f>IFERROR(__xludf.DUMMYFUNCTION("""COMPUTED_VALUE"""),"Digizag")</f>
        <v>Digizag</v>
      </c>
      <c r="U1259" s="5">
        <f>IFERROR(__xludf.DUMMYFUNCTION("""COMPUTED_VALUE"""),255.180266022)</f>
        <v>255.180266</v>
      </c>
      <c r="V1259" s="2"/>
      <c r="W1259" s="2"/>
      <c r="X1259" s="2"/>
      <c r="Y1259" s="2"/>
      <c r="Z1259" s="2"/>
    </row>
    <row r="1260">
      <c r="A1260" s="6">
        <f>IFERROR(__xludf.DUMMYFUNCTION("""COMPUTED_VALUE"""),45942.56673611111)</f>
        <v>45942.56674</v>
      </c>
      <c r="B1260" s="2" t="str">
        <f>IFERROR(__xludf.DUMMYFUNCTION("""COMPUTED_VALUE"""),"October")</f>
        <v>October</v>
      </c>
      <c r="C1260" s="2">
        <f>IFERROR(__xludf.DUMMYFUNCTION("""COMPUTED_VALUE"""),170970.0)</f>
        <v>170970</v>
      </c>
      <c r="D1260" s="2" t="str">
        <f>IFERROR(__xludf.DUMMYFUNCTION("""COMPUTED_VALUE"""),"RR22")</f>
        <v>RR22</v>
      </c>
      <c r="E1260" s="2" t="str">
        <f>IFERROR(__xludf.DUMMYFUNCTION("""COMPUTED_VALUE"""),"Imported from file Digizag.xlsx")</f>
        <v>Imported from file Digizag.xlsx</v>
      </c>
      <c r="F1260" s="2" t="str">
        <f>IFERROR(__xludf.DUMMYFUNCTION("""COMPUTED_VALUE"""),"NYN211030")</f>
        <v>NYN211030</v>
      </c>
      <c r="G1260" s="2" t="str">
        <f>IFERROR(__xludf.DUMMYFUNCTION("""COMPUTED_VALUE"""),"UAE")</f>
        <v>UAE</v>
      </c>
      <c r="H1260" s="2">
        <f>IFERROR(__xludf.DUMMYFUNCTION("""COMPUTED_VALUE"""),237.0)</f>
        <v>237</v>
      </c>
      <c r="I1260" s="2">
        <f>IFERROR(__xludf.DUMMYFUNCTION("""COMPUTED_VALUE"""),0.0)</f>
        <v>0</v>
      </c>
      <c r="J1260" s="2">
        <f>IFERROR(__xludf.DUMMYFUNCTION("""COMPUTED_VALUE"""),23.7)</f>
        <v>23.7</v>
      </c>
      <c r="K1260" s="2"/>
      <c r="L1260" s="2" t="str">
        <f>IFERROR(__xludf.DUMMYFUNCTION("""COMPUTED_VALUE"""),"Delivered")</f>
        <v>Delivered</v>
      </c>
      <c r="M1260" s="2" t="str">
        <f>IFERROR(__xludf.DUMMYFUNCTION("""COMPUTED_VALUE"""),"")</f>
        <v></v>
      </c>
      <c r="N1260" s="2" t="str">
        <f>IFERROR(__xludf.DUMMYFUNCTION("""COMPUTED_VALUE"""),"Tamara: split in 3, interest-free")</f>
        <v>Tamara: split in 3, interest-free</v>
      </c>
      <c r="O1260" s="2">
        <f>IFERROR(__xludf.DUMMYFUNCTION("""COMPUTED_VALUE"""),0.0)</f>
        <v>0</v>
      </c>
      <c r="P1260" s="2">
        <f>IFERROR(__xludf.DUMMYFUNCTION("""COMPUTED_VALUE"""),12.0)</f>
        <v>12</v>
      </c>
      <c r="Q1260" s="2">
        <f>IFERROR(__xludf.DUMMYFUNCTION("""COMPUTED_VALUE"""),10.0)</f>
        <v>10</v>
      </c>
      <c r="R1260" s="2">
        <f>IFERROR(__xludf.DUMMYFUNCTION("""COMPUTED_VALUE"""),2025.0)</f>
        <v>2025</v>
      </c>
      <c r="S1260" s="2" t="str">
        <f>IFERROR(__xludf.DUMMYFUNCTION("""COMPUTED_VALUE"""),"Digizag")</f>
        <v>Digizag</v>
      </c>
      <c r="T1260" s="2" t="str">
        <f>IFERROR(__xludf.DUMMYFUNCTION("""COMPUTED_VALUE"""),"Digizag")</f>
        <v>Digizag</v>
      </c>
      <c r="U1260" s="5">
        <f>IFERROR(__xludf.DUMMYFUNCTION("""COMPUTED_VALUE"""),64.533696486)</f>
        <v>64.53369649</v>
      </c>
      <c r="V1260" s="2"/>
      <c r="W1260" s="2"/>
      <c r="X1260" s="2"/>
      <c r="Y1260" s="2"/>
      <c r="Z1260" s="2"/>
    </row>
    <row r="1261">
      <c r="A1261" s="6">
        <f>IFERROR(__xludf.DUMMYFUNCTION("""COMPUTED_VALUE"""),45942.75611111111)</f>
        <v>45942.75611</v>
      </c>
      <c r="B1261" s="2" t="str">
        <f>IFERROR(__xludf.DUMMYFUNCTION("""COMPUTED_VALUE"""),"October")</f>
        <v>October</v>
      </c>
      <c r="C1261" s="2">
        <f>IFERROR(__xludf.DUMMYFUNCTION("""COMPUTED_VALUE"""),590366.0)</f>
        <v>590366</v>
      </c>
      <c r="D1261" s="2" t="str">
        <f>IFERROR(__xludf.DUMMYFUNCTION("""COMPUTED_VALUE"""),"MNN27")</f>
        <v>MNN27</v>
      </c>
      <c r="E1261" s="2" t="str">
        <f>IFERROR(__xludf.DUMMYFUNCTION("""COMPUTED_VALUE"""),"Imported from file DigiZag Bidding Codes.xlsx")</f>
        <v>Imported from file DigiZag Bidding Codes.xlsx</v>
      </c>
      <c r="F1261" s="2" t="str">
        <f>IFERROR(__xludf.DUMMYFUNCTION("""COMPUTED_VALUE"""),"DDM828852")</f>
        <v>DDM828852</v>
      </c>
      <c r="G1261" s="2" t="str">
        <f>IFERROR(__xludf.DUMMYFUNCTION("""COMPUTED_VALUE"""),"Kingdom of Saudi Arabia")</f>
        <v>Kingdom of Saudi Arabia</v>
      </c>
      <c r="H1261" s="2">
        <f>IFERROR(__xludf.DUMMYFUNCTION("""COMPUTED_VALUE"""),158.69)</f>
        <v>158.69</v>
      </c>
      <c r="I1261" s="2">
        <f>IFERROR(__xludf.DUMMYFUNCTION("""COMPUTED_VALUE"""),0.0)</f>
        <v>0</v>
      </c>
      <c r="J1261" s="2">
        <f>IFERROR(__xludf.DUMMYFUNCTION("""COMPUTED_VALUE"""),30.0)</f>
        <v>30</v>
      </c>
      <c r="K1261" s="2"/>
      <c r="L1261" s="2" t="str">
        <f>IFERROR(__xludf.DUMMYFUNCTION("""COMPUTED_VALUE"""),"Delivered")</f>
        <v>Delivered</v>
      </c>
      <c r="M1261" s="2" t="str">
        <f>IFERROR(__xludf.DUMMYFUNCTION("""COMPUTED_VALUE"""),"")</f>
        <v></v>
      </c>
      <c r="N1261" s="2" t="str">
        <f>IFERROR(__xludf.DUMMYFUNCTION("""COMPUTED_VALUE"""),"Pay in 4. No interest, no fees")</f>
        <v>Pay in 4. No interest, no fees</v>
      </c>
      <c r="O1261" s="2">
        <f>IFERROR(__xludf.DUMMYFUNCTION("""COMPUTED_VALUE"""),0.0)</f>
        <v>0</v>
      </c>
      <c r="P1261" s="2">
        <f>IFERROR(__xludf.DUMMYFUNCTION("""COMPUTED_VALUE"""),12.0)</f>
        <v>12</v>
      </c>
      <c r="Q1261" s="2">
        <f>IFERROR(__xludf.DUMMYFUNCTION("""COMPUTED_VALUE"""),10.0)</f>
        <v>10</v>
      </c>
      <c r="R1261" s="2">
        <f>IFERROR(__xludf.DUMMYFUNCTION("""COMPUTED_VALUE"""),2025.0)</f>
        <v>2025</v>
      </c>
      <c r="S1261" s="2" t="str">
        <f>IFERROR(__xludf.DUMMYFUNCTION("""COMPUTED_VALUE"""),"Digizag")</f>
        <v>Digizag</v>
      </c>
      <c r="T1261" s="2" t="str">
        <f>IFERROR(__xludf.DUMMYFUNCTION("""COMPUTED_VALUE"""),"Digizag")</f>
        <v>Digizag</v>
      </c>
      <c r="U1261" s="5">
        <f>IFERROR(__xludf.DUMMYFUNCTION("""COMPUTED_VALUE"""),42.314061039740004)</f>
        <v>42.31406104</v>
      </c>
      <c r="V1261" s="2"/>
      <c r="W1261" s="2"/>
      <c r="X1261" s="2"/>
      <c r="Y1261" s="2"/>
      <c r="Z1261" s="2"/>
    </row>
    <row r="1262">
      <c r="A1262" s="6">
        <f>IFERROR(__xludf.DUMMYFUNCTION("""COMPUTED_VALUE"""),45942.83193287037)</f>
        <v>45942.83193</v>
      </c>
      <c r="B1262" s="2" t="str">
        <f>IFERROR(__xludf.DUMMYFUNCTION("""COMPUTED_VALUE"""),"October")</f>
        <v>October</v>
      </c>
      <c r="C1262" s="2">
        <f>IFERROR(__xludf.DUMMYFUNCTION("""COMPUTED_VALUE"""),689618.0)</f>
        <v>689618</v>
      </c>
      <c r="D1262" s="2" t="str">
        <f>IFERROR(__xludf.DUMMYFUNCTION("""COMPUTED_VALUE"""),"DB7")</f>
        <v>DB7</v>
      </c>
      <c r="E1262" s="2" t="str">
        <f>IFERROR(__xludf.DUMMYFUNCTION("""COMPUTED_VALUE"""),"Digizag")</f>
        <v>Digizag</v>
      </c>
      <c r="F1262" s="2" t="str">
        <f>IFERROR(__xludf.DUMMYFUNCTION("""COMPUTED_VALUE"""),"KDC824661")</f>
        <v>KDC824661</v>
      </c>
      <c r="G1262" s="2" t="str">
        <f>IFERROR(__xludf.DUMMYFUNCTION("""COMPUTED_VALUE"""),"Kingdom of Saudi Arabia")</f>
        <v>Kingdom of Saudi Arabia</v>
      </c>
      <c r="H1262" s="2">
        <f>IFERROR(__xludf.DUMMYFUNCTION("""COMPUTED_VALUE"""),134.78)</f>
        <v>134.78</v>
      </c>
      <c r="I1262" s="2">
        <f>IFERROR(__xludf.DUMMYFUNCTION("""COMPUTED_VALUE"""),0.0)</f>
        <v>0</v>
      </c>
      <c r="J1262" s="2">
        <f>IFERROR(__xludf.DUMMYFUNCTION("""COMPUTED_VALUE"""),30.0)</f>
        <v>30</v>
      </c>
      <c r="K1262" s="2"/>
      <c r="L1262" s="2" t="str">
        <f>IFERROR(__xludf.DUMMYFUNCTION("""COMPUTED_VALUE"""),"Processing")</f>
        <v>Processing</v>
      </c>
      <c r="M1262" s="2" t="str">
        <f>IFERROR(__xludf.DUMMYFUNCTION("""COMPUTED_VALUE"""),"")</f>
        <v></v>
      </c>
      <c r="N1262" s="2" t="str">
        <f>IFERROR(__xludf.DUMMYFUNCTION("""COMPUTED_VALUE"""),"Credit, Debit, Apple Pay")</f>
        <v>Credit, Debit, Apple Pay</v>
      </c>
      <c r="O1262" s="2">
        <f>IFERROR(__xludf.DUMMYFUNCTION("""COMPUTED_VALUE"""),0.0)</f>
        <v>0</v>
      </c>
      <c r="P1262" s="2">
        <f>IFERROR(__xludf.DUMMYFUNCTION("""COMPUTED_VALUE"""),12.0)</f>
        <v>12</v>
      </c>
      <c r="Q1262" s="2">
        <f>IFERROR(__xludf.DUMMYFUNCTION("""COMPUTED_VALUE"""),10.0)</f>
        <v>10</v>
      </c>
      <c r="R1262" s="2">
        <f>IFERROR(__xludf.DUMMYFUNCTION("""COMPUTED_VALUE"""),2025.0)</f>
        <v>2025</v>
      </c>
      <c r="S1262" s="2" t="str">
        <f>IFERROR(__xludf.DUMMYFUNCTION("""COMPUTED_VALUE"""),"Digizag")</f>
        <v>Digizag</v>
      </c>
      <c r="T1262" s="2" t="str">
        <f>IFERROR(__xludf.DUMMYFUNCTION("""COMPUTED_VALUE"""),"Digizag")</f>
        <v>Digizag</v>
      </c>
      <c r="U1262" s="5">
        <f>IFERROR(__xludf.DUMMYFUNCTION("""COMPUTED_VALUE"""),35.93855407988001)</f>
        <v>35.93855408</v>
      </c>
      <c r="V1262" s="2"/>
      <c r="W1262" s="2"/>
      <c r="X1262" s="2"/>
      <c r="Y1262" s="2"/>
      <c r="Z1262" s="2"/>
    </row>
    <row r="1263">
      <c r="A1263" s="6">
        <f>IFERROR(__xludf.DUMMYFUNCTION("""COMPUTED_VALUE"""),45942.884722222225)</f>
        <v>45942.88472</v>
      </c>
      <c r="B1263" s="2" t="str">
        <f>IFERROR(__xludf.DUMMYFUNCTION("""COMPUTED_VALUE"""),"October")</f>
        <v>October</v>
      </c>
      <c r="C1263" s="2">
        <f>IFERROR(__xludf.DUMMYFUNCTION("""COMPUTED_VALUE"""),274286.0)</f>
        <v>274286</v>
      </c>
      <c r="D1263" s="2" t="str">
        <f>IFERROR(__xludf.DUMMYFUNCTION("""COMPUTED_VALUE"""),"DB7")</f>
        <v>DB7</v>
      </c>
      <c r="E1263" s="2" t="str">
        <f>IFERROR(__xludf.DUMMYFUNCTION("""COMPUTED_VALUE"""),"Digizag")</f>
        <v>Digizag</v>
      </c>
      <c r="F1263" s="2" t="str">
        <f>IFERROR(__xludf.DUMMYFUNCTION("""COMPUTED_VALUE"""),"LQN567318")</f>
        <v>LQN567318</v>
      </c>
      <c r="G1263" s="2" t="str">
        <f>IFERROR(__xludf.DUMMYFUNCTION("""COMPUTED_VALUE"""),"Kingdom of Saudi Arabia")</f>
        <v>Kingdom of Saudi Arabia</v>
      </c>
      <c r="H1263" s="2">
        <f>IFERROR(__xludf.DUMMYFUNCTION("""COMPUTED_VALUE"""),216.52)</f>
        <v>216.52</v>
      </c>
      <c r="I1263" s="2">
        <f>IFERROR(__xludf.DUMMYFUNCTION("""COMPUTED_VALUE"""),0.0)</f>
        <v>0</v>
      </c>
      <c r="J1263" s="2">
        <f>IFERROR(__xludf.DUMMYFUNCTION("""COMPUTED_VALUE"""),30.0)</f>
        <v>30</v>
      </c>
      <c r="K1263" s="2"/>
      <c r="L1263" s="2" t="str">
        <f>IFERROR(__xludf.DUMMYFUNCTION("""COMPUTED_VALUE"""),"Delivered")</f>
        <v>Delivered</v>
      </c>
      <c r="M1263" s="2" t="str">
        <f>IFERROR(__xludf.DUMMYFUNCTION("""COMPUTED_VALUE"""),"")</f>
        <v></v>
      </c>
      <c r="N1263" s="2" t="str">
        <f>IFERROR(__xludf.DUMMYFUNCTION("""COMPUTED_VALUE"""),"Credit, Debit, Apple Pay")</f>
        <v>Credit, Debit, Apple Pay</v>
      </c>
      <c r="O1263" s="2">
        <f>IFERROR(__xludf.DUMMYFUNCTION("""COMPUTED_VALUE"""),0.0)</f>
        <v>0</v>
      </c>
      <c r="P1263" s="2">
        <f>IFERROR(__xludf.DUMMYFUNCTION("""COMPUTED_VALUE"""),12.0)</f>
        <v>12</v>
      </c>
      <c r="Q1263" s="2">
        <f>IFERROR(__xludf.DUMMYFUNCTION("""COMPUTED_VALUE"""),10.0)</f>
        <v>10</v>
      </c>
      <c r="R1263" s="2">
        <f>IFERROR(__xludf.DUMMYFUNCTION("""COMPUTED_VALUE"""),2025.0)</f>
        <v>2025</v>
      </c>
      <c r="S1263" s="2" t="str">
        <f>IFERROR(__xludf.DUMMYFUNCTION("""COMPUTED_VALUE"""),"Digizag")</f>
        <v>Digizag</v>
      </c>
      <c r="T1263" s="2" t="str">
        <f>IFERROR(__xludf.DUMMYFUNCTION("""COMPUTED_VALUE"""),"Digizag")</f>
        <v>Digizag</v>
      </c>
      <c r="U1263" s="5">
        <f>IFERROR(__xludf.DUMMYFUNCTION("""COMPUTED_VALUE"""),57.73420187992001)</f>
        <v>57.73420188</v>
      </c>
      <c r="V1263" s="2"/>
      <c r="W1263" s="2"/>
      <c r="X1263" s="2"/>
      <c r="Y1263" s="2"/>
      <c r="Z1263" s="2"/>
    </row>
    <row r="1264">
      <c r="A1264" s="6">
        <f>IFERROR(__xludf.DUMMYFUNCTION("""COMPUTED_VALUE"""),45943.51253472222)</f>
        <v>45943.51253</v>
      </c>
      <c r="B1264" s="2" t="str">
        <f>IFERROR(__xludf.DUMMYFUNCTION("""COMPUTED_VALUE"""),"October")</f>
        <v>October</v>
      </c>
      <c r="C1264" s="2">
        <f>IFERROR(__xludf.DUMMYFUNCTION("""COMPUTED_VALUE"""),408893.0)</f>
        <v>408893</v>
      </c>
      <c r="D1264" s="2" t="str">
        <f>IFERROR(__xludf.DUMMYFUNCTION("""COMPUTED_VALUE"""),"82WP58")</f>
        <v>82WP58</v>
      </c>
      <c r="E1264" s="2" t="str">
        <f>IFERROR(__xludf.DUMMYFUNCTION("""COMPUTED_VALUE"""),"Imported from file DigiZag Bidding Codes.xlsx")</f>
        <v>Imported from file DigiZag Bidding Codes.xlsx</v>
      </c>
      <c r="F1264" s="2" t="str">
        <f>IFERROR(__xludf.DUMMYFUNCTION("""COMPUTED_VALUE"""),"BBN371166")</f>
        <v>BBN371166</v>
      </c>
      <c r="G1264" s="2" t="str">
        <f>IFERROR(__xludf.DUMMYFUNCTION("""COMPUTED_VALUE"""),"Kingdom of Saudi Arabia")</f>
        <v>Kingdom of Saudi Arabia</v>
      </c>
      <c r="H1264" s="2">
        <f>IFERROR(__xludf.DUMMYFUNCTION("""COMPUTED_VALUE"""),51.0)</f>
        <v>51</v>
      </c>
      <c r="I1264" s="2">
        <f>IFERROR(__xludf.DUMMYFUNCTION("""COMPUTED_VALUE"""),0.0)</f>
        <v>0</v>
      </c>
      <c r="J1264" s="2">
        <f>IFERROR(__xludf.DUMMYFUNCTION("""COMPUTED_VALUE"""),12.75)</f>
        <v>12.75</v>
      </c>
      <c r="K1264" s="2"/>
      <c r="L1264" s="2" t="str">
        <f>IFERROR(__xludf.DUMMYFUNCTION("""COMPUTED_VALUE"""),"Delivered")</f>
        <v>Delivered</v>
      </c>
      <c r="M1264" s="2" t="str">
        <f>IFERROR(__xludf.DUMMYFUNCTION("""COMPUTED_VALUE"""),"")</f>
        <v></v>
      </c>
      <c r="N1264" s="2" t="str">
        <f>IFERROR(__xludf.DUMMYFUNCTION("""COMPUTED_VALUE"""),"Credit, Debit, Apple Pay")</f>
        <v>Credit, Debit, Apple Pay</v>
      </c>
      <c r="O1264" s="2">
        <f>IFERROR(__xludf.DUMMYFUNCTION("""COMPUTED_VALUE"""),0.0)</f>
        <v>0</v>
      </c>
      <c r="P1264" s="2">
        <f>IFERROR(__xludf.DUMMYFUNCTION("""COMPUTED_VALUE"""),13.0)</f>
        <v>13</v>
      </c>
      <c r="Q1264" s="2">
        <f>IFERROR(__xludf.DUMMYFUNCTION("""COMPUTED_VALUE"""),10.0)</f>
        <v>10</v>
      </c>
      <c r="R1264" s="2">
        <f>IFERROR(__xludf.DUMMYFUNCTION("""COMPUTED_VALUE"""),2025.0)</f>
        <v>2025</v>
      </c>
      <c r="S1264" s="2" t="str">
        <f>IFERROR(__xludf.DUMMYFUNCTION("""COMPUTED_VALUE"""),"Digizag")</f>
        <v>Digizag</v>
      </c>
      <c r="T1264" s="2" t="str">
        <f>IFERROR(__xludf.DUMMYFUNCTION("""COMPUTED_VALUE"""),"Digizag")</f>
        <v>Digizag</v>
      </c>
      <c r="U1264" s="5">
        <f>IFERROR(__xludf.DUMMYFUNCTION("""COMPUTED_VALUE"""),13.598948346000002)</f>
        <v>13.59894835</v>
      </c>
      <c r="V1264" s="2"/>
      <c r="W1264" s="2"/>
      <c r="X1264" s="2"/>
      <c r="Y1264" s="2"/>
      <c r="Z1264" s="2"/>
    </row>
    <row r="1265">
      <c r="A1265" s="6">
        <f>IFERROR(__xludf.DUMMYFUNCTION("""COMPUTED_VALUE"""),45943.59307870371)</f>
        <v>45943.59308</v>
      </c>
      <c r="B1265" s="2" t="str">
        <f>IFERROR(__xludf.DUMMYFUNCTION("""COMPUTED_VALUE"""),"October")</f>
        <v>October</v>
      </c>
      <c r="C1265" s="2">
        <f>IFERROR(__xludf.DUMMYFUNCTION("""COMPUTED_VALUE"""),563118.0)</f>
        <v>563118</v>
      </c>
      <c r="D1265" s="2" t="str">
        <f>IFERROR(__xludf.DUMMYFUNCTION("""COMPUTED_VALUE"""),"82WP58")</f>
        <v>82WP58</v>
      </c>
      <c r="E1265" s="2" t="str">
        <f>IFERROR(__xludf.DUMMYFUNCTION("""COMPUTED_VALUE"""),"Imported from file DigiZag Bidding Codes.xlsx")</f>
        <v>Imported from file DigiZag Bidding Codes.xlsx</v>
      </c>
      <c r="F1265" s="2" t="str">
        <f>IFERROR(__xludf.DUMMYFUNCTION("""COMPUTED_VALUE"""),"QCP341030")</f>
        <v>QCP341030</v>
      </c>
      <c r="G1265" s="2" t="str">
        <f>IFERROR(__xludf.DUMMYFUNCTION("""COMPUTED_VALUE"""),"Kingdom of Saudi Arabia")</f>
        <v>Kingdom of Saudi Arabia</v>
      </c>
      <c r="H1265" s="2">
        <f>IFERROR(__xludf.DUMMYFUNCTION("""COMPUTED_VALUE"""),69.0)</f>
        <v>69</v>
      </c>
      <c r="I1265" s="2">
        <f>IFERROR(__xludf.DUMMYFUNCTION("""COMPUTED_VALUE"""),1.0)</f>
        <v>1</v>
      </c>
      <c r="J1265" s="2">
        <f>IFERROR(__xludf.DUMMYFUNCTION("""COMPUTED_VALUE"""),17.25)</f>
        <v>17.25</v>
      </c>
      <c r="K1265" s="2"/>
      <c r="L1265" s="2" t="str">
        <f>IFERROR(__xludf.DUMMYFUNCTION("""COMPUTED_VALUE"""),"Cancelled")</f>
        <v>Cancelled</v>
      </c>
      <c r="M1265" s="2" t="str">
        <f>IFERROR(__xludf.DUMMYFUNCTION("""COMPUTED_VALUE"""),"")</f>
        <v></v>
      </c>
      <c r="N1265" s="2" t="str">
        <f>IFERROR(__xludf.DUMMYFUNCTION("""COMPUTED_VALUE"""),"Credit, Debit, Apple Pay")</f>
        <v>Credit, Debit, Apple Pay</v>
      </c>
      <c r="O1265" s="2">
        <f>IFERROR(__xludf.DUMMYFUNCTION("""COMPUTED_VALUE"""),51.75)</f>
        <v>51.75</v>
      </c>
      <c r="P1265" s="2">
        <f>IFERROR(__xludf.DUMMYFUNCTION("""COMPUTED_VALUE"""),13.0)</f>
        <v>13</v>
      </c>
      <c r="Q1265" s="2">
        <f>IFERROR(__xludf.DUMMYFUNCTION("""COMPUTED_VALUE"""),10.0)</f>
        <v>10</v>
      </c>
      <c r="R1265" s="2">
        <f>IFERROR(__xludf.DUMMYFUNCTION("""COMPUTED_VALUE"""),2025.0)</f>
        <v>2025</v>
      </c>
      <c r="S1265" s="2" t="str">
        <f>IFERROR(__xludf.DUMMYFUNCTION("""COMPUTED_VALUE"""),"Digizag")</f>
        <v>Digizag</v>
      </c>
      <c r="T1265" s="2" t="str">
        <f>IFERROR(__xludf.DUMMYFUNCTION("""COMPUTED_VALUE"""),"Digizag")</f>
        <v>Digizag</v>
      </c>
      <c r="U1265" s="5">
        <f>IFERROR(__xludf.DUMMYFUNCTION("""COMPUTED_VALUE"""),18.398577174000003)</f>
        <v>18.39857717</v>
      </c>
      <c r="V1265" s="2"/>
      <c r="W1265" s="2"/>
      <c r="X1265" s="2"/>
      <c r="Y1265" s="2"/>
      <c r="Z1265" s="2"/>
    </row>
    <row r="1266">
      <c r="A1266" s="6">
        <f>IFERROR(__xludf.DUMMYFUNCTION("""COMPUTED_VALUE"""),45943.70915509259)</f>
        <v>45943.70916</v>
      </c>
      <c r="B1266" s="2" t="str">
        <f>IFERROR(__xludf.DUMMYFUNCTION("""COMPUTED_VALUE"""),"October")</f>
        <v>October</v>
      </c>
      <c r="C1266" s="2">
        <f>IFERROR(__xludf.DUMMYFUNCTION("""COMPUTED_VALUE"""),816132.0)</f>
        <v>816132</v>
      </c>
      <c r="D1266" s="2" t="str">
        <f>IFERROR(__xludf.DUMMYFUNCTION("""COMPUTED_VALUE"""),"DB1")</f>
        <v>DB1</v>
      </c>
      <c r="E1266" s="2" t="str">
        <f>IFERROR(__xludf.DUMMYFUNCTION("""COMPUTED_VALUE"""),"Imported from file Digizag.xlsx")</f>
        <v>Imported from file Digizag.xlsx</v>
      </c>
      <c r="F1266" s="2" t="str">
        <f>IFERROR(__xludf.DUMMYFUNCTION("""COMPUTED_VALUE"""),"KNM632589")</f>
        <v>KNM632589</v>
      </c>
      <c r="G1266" s="2" t="str">
        <f>IFERROR(__xludf.DUMMYFUNCTION("""COMPUTED_VALUE"""),"Kingdom of Saudi Arabia")</f>
        <v>Kingdom of Saudi Arabia</v>
      </c>
      <c r="H1266" s="2">
        <f>IFERROR(__xludf.DUMMYFUNCTION("""COMPUTED_VALUE"""),89.98)</f>
        <v>89.98</v>
      </c>
      <c r="I1266" s="2">
        <f>IFERROR(__xludf.DUMMYFUNCTION("""COMPUTED_VALUE"""),0.0)</f>
        <v>0</v>
      </c>
      <c r="J1266" s="2">
        <f>IFERROR(__xludf.DUMMYFUNCTION("""COMPUTED_VALUE"""),22.48)</f>
        <v>22.48</v>
      </c>
      <c r="K1266" s="2"/>
      <c r="L1266" s="2" t="str">
        <f>IFERROR(__xludf.DUMMYFUNCTION("""COMPUTED_VALUE"""),"Delivered")</f>
        <v>Delivered</v>
      </c>
      <c r="M1266" s="2" t="str">
        <f>IFERROR(__xludf.DUMMYFUNCTION("""COMPUTED_VALUE"""),"")</f>
        <v></v>
      </c>
      <c r="N1266" s="2" t="str">
        <f>IFERROR(__xludf.DUMMYFUNCTION("""COMPUTED_VALUE"""),"Cash")</f>
        <v>Cash</v>
      </c>
      <c r="O1266" s="2">
        <f>IFERROR(__xludf.DUMMYFUNCTION("""COMPUTED_VALUE"""),0.0)</f>
        <v>0</v>
      </c>
      <c r="P1266" s="2">
        <f>IFERROR(__xludf.DUMMYFUNCTION("""COMPUTED_VALUE"""),13.0)</f>
        <v>13</v>
      </c>
      <c r="Q1266" s="2">
        <f>IFERROR(__xludf.DUMMYFUNCTION("""COMPUTED_VALUE"""),10.0)</f>
        <v>10</v>
      </c>
      <c r="R1266" s="2">
        <f>IFERROR(__xludf.DUMMYFUNCTION("""COMPUTED_VALUE"""),2025.0)</f>
        <v>2025</v>
      </c>
      <c r="S1266" s="2" t="str">
        <f>IFERROR(__xludf.DUMMYFUNCTION("""COMPUTED_VALUE"""),"Digizag")</f>
        <v>Digizag</v>
      </c>
      <c r="T1266" s="2" t="str">
        <f>IFERROR(__xludf.DUMMYFUNCTION("""COMPUTED_VALUE"""),"Digizag")</f>
        <v>Digizag</v>
      </c>
      <c r="U1266" s="5">
        <f>IFERROR(__xludf.DUMMYFUNCTION("""COMPUTED_VALUE"""),23.992811219080004)</f>
        <v>23.99281122</v>
      </c>
      <c r="V1266" s="2"/>
      <c r="W1266" s="2"/>
      <c r="X1266" s="2"/>
      <c r="Y1266" s="2"/>
      <c r="Z1266" s="2"/>
    </row>
    <row r="1267">
      <c r="A1267" s="6">
        <f>IFERROR(__xludf.DUMMYFUNCTION("""COMPUTED_VALUE"""),45943.742743055554)</f>
        <v>45943.74274</v>
      </c>
      <c r="B1267" s="2" t="str">
        <f>IFERROR(__xludf.DUMMYFUNCTION("""COMPUTED_VALUE"""),"October")</f>
        <v>October</v>
      </c>
      <c r="C1267" s="2">
        <f>IFERROR(__xludf.DUMMYFUNCTION("""COMPUTED_VALUE"""),60133.0)</f>
        <v>60133</v>
      </c>
      <c r="D1267" s="2" t="str">
        <f>IFERROR(__xludf.DUMMYFUNCTION("""COMPUTED_VALUE"""),"ZM22")</f>
        <v>ZM22</v>
      </c>
      <c r="E1267" s="2" t="str">
        <f>IFERROR(__xludf.DUMMYFUNCTION("""COMPUTED_VALUE"""),"Imported from file Digizag.xlsx")</f>
        <v>Imported from file Digizag.xlsx</v>
      </c>
      <c r="F1267" s="2" t="str">
        <f>IFERROR(__xludf.DUMMYFUNCTION("""COMPUTED_VALUE"""),"RTD503390")</f>
        <v>RTD503390</v>
      </c>
      <c r="G1267" s="2" t="str">
        <f>IFERROR(__xludf.DUMMYFUNCTION("""COMPUTED_VALUE"""),"UAE")</f>
        <v>UAE</v>
      </c>
      <c r="H1267" s="2">
        <f>IFERROR(__xludf.DUMMYFUNCTION("""COMPUTED_VALUE"""),195.0)</f>
        <v>195</v>
      </c>
      <c r="I1267" s="2">
        <f>IFERROR(__xludf.DUMMYFUNCTION("""COMPUTED_VALUE"""),0.0)</f>
        <v>0</v>
      </c>
      <c r="J1267" s="2">
        <f>IFERROR(__xludf.DUMMYFUNCTION("""COMPUTED_VALUE"""),19.5)</f>
        <v>19.5</v>
      </c>
      <c r="K1267" s="2"/>
      <c r="L1267" s="2" t="str">
        <f>IFERROR(__xludf.DUMMYFUNCTION("""COMPUTED_VALUE"""),"Delivered")</f>
        <v>Delivered</v>
      </c>
      <c r="M1267" s="2" t="str">
        <f>IFERROR(__xludf.DUMMYFUNCTION("""COMPUTED_VALUE"""),"")</f>
        <v></v>
      </c>
      <c r="N1267" s="2" t="str">
        <f>IFERROR(__xludf.DUMMYFUNCTION("""COMPUTED_VALUE"""),"Credit, Debit , Apple Pay")</f>
        <v>Credit, Debit , Apple Pay</v>
      </c>
      <c r="O1267" s="2">
        <f>IFERROR(__xludf.DUMMYFUNCTION("""COMPUTED_VALUE"""),0.0)</f>
        <v>0</v>
      </c>
      <c r="P1267" s="2">
        <f>IFERROR(__xludf.DUMMYFUNCTION("""COMPUTED_VALUE"""),13.0)</f>
        <v>13</v>
      </c>
      <c r="Q1267" s="2">
        <f>IFERROR(__xludf.DUMMYFUNCTION("""COMPUTED_VALUE"""),10.0)</f>
        <v>10</v>
      </c>
      <c r="R1267" s="2">
        <f>IFERROR(__xludf.DUMMYFUNCTION("""COMPUTED_VALUE"""),2025.0)</f>
        <v>2025</v>
      </c>
      <c r="S1267" s="2" t="str">
        <f>IFERROR(__xludf.DUMMYFUNCTION("""COMPUTED_VALUE"""),"Digizag")</f>
        <v>Digizag</v>
      </c>
      <c r="T1267" s="2" t="str">
        <f>IFERROR(__xludf.DUMMYFUNCTION("""COMPUTED_VALUE"""),"Digizag")</f>
        <v>Digizag</v>
      </c>
      <c r="U1267" s="5">
        <f>IFERROR(__xludf.DUMMYFUNCTION("""COMPUTED_VALUE"""),53.09734521)</f>
        <v>53.09734521</v>
      </c>
      <c r="V1267" s="2"/>
      <c r="W1267" s="2"/>
      <c r="X1267" s="2"/>
      <c r="Y1267" s="2"/>
      <c r="Z1267" s="2"/>
    </row>
    <row r="1268">
      <c r="A1268" s="6">
        <f>IFERROR(__xludf.DUMMYFUNCTION("""COMPUTED_VALUE"""),45943.79981481482)</f>
        <v>45943.79981</v>
      </c>
      <c r="B1268" s="2" t="str">
        <f>IFERROR(__xludf.DUMMYFUNCTION("""COMPUTED_VALUE"""),"October")</f>
        <v>October</v>
      </c>
      <c r="C1268" s="2">
        <f>IFERROR(__xludf.DUMMYFUNCTION("""COMPUTED_VALUE"""),816191.0)</f>
        <v>816191</v>
      </c>
      <c r="D1268" s="2" t="str">
        <f>IFERROR(__xludf.DUMMYFUNCTION("""COMPUTED_VALUE"""),"82WP58")</f>
        <v>82WP58</v>
      </c>
      <c r="E1268" s="2" t="str">
        <f>IFERROR(__xludf.DUMMYFUNCTION("""COMPUTED_VALUE"""),"Imported from file DigiZag Bidding Codes.xlsx")</f>
        <v>Imported from file DigiZag Bidding Codes.xlsx</v>
      </c>
      <c r="F1268" s="2" t="str">
        <f>IFERROR(__xludf.DUMMYFUNCTION("""COMPUTED_VALUE"""),"KVY175164")</f>
        <v>KVY175164</v>
      </c>
      <c r="G1268" s="2" t="str">
        <f>IFERROR(__xludf.DUMMYFUNCTION("""COMPUTED_VALUE"""),"Kingdom of Saudi Arabia")</f>
        <v>Kingdom of Saudi Arabia</v>
      </c>
      <c r="H1268" s="2">
        <f>IFERROR(__xludf.DUMMYFUNCTION("""COMPUTED_VALUE"""),255.8)</f>
        <v>255.8</v>
      </c>
      <c r="I1268" s="2">
        <f>IFERROR(__xludf.DUMMYFUNCTION("""COMPUTED_VALUE"""),0.0)</f>
        <v>0</v>
      </c>
      <c r="J1268" s="2">
        <f>IFERROR(__xludf.DUMMYFUNCTION("""COMPUTED_VALUE"""),30.0)</f>
        <v>30</v>
      </c>
      <c r="K1268" s="2"/>
      <c r="L1268" s="2" t="str">
        <f>IFERROR(__xludf.DUMMYFUNCTION("""COMPUTED_VALUE"""),"Delivered")</f>
        <v>Delivered</v>
      </c>
      <c r="M1268" s="2" t="str">
        <f>IFERROR(__xludf.DUMMYFUNCTION("""COMPUTED_VALUE"""),"")</f>
        <v></v>
      </c>
      <c r="N1268" s="2" t="str">
        <f>IFERROR(__xludf.DUMMYFUNCTION("""COMPUTED_VALUE"""),"Credit, Debit, Apple Pay")</f>
        <v>Credit, Debit, Apple Pay</v>
      </c>
      <c r="O1268" s="2">
        <f>IFERROR(__xludf.DUMMYFUNCTION("""COMPUTED_VALUE"""),0.0)</f>
        <v>0</v>
      </c>
      <c r="P1268" s="2">
        <f>IFERROR(__xludf.DUMMYFUNCTION("""COMPUTED_VALUE"""),13.0)</f>
        <v>13</v>
      </c>
      <c r="Q1268" s="2">
        <f>IFERROR(__xludf.DUMMYFUNCTION("""COMPUTED_VALUE"""),10.0)</f>
        <v>10</v>
      </c>
      <c r="R1268" s="2">
        <f>IFERROR(__xludf.DUMMYFUNCTION("""COMPUTED_VALUE"""),2025.0)</f>
        <v>2025</v>
      </c>
      <c r="S1268" s="2" t="str">
        <f>IFERROR(__xludf.DUMMYFUNCTION("""COMPUTED_VALUE"""),"Digizag")</f>
        <v>Digizag</v>
      </c>
      <c r="T1268" s="2" t="str">
        <f>IFERROR(__xludf.DUMMYFUNCTION("""COMPUTED_VALUE"""),"Digizag")</f>
        <v>Digizag</v>
      </c>
      <c r="U1268" s="5">
        <f>IFERROR(__xludf.DUMMYFUNCTION("""COMPUTED_VALUE"""),68.2080585668)</f>
        <v>68.20805857</v>
      </c>
      <c r="V1268" s="2"/>
      <c r="W1268" s="2"/>
      <c r="X1268" s="2"/>
      <c r="Y1268" s="2"/>
      <c r="Z1268" s="2"/>
    </row>
    <row r="1269">
      <c r="A1269" s="6">
        <f>IFERROR(__xludf.DUMMYFUNCTION("""COMPUTED_VALUE"""),45943.80579861111)</f>
        <v>45943.8058</v>
      </c>
      <c r="B1269" s="2" t="str">
        <f>IFERROR(__xludf.DUMMYFUNCTION("""COMPUTED_VALUE"""),"October")</f>
        <v>October</v>
      </c>
      <c r="C1269" s="2">
        <f>IFERROR(__xludf.DUMMYFUNCTION("""COMPUTED_VALUE"""),334113.0)</f>
        <v>334113</v>
      </c>
      <c r="D1269" s="2" t="str">
        <f>IFERROR(__xludf.DUMMYFUNCTION("""COMPUTED_VALUE"""),"82WP58")</f>
        <v>82WP58</v>
      </c>
      <c r="E1269" s="2" t="str">
        <f>IFERROR(__xludf.DUMMYFUNCTION("""COMPUTED_VALUE"""),"Imported from file DigiZag Bidding Codes.xlsx")</f>
        <v>Imported from file DigiZag Bidding Codes.xlsx</v>
      </c>
      <c r="F1269" s="2" t="str">
        <f>IFERROR(__xludf.DUMMYFUNCTION("""COMPUTED_VALUE"""),"XDD401883")</f>
        <v>XDD401883</v>
      </c>
      <c r="G1269" s="2" t="str">
        <f>IFERROR(__xludf.DUMMYFUNCTION("""COMPUTED_VALUE"""),"Kingdom of Saudi Arabia")</f>
        <v>Kingdom of Saudi Arabia</v>
      </c>
      <c r="H1269" s="2">
        <f>IFERROR(__xludf.DUMMYFUNCTION("""COMPUTED_VALUE"""),95.58)</f>
        <v>95.58</v>
      </c>
      <c r="I1269" s="2">
        <f>IFERROR(__xludf.DUMMYFUNCTION("""COMPUTED_VALUE"""),0.0)</f>
        <v>0</v>
      </c>
      <c r="J1269" s="2">
        <f>IFERROR(__xludf.DUMMYFUNCTION("""COMPUTED_VALUE"""),23.88)</f>
        <v>23.88</v>
      </c>
      <c r="K1269" s="2"/>
      <c r="L1269" s="2" t="str">
        <f>IFERROR(__xludf.DUMMYFUNCTION("""COMPUTED_VALUE"""),"Delivered")</f>
        <v>Delivered</v>
      </c>
      <c r="M1269" s="2" t="str">
        <f>IFERROR(__xludf.DUMMYFUNCTION("""COMPUTED_VALUE"""),"")</f>
        <v></v>
      </c>
      <c r="N1269" s="2" t="str">
        <f>IFERROR(__xludf.DUMMYFUNCTION("""COMPUTED_VALUE"""),"Credit, Debit, Apple Pay")</f>
        <v>Credit, Debit, Apple Pay</v>
      </c>
      <c r="O1269" s="2">
        <f>IFERROR(__xludf.DUMMYFUNCTION("""COMPUTED_VALUE"""),0.0)</f>
        <v>0</v>
      </c>
      <c r="P1269" s="2">
        <f>IFERROR(__xludf.DUMMYFUNCTION("""COMPUTED_VALUE"""),13.0)</f>
        <v>13</v>
      </c>
      <c r="Q1269" s="2">
        <f>IFERROR(__xludf.DUMMYFUNCTION("""COMPUTED_VALUE"""),10.0)</f>
        <v>10</v>
      </c>
      <c r="R1269" s="2">
        <f>IFERROR(__xludf.DUMMYFUNCTION("""COMPUTED_VALUE"""),2025.0)</f>
        <v>2025</v>
      </c>
      <c r="S1269" s="2" t="str">
        <f>IFERROR(__xludf.DUMMYFUNCTION("""COMPUTED_VALUE"""),"Digizag")</f>
        <v>Digizag</v>
      </c>
      <c r="T1269" s="2" t="str">
        <f>IFERROR(__xludf.DUMMYFUNCTION("""COMPUTED_VALUE"""),"Digizag")</f>
        <v>Digizag</v>
      </c>
      <c r="U1269" s="5">
        <f>IFERROR(__xludf.DUMMYFUNCTION("""COMPUTED_VALUE"""),25.48602907668)</f>
        <v>25.48602908</v>
      </c>
      <c r="V1269" s="2"/>
      <c r="W1269" s="2"/>
      <c r="X1269" s="2"/>
      <c r="Y1269" s="2"/>
      <c r="Z1269" s="2"/>
    </row>
    <row r="1270">
      <c r="A1270" s="6">
        <f>IFERROR(__xludf.DUMMYFUNCTION("""COMPUTED_VALUE"""),45944.37321759259)</f>
        <v>45944.37322</v>
      </c>
      <c r="B1270" s="2" t="str">
        <f>IFERROR(__xludf.DUMMYFUNCTION("""COMPUTED_VALUE"""),"October")</f>
        <v>October</v>
      </c>
      <c r="C1270" s="2">
        <f>IFERROR(__xludf.DUMMYFUNCTION("""COMPUTED_VALUE"""),68251.0)</f>
        <v>68251</v>
      </c>
      <c r="D1270" s="2" t="str">
        <f>IFERROR(__xludf.DUMMYFUNCTION("""COMPUTED_VALUE"""),"DB1")</f>
        <v>DB1</v>
      </c>
      <c r="E1270" s="2" t="str">
        <f>IFERROR(__xludf.DUMMYFUNCTION("""COMPUTED_VALUE"""),"Imported from file Digizag.xlsx")</f>
        <v>Imported from file Digizag.xlsx</v>
      </c>
      <c r="F1270" s="2" t="str">
        <f>IFERROR(__xludf.DUMMYFUNCTION("""COMPUTED_VALUE"""),"XXZ646892")</f>
        <v>XXZ646892</v>
      </c>
      <c r="G1270" s="2" t="str">
        <f>IFERROR(__xludf.DUMMYFUNCTION("""COMPUTED_VALUE"""),"Kingdom of Saudi Arabia")</f>
        <v>Kingdom of Saudi Arabia</v>
      </c>
      <c r="H1270" s="2">
        <f>IFERROR(__xludf.DUMMYFUNCTION("""COMPUTED_VALUE"""),199.0)</f>
        <v>199</v>
      </c>
      <c r="I1270" s="2">
        <f>IFERROR(__xludf.DUMMYFUNCTION("""COMPUTED_VALUE"""),0.0)</f>
        <v>0</v>
      </c>
      <c r="J1270" s="2">
        <f>IFERROR(__xludf.DUMMYFUNCTION("""COMPUTED_VALUE"""),30.0)</f>
        <v>30</v>
      </c>
      <c r="K1270" s="2"/>
      <c r="L1270" s="2" t="str">
        <f>IFERROR(__xludf.DUMMYFUNCTION("""COMPUTED_VALUE"""),"Delivered")</f>
        <v>Delivered</v>
      </c>
      <c r="M1270" s="2" t="str">
        <f>IFERROR(__xludf.DUMMYFUNCTION("""COMPUTED_VALUE"""),"")</f>
        <v></v>
      </c>
      <c r="N1270" s="2" t="str">
        <f>IFERROR(__xludf.DUMMYFUNCTION("""COMPUTED_VALUE"""),"Credit, Debit, Apple Pay")</f>
        <v>Credit, Debit, Apple Pay</v>
      </c>
      <c r="O1270" s="2">
        <f>IFERROR(__xludf.DUMMYFUNCTION("""COMPUTED_VALUE"""),0.0)</f>
        <v>0</v>
      </c>
      <c r="P1270" s="2">
        <f>IFERROR(__xludf.DUMMYFUNCTION("""COMPUTED_VALUE"""),14.0)</f>
        <v>14</v>
      </c>
      <c r="Q1270" s="2">
        <f>IFERROR(__xludf.DUMMYFUNCTION("""COMPUTED_VALUE"""),10.0)</f>
        <v>10</v>
      </c>
      <c r="R1270" s="2">
        <f>IFERROR(__xludf.DUMMYFUNCTION("""COMPUTED_VALUE"""),2025.0)</f>
        <v>2025</v>
      </c>
      <c r="S1270" s="2" t="str">
        <f>IFERROR(__xludf.DUMMYFUNCTION("""COMPUTED_VALUE"""),"Digizag")</f>
        <v>Digizag</v>
      </c>
      <c r="T1270" s="2" t="str">
        <f>IFERROR(__xludf.DUMMYFUNCTION("""COMPUTED_VALUE"""),"Digizag")</f>
        <v>Digizag</v>
      </c>
      <c r="U1270" s="5">
        <f>IFERROR(__xludf.DUMMYFUNCTION("""COMPUTED_VALUE"""),53.062563154)</f>
        <v>53.06256315</v>
      </c>
      <c r="V1270" s="2"/>
      <c r="W1270" s="2"/>
      <c r="X1270" s="2"/>
      <c r="Y1270" s="2"/>
      <c r="Z1270" s="2"/>
    </row>
    <row r="1271">
      <c r="A1271" s="6">
        <f>IFERROR(__xludf.DUMMYFUNCTION("""COMPUTED_VALUE"""),45944.37920138889)</f>
        <v>45944.3792</v>
      </c>
      <c r="B1271" s="2" t="str">
        <f>IFERROR(__xludf.DUMMYFUNCTION("""COMPUTED_VALUE"""),"October")</f>
        <v>October</v>
      </c>
      <c r="C1271" s="2">
        <f>IFERROR(__xludf.DUMMYFUNCTION("""COMPUTED_VALUE"""),690.0)</f>
        <v>690</v>
      </c>
      <c r="D1271" s="2" t="str">
        <f>IFERROR(__xludf.DUMMYFUNCTION("""COMPUTED_VALUE"""),"82WP58")</f>
        <v>82WP58</v>
      </c>
      <c r="E1271" s="2" t="str">
        <f>IFERROR(__xludf.DUMMYFUNCTION("""COMPUTED_VALUE"""),"Imported from file DigiZag Bidding Codes.xlsx")</f>
        <v>Imported from file DigiZag Bidding Codes.xlsx</v>
      </c>
      <c r="F1271" s="2" t="str">
        <f>IFERROR(__xludf.DUMMYFUNCTION("""COMPUTED_VALUE"""),"XPS665742")</f>
        <v>XPS665742</v>
      </c>
      <c r="G1271" s="2" t="str">
        <f>IFERROR(__xludf.DUMMYFUNCTION("""COMPUTED_VALUE"""),"Kingdom of Saudi Arabia")</f>
        <v>Kingdom of Saudi Arabia</v>
      </c>
      <c r="H1271" s="2">
        <f>IFERROR(__xludf.DUMMYFUNCTION("""COMPUTED_VALUE"""),432.0)</f>
        <v>432</v>
      </c>
      <c r="I1271" s="2">
        <f>IFERROR(__xludf.DUMMYFUNCTION("""COMPUTED_VALUE"""),1.0)</f>
        <v>1</v>
      </c>
      <c r="J1271" s="2">
        <f>IFERROR(__xludf.DUMMYFUNCTION("""COMPUTED_VALUE"""),30.0)</f>
        <v>30</v>
      </c>
      <c r="K1271" s="2"/>
      <c r="L1271" s="2" t="str">
        <f>IFERROR(__xludf.DUMMYFUNCTION("""COMPUTED_VALUE"""),"Partially Cancelled")</f>
        <v>Partially Cancelled</v>
      </c>
      <c r="M1271" s="2" t="str">
        <f>IFERROR(__xludf.DUMMYFUNCTION("""COMPUTED_VALUE"""),"")</f>
        <v></v>
      </c>
      <c r="N1271" s="2" t="str">
        <f>IFERROR(__xludf.DUMMYFUNCTION("""COMPUTED_VALUE"""),"Credit, Debit, Apple Pay")</f>
        <v>Credit, Debit, Apple Pay</v>
      </c>
      <c r="O1271" s="2">
        <f>IFERROR(__xludf.DUMMYFUNCTION("""COMPUTED_VALUE"""),120.04)</f>
        <v>120.04</v>
      </c>
      <c r="P1271" s="2">
        <f>IFERROR(__xludf.DUMMYFUNCTION("""COMPUTED_VALUE"""),14.0)</f>
        <v>14</v>
      </c>
      <c r="Q1271" s="2">
        <f>IFERROR(__xludf.DUMMYFUNCTION("""COMPUTED_VALUE"""),10.0)</f>
        <v>10</v>
      </c>
      <c r="R1271" s="2">
        <f>IFERROR(__xludf.DUMMYFUNCTION("""COMPUTED_VALUE"""),2025.0)</f>
        <v>2025</v>
      </c>
      <c r="S1271" s="2" t="str">
        <f>IFERROR(__xludf.DUMMYFUNCTION("""COMPUTED_VALUE"""),"Digizag")</f>
        <v>Digizag</v>
      </c>
      <c r="T1271" s="2" t="str">
        <f>IFERROR(__xludf.DUMMYFUNCTION("""COMPUTED_VALUE"""),"Digizag")</f>
        <v>Digizag</v>
      </c>
      <c r="U1271" s="5">
        <f>IFERROR(__xludf.DUMMYFUNCTION("""COMPUTED_VALUE"""),115.19109187200002)</f>
        <v>115.1910919</v>
      </c>
      <c r="V1271" s="2"/>
      <c r="W1271" s="2"/>
      <c r="X1271" s="2"/>
      <c r="Y1271" s="2"/>
      <c r="Z1271" s="2"/>
    </row>
    <row r="1272">
      <c r="A1272" s="6">
        <f>IFERROR(__xludf.DUMMYFUNCTION("""COMPUTED_VALUE"""),45944.45768518518)</f>
        <v>45944.45769</v>
      </c>
      <c r="B1272" s="2" t="str">
        <f>IFERROR(__xludf.DUMMYFUNCTION("""COMPUTED_VALUE"""),"October")</f>
        <v>October</v>
      </c>
      <c r="C1272" s="2">
        <f>IFERROR(__xludf.DUMMYFUNCTION("""COMPUTED_VALUE"""),816406.0)</f>
        <v>816406</v>
      </c>
      <c r="D1272" s="2" t="str">
        <f>IFERROR(__xludf.DUMMYFUNCTION("""COMPUTED_VALUE"""),"DB12")</f>
        <v>DB12</v>
      </c>
      <c r="E1272" s="2" t="str">
        <f>IFERROR(__xludf.DUMMYFUNCTION("""COMPUTED_VALUE"""),"Imported from file Digizag.xlsx")</f>
        <v>Imported from file Digizag.xlsx</v>
      </c>
      <c r="F1272" s="2" t="str">
        <f>IFERROR(__xludf.DUMMYFUNCTION("""COMPUTED_VALUE"""),"RAM484278")</f>
        <v>RAM484278</v>
      </c>
      <c r="G1272" s="2" t="str">
        <f>IFERROR(__xludf.DUMMYFUNCTION("""COMPUTED_VALUE"""),"Kingdom of Saudi Arabia")</f>
        <v>Kingdom of Saudi Arabia</v>
      </c>
      <c r="H1272" s="2">
        <f>IFERROR(__xludf.DUMMYFUNCTION("""COMPUTED_VALUE"""),338.26)</f>
        <v>338.26</v>
      </c>
      <c r="I1272" s="2">
        <f>IFERROR(__xludf.DUMMYFUNCTION("""COMPUTED_VALUE"""),0.0)</f>
        <v>0</v>
      </c>
      <c r="J1272" s="2">
        <f>IFERROR(__xludf.DUMMYFUNCTION("""COMPUTED_VALUE"""),30.0)</f>
        <v>30</v>
      </c>
      <c r="K1272" s="2"/>
      <c r="L1272" s="2" t="str">
        <f>IFERROR(__xludf.DUMMYFUNCTION("""COMPUTED_VALUE"""),"Delivered")</f>
        <v>Delivered</v>
      </c>
      <c r="M1272" s="2" t="str">
        <f>IFERROR(__xludf.DUMMYFUNCTION("""COMPUTED_VALUE"""),"")</f>
        <v></v>
      </c>
      <c r="N1272" s="2" t="str">
        <f>IFERROR(__xludf.DUMMYFUNCTION("""COMPUTED_VALUE"""),"Pay in 4. No interest, no fees")</f>
        <v>Pay in 4. No interest, no fees</v>
      </c>
      <c r="O1272" s="2">
        <f>IFERROR(__xludf.DUMMYFUNCTION("""COMPUTED_VALUE"""),0.0)</f>
        <v>0</v>
      </c>
      <c r="P1272" s="2">
        <f>IFERROR(__xludf.DUMMYFUNCTION("""COMPUTED_VALUE"""),14.0)</f>
        <v>14</v>
      </c>
      <c r="Q1272" s="2">
        <f>IFERROR(__xludf.DUMMYFUNCTION("""COMPUTED_VALUE"""),10.0)</f>
        <v>10</v>
      </c>
      <c r="R1272" s="2">
        <f>IFERROR(__xludf.DUMMYFUNCTION("""COMPUTED_VALUE"""),2025.0)</f>
        <v>2025</v>
      </c>
      <c r="S1272" s="2" t="str">
        <f>IFERROR(__xludf.DUMMYFUNCTION("""COMPUTED_VALUE"""),"Digizag")</f>
        <v>Digizag</v>
      </c>
      <c r="T1272" s="2" t="str">
        <f>IFERROR(__xludf.DUMMYFUNCTION("""COMPUTED_VALUE"""),"Digizag")</f>
        <v>Digizag</v>
      </c>
      <c r="U1272" s="5">
        <f>IFERROR(__xludf.DUMMYFUNCTION("""COMPUTED_VALUE"""),90.19569151996001)</f>
        <v>90.19569152</v>
      </c>
      <c r="V1272" s="2"/>
      <c r="W1272" s="2"/>
      <c r="X1272" s="2"/>
      <c r="Y1272" s="2"/>
      <c r="Z1272" s="2"/>
    </row>
    <row r="1273">
      <c r="A1273" s="6">
        <f>IFERROR(__xludf.DUMMYFUNCTION("""COMPUTED_VALUE"""),45944.49623842593)</f>
        <v>45944.49624</v>
      </c>
      <c r="B1273" s="2" t="str">
        <f>IFERROR(__xludf.DUMMYFUNCTION("""COMPUTED_VALUE"""),"October")</f>
        <v>October</v>
      </c>
      <c r="C1273" s="2">
        <f>IFERROR(__xludf.DUMMYFUNCTION("""COMPUTED_VALUE"""),481462.0)</f>
        <v>481462</v>
      </c>
      <c r="D1273" s="2" t="str">
        <f>IFERROR(__xludf.DUMMYFUNCTION("""COMPUTED_VALUE"""),"82WP58")</f>
        <v>82WP58</v>
      </c>
      <c r="E1273" s="2" t="str">
        <f>IFERROR(__xludf.DUMMYFUNCTION("""COMPUTED_VALUE"""),"Imported from file DigiZag Bidding Codes.xlsx")</f>
        <v>Imported from file DigiZag Bidding Codes.xlsx</v>
      </c>
      <c r="F1273" s="2" t="str">
        <f>IFERROR(__xludf.DUMMYFUNCTION("""COMPUTED_VALUE"""),"KMC141682")</f>
        <v>KMC141682</v>
      </c>
      <c r="G1273" s="2" t="str">
        <f>IFERROR(__xludf.DUMMYFUNCTION("""COMPUTED_VALUE"""),"Kingdom of Saudi Arabia")</f>
        <v>Kingdom of Saudi Arabia</v>
      </c>
      <c r="H1273" s="2">
        <f>IFERROR(__xludf.DUMMYFUNCTION("""COMPUTED_VALUE"""),366.19)</f>
        <v>366.19</v>
      </c>
      <c r="I1273" s="2">
        <f>IFERROR(__xludf.DUMMYFUNCTION("""COMPUTED_VALUE"""),0.0)</f>
        <v>0</v>
      </c>
      <c r="J1273" s="2">
        <f>IFERROR(__xludf.DUMMYFUNCTION("""COMPUTED_VALUE"""),30.0)</f>
        <v>30</v>
      </c>
      <c r="K1273" s="2"/>
      <c r="L1273" s="2" t="str">
        <f>IFERROR(__xludf.DUMMYFUNCTION("""COMPUTED_VALUE"""),"Delivered")</f>
        <v>Delivered</v>
      </c>
      <c r="M1273" s="2" t="str">
        <f>IFERROR(__xludf.DUMMYFUNCTION("""COMPUTED_VALUE"""),"")</f>
        <v></v>
      </c>
      <c r="N1273" s="2" t="str">
        <f>IFERROR(__xludf.DUMMYFUNCTION("""COMPUTED_VALUE"""),"Credit, Debit, Apple Pay")</f>
        <v>Credit, Debit, Apple Pay</v>
      </c>
      <c r="O1273" s="2">
        <f>IFERROR(__xludf.DUMMYFUNCTION("""COMPUTED_VALUE"""),0.0)</f>
        <v>0</v>
      </c>
      <c r="P1273" s="2">
        <f>IFERROR(__xludf.DUMMYFUNCTION("""COMPUTED_VALUE"""),14.0)</f>
        <v>14</v>
      </c>
      <c r="Q1273" s="2">
        <f>IFERROR(__xludf.DUMMYFUNCTION("""COMPUTED_VALUE"""),10.0)</f>
        <v>10</v>
      </c>
      <c r="R1273" s="2">
        <f>IFERROR(__xludf.DUMMYFUNCTION("""COMPUTED_VALUE"""),2025.0)</f>
        <v>2025</v>
      </c>
      <c r="S1273" s="2" t="str">
        <f>IFERROR(__xludf.DUMMYFUNCTION("""COMPUTED_VALUE"""),"Digizag")</f>
        <v>Digizag</v>
      </c>
      <c r="T1273" s="2" t="str">
        <f>IFERROR(__xludf.DUMMYFUNCTION("""COMPUTED_VALUE"""),"Digizag")</f>
        <v>Digizag</v>
      </c>
      <c r="U1273" s="5">
        <f>IFERROR(__xludf.DUMMYFUNCTION("""COMPUTED_VALUE"""),97.64311558474)</f>
        <v>97.64311558</v>
      </c>
      <c r="V1273" s="2"/>
      <c r="W1273" s="2"/>
      <c r="X1273" s="2"/>
      <c r="Y1273" s="2"/>
      <c r="Z1273" s="2"/>
    </row>
    <row r="1274">
      <c r="A1274" s="6">
        <f>IFERROR(__xludf.DUMMYFUNCTION("""COMPUTED_VALUE"""),45944.504537037035)</f>
        <v>45944.50454</v>
      </c>
      <c r="B1274" s="2" t="str">
        <f>IFERROR(__xludf.DUMMYFUNCTION("""COMPUTED_VALUE"""),"October")</f>
        <v>October</v>
      </c>
      <c r="C1274" s="2">
        <f>IFERROR(__xludf.DUMMYFUNCTION("""COMPUTED_VALUE"""),41184.0)</f>
        <v>41184</v>
      </c>
      <c r="D1274" s="2" t="str">
        <f>IFERROR(__xludf.DUMMYFUNCTION("""COMPUTED_VALUE"""),"MNN27")</f>
        <v>MNN27</v>
      </c>
      <c r="E1274" s="2" t="str">
        <f>IFERROR(__xludf.DUMMYFUNCTION("""COMPUTED_VALUE"""),"Imported from file DigiZag Codes 25Feb25.xlsx")</f>
        <v>Imported from file DigiZag Codes 25Feb25.xlsx</v>
      </c>
      <c r="F1274" s="2" t="str">
        <f>IFERROR(__xludf.DUMMYFUNCTION("""COMPUTED_VALUE"""),"WNR517743")</f>
        <v>WNR517743</v>
      </c>
      <c r="G1274" s="2" t="str">
        <f>IFERROR(__xludf.DUMMYFUNCTION("""COMPUTED_VALUE"""),"Kuwait")</f>
        <v>Kuwait</v>
      </c>
      <c r="H1274" s="2">
        <f>IFERROR(__xludf.DUMMYFUNCTION("""COMPUTED_VALUE"""),9.9)</f>
        <v>9.9</v>
      </c>
      <c r="I1274" s="2">
        <f>IFERROR(__xludf.DUMMYFUNCTION("""COMPUTED_VALUE"""),0.0)</f>
        <v>0</v>
      </c>
      <c r="J1274" s="2">
        <f>IFERROR(__xludf.DUMMYFUNCTION("""COMPUTED_VALUE"""),0.99)</f>
        <v>0.99</v>
      </c>
      <c r="K1274" s="2"/>
      <c r="L1274" s="2" t="str">
        <f>IFERROR(__xludf.DUMMYFUNCTION("""COMPUTED_VALUE"""),"Delivered")</f>
        <v>Delivered</v>
      </c>
      <c r="M1274" s="2" t="str">
        <f>IFERROR(__xludf.DUMMYFUNCTION("""COMPUTED_VALUE"""),"KD")</f>
        <v>KD</v>
      </c>
      <c r="N1274" s="2" t="str">
        <f>IFERROR(__xludf.DUMMYFUNCTION("""COMPUTED_VALUE"""),"Credit, Debit, Knet")</f>
        <v>Credit, Debit, Knet</v>
      </c>
      <c r="O1274" s="2">
        <f>IFERROR(__xludf.DUMMYFUNCTION("""COMPUTED_VALUE"""),0.0)</f>
        <v>0</v>
      </c>
      <c r="P1274" s="2">
        <f>IFERROR(__xludf.DUMMYFUNCTION("""COMPUTED_VALUE"""),14.0)</f>
        <v>14</v>
      </c>
      <c r="Q1274" s="2">
        <f>IFERROR(__xludf.DUMMYFUNCTION("""COMPUTED_VALUE"""),10.0)</f>
        <v>10</v>
      </c>
      <c r="R1274" s="2">
        <f>IFERROR(__xludf.DUMMYFUNCTION("""COMPUTED_VALUE"""),2025.0)</f>
        <v>2025</v>
      </c>
      <c r="S1274" s="2" t="str">
        <f>IFERROR(__xludf.DUMMYFUNCTION("""COMPUTED_VALUE"""),"Digizag")</f>
        <v>Digizag</v>
      </c>
      <c r="T1274" s="2" t="str">
        <f>IFERROR(__xludf.DUMMYFUNCTION("""COMPUTED_VALUE"""),"Digizag")</f>
        <v>Digizag</v>
      </c>
      <c r="U1274" s="5">
        <f>IFERROR(__xludf.DUMMYFUNCTION("""COMPUTED_VALUE"""),32.280138)</f>
        <v>32.280138</v>
      </c>
      <c r="V1274" s="2"/>
      <c r="W1274" s="2"/>
      <c r="X1274" s="2"/>
      <c r="Y1274" s="2"/>
      <c r="Z1274" s="2"/>
    </row>
    <row r="1275">
      <c r="A1275" s="6">
        <f>IFERROR(__xludf.DUMMYFUNCTION("""COMPUTED_VALUE"""),45944.657326388886)</f>
        <v>45944.65733</v>
      </c>
      <c r="B1275" s="2" t="str">
        <f>IFERROR(__xludf.DUMMYFUNCTION("""COMPUTED_VALUE"""),"October")</f>
        <v>October</v>
      </c>
      <c r="C1275" s="2">
        <f>IFERROR(__xludf.DUMMYFUNCTION("""COMPUTED_VALUE"""),816545.0)</f>
        <v>816545</v>
      </c>
      <c r="D1275" s="2" t="str">
        <f>IFERROR(__xludf.DUMMYFUNCTION("""COMPUTED_VALUE"""),"DB3")</f>
        <v>DB3</v>
      </c>
      <c r="E1275" s="2" t="str">
        <f>IFERROR(__xludf.DUMMYFUNCTION("""COMPUTED_VALUE"""),"Imported from file Digizag.xlsx")</f>
        <v>Imported from file Digizag.xlsx</v>
      </c>
      <c r="F1275" s="2" t="str">
        <f>IFERROR(__xludf.DUMMYFUNCTION("""COMPUTED_VALUE"""),"HLV964049")</f>
        <v>HLV964049</v>
      </c>
      <c r="G1275" s="2" t="str">
        <f>IFERROR(__xludf.DUMMYFUNCTION("""COMPUTED_VALUE"""),"Kingdom of Saudi Arabia")</f>
        <v>Kingdom of Saudi Arabia</v>
      </c>
      <c r="H1275" s="2">
        <f>IFERROR(__xludf.DUMMYFUNCTION("""COMPUTED_VALUE"""),155.0)</f>
        <v>155</v>
      </c>
      <c r="I1275" s="2">
        <f>IFERROR(__xludf.DUMMYFUNCTION("""COMPUTED_VALUE"""),0.0)</f>
        <v>0</v>
      </c>
      <c r="J1275" s="2">
        <f>IFERROR(__xludf.DUMMYFUNCTION("""COMPUTED_VALUE"""),30.0)</f>
        <v>30</v>
      </c>
      <c r="K1275" s="2"/>
      <c r="L1275" s="2" t="str">
        <f>IFERROR(__xludf.DUMMYFUNCTION("""COMPUTED_VALUE"""),"Delivered")</f>
        <v>Delivered</v>
      </c>
      <c r="M1275" s="2" t="str">
        <f>IFERROR(__xludf.DUMMYFUNCTION("""COMPUTED_VALUE"""),"")</f>
        <v></v>
      </c>
      <c r="N1275" s="2" t="str">
        <f>IFERROR(__xludf.DUMMYFUNCTION("""COMPUTED_VALUE"""),"Credit, Debit, Apple Pay")</f>
        <v>Credit, Debit, Apple Pay</v>
      </c>
      <c r="O1275" s="2">
        <f>IFERROR(__xludf.DUMMYFUNCTION("""COMPUTED_VALUE"""),0.0)</f>
        <v>0</v>
      </c>
      <c r="P1275" s="2">
        <f>IFERROR(__xludf.DUMMYFUNCTION("""COMPUTED_VALUE"""),14.0)</f>
        <v>14</v>
      </c>
      <c r="Q1275" s="2">
        <f>IFERROR(__xludf.DUMMYFUNCTION("""COMPUTED_VALUE"""),10.0)</f>
        <v>10</v>
      </c>
      <c r="R1275" s="2">
        <f>IFERROR(__xludf.DUMMYFUNCTION("""COMPUTED_VALUE"""),2025.0)</f>
        <v>2025</v>
      </c>
      <c r="S1275" s="2" t="str">
        <f>IFERROR(__xludf.DUMMYFUNCTION("""COMPUTED_VALUE"""),"Digizag")</f>
        <v>Digizag</v>
      </c>
      <c r="T1275" s="2" t="str">
        <f>IFERROR(__xludf.DUMMYFUNCTION("""COMPUTED_VALUE"""),"Digizag")</f>
        <v>Digizag</v>
      </c>
      <c r="U1275" s="5">
        <f>IFERROR(__xludf.DUMMYFUNCTION("""COMPUTED_VALUE"""),41.330137130000004)</f>
        <v>41.33013713</v>
      </c>
      <c r="V1275" s="2"/>
      <c r="W1275" s="2"/>
      <c r="X1275" s="2"/>
      <c r="Y1275" s="2"/>
      <c r="Z1275" s="2"/>
    </row>
    <row r="1276">
      <c r="A1276" s="6">
        <f>IFERROR(__xludf.DUMMYFUNCTION("""COMPUTED_VALUE"""),45944.687268518515)</f>
        <v>45944.68727</v>
      </c>
      <c r="B1276" s="2" t="str">
        <f>IFERROR(__xludf.DUMMYFUNCTION("""COMPUTED_VALUE"""),"October")</f>
        <v>October</v>
      </c>
      <c r="C1276" s="2">
        <f>IFERROR(__xludf.DUMMYFUNCTION("""COMPUTED_VALUE"""),315027.0)</f>
        <v>315027</v>
      </c>
      <c r="D1276" s="2" t="str">
        <f>IFERROR(__xludf.DUMMYFUNCTION("""COMPUTED_VALUE"""),"ZM22")</f>
        <v>ZM22</v>
      </c>
      <c r="E1276" s="2" t="str">
        <f>IFERROR(__xludf.DUMMYFUNCTION("""COMPUTED_VALUE"""),"Imported from file Digizag.xlsx")</f>
        <v>Imported from file Digizag.xlsx</v>
      </c>
      <c r="F1276" s="2" t="str">
        <f>IFERROR(__xludf.DUMMYFUNCTION("""COMPUTED_VALUE"""),"XCL808962")</f>
        <v>XCL808962</v>
      </c>
      <c r="G1276" s="2" t="str">
        <f>IFERROR(__xludf.DUMMYFUNCTION("""COMPUTED_VALUE"""),"UAE")</f>
        <v>UAE</v>
      </c>
      <c r="H1276" s="2">
        <f>IFERROR(__xludf.DUMMYFUNCTION("""COMPUTED_VALUE"""),70.0)</f>
        <v>70</v>
      </c>
      <c r="I1276" s="2">
        <f>IFERROR(__xludf.DUMMYFUNCTION("""COMPUTED_VALUE"""),0.0)</f>
        <v>0</v>
      </c>
      <c r="J1276" s="2">
        <f>IFERROR(__xludf.DUMMYFUNCTION("""COMPUTED_VALUE"""),7.0)</f>
        <v>7</v>
      </c>
      <c r="K1276" s="2"/>
      <c r="L1276" s="2" t="str">
        <f>IFERROR(__xludf.DUMMYFUNCTION("""COMPUTED_VALUE"""),"Delivered")</f>
        <v>Delivered</v>
      </c>
      <c r="M1276" s="2" t="str">
        <f>IFERROR(__xludf.DUMMYFUNCTION("""COMPUTED_VALUE"""),"")</f>
        <v></v>
      </c>
      <c r="N1276" s="2" t="str">
        <f>IFERROR(__xludf.DUMMYFUNCTION("""COMPUTED_VALUE"""),"Credit, Debit , Apple Pay")</f>
        <v>Credit, Debit , Apple Pay</v>
      </c>
      <c r="O1276" s="2">
        <f>IFERROR(__xludf.DUMMYFUNCTION("""COMPUTED_VALUE"""),0.0)</f>
        <v>0</v>
      </c>
      <c r="P1276" s="2">
        <f>IFERROR(__xludf.DUMMYFUNCTION("""COMPUTED_VALUE"""),14.0)</f>
        <v>14</v>
      </c>
      <c r="Q1276" s="2">
        <f>IFERROR(__xludf.DUMMYFUNCTION("""COMPUTED_VALUE"""),10.0)</f>
        <v>10</v>
      </c>
      <c r="R1276" s="2">
        <f>IFERROR(__xludf.DUMMYFUNCTION("""COMPUTED_VALUE"""),2025.0)</f>
        <v>2025</v>
      </c>
      <c r="S1276" s="2" t="str">
        <f>IFERROR(__xludf.DUMMYFUNCTION("""COMPUTED_VALUE"""),"Digizag")</f>
        <v>Digizag</v>
      </c>
      <c r="T1276" s="2" t="str">
        <f>IFERROR(__xludf.DUMMYFUNCTION("""COMPUTED_VALUE"""),"Digizag")</f>
        <v>Digizag</v>
      </c>
      <c r="U1276" s="5">
        <f>IFERROR(__xludf.DUMMYFUNCTION("""COMPUTED_VALUE"""),19.06058546)</f>
        <v>19.06058546</v>
      </c>
      <c r="V1276" s="2"/>
      <c r="W1276" s="2"/>
      <c r="X1276" s="2"/>
      <c r="Y1276" s="2"/>
      <c r="Z1276" s="2"/>
    </row>
    <row r="1277">
      <c r="A1277" s="6">
        <f>IFERROR(__xludf.DUMMYFUNCTION("""COMPUTED_VALUE"""),45944.68866898148)</f>
        <v>45944.68867</v>
      </c>
      <c r="B1277" s="2" t="str">
        <f>IFERROR(__xludf.DUMMYFUNCTION("""COMPUTED_VALUE"""),"October")</f>
        <v>October</v>
      </c>
      <c r="C1277" s="2">
        <f>IFERROR(__xludf.DUMMYFUNCTION("""COMPUTED_VALUE"""),720.0)</f>
        <v>720</v>
      </c>
      <c r="D1277" s="2" t="str">
        <f>IFERROR(__xludf.DUMMYFUNCTION("""COMPUTED_VALUE"""),"CC22")</f>
        <v>CC22</v>
      </c>
      <c r="E1277" s="2" t="str">
        <f>IFERROR(__xludf.DUMMYFUNCTION("""COMPUTED_VALUE"""),"Imported from file Digizag.xlsx")</f>
        <v>Imported from file Digizag.xlsx</v>
      </c>
      <c r="F1277" s="2" t="str">
        <f>IFERROR(__xludf.DUMMYFUNCTION("""COMPUTED_VALUE"""),"JKG669072")</f>
        <v>JKG669072</v>
      </c>
      <c r="G1277" s="2" t="str">
        <f>IFERROR(__xludf.DUMMYFUNCTION("""COMPUTED_VALUE"""),"Kuwait")</f>
        <v>Kuwait</v>
      </c>
      <c r="H1277" s="2">
        <f>IFERROR(__xludf.DUMMYFUNCTION("""COMPUTED_VALUE"""),12.75)</f>
        <v>12.75</v>
      </c>
      <c r="I1277" s="2">
        <f>IFERROR(__xludf.DUMMYFUNCTION("""COMPUTED_VALUE"""),0.0)</f>
        <v>0</v>
      </c>
      <c r="J1277" s="2">
        <f>IFERROR(__xludf.DUMMYFUNCTION("""COMPUTED_VALUE"""),1.275)</f>
        <v>1.275</v>
      </c>
      <c r="K1277" s="2"/>
      <c r="L1277" s="2" t="str">
        <f>IFERROR(__xludf.DUMMYFUNCTION("""COMPUTED_VALUE"""),"Delivered")</f>
        <v>Delivered</v>
      </c>
      <c r="M1277" s="2" t="str">
        <f>IFERROR(__xludf.DUMMYFUNCTION("""COMPUTED_VALUE"""),"KD")</f>
        <v>KD</v>
      </c>
      <c r="N1277" s="2" t="str">
        <f>IFERROR(__xludf.DUMMYFUNCTION("""COMPUTED_VALUE"""),"Credit, Debit, Knet")</f>
        <v>Credit, Debit, Knet</v>
      </c>
      <c r="O1277" s="2">
        <f>IFERROR(__xludf.DUMMYFUNCTION("""COMPUTED_VALUE"""),0.0)</f>
        <v>0</v>
      </c>
      <c r="P1277" s="2">
        <f>IFERROR(__xludf.DUMMYFUNCTION("""COMPUTED_VALUE"""),14.0)</f>
        <v>14</v>
      </c>
      <c r="Q1277" s="2">
        <f>IFERROR(__xludf.DUMMYFUNCTION("""COMPUTED_VALUE"""),10.0)</f>
        <v>10</v>
      </c>
      <c r="R1277" s="2">
        <f>IFERROR(__xludf.DUMMYFUNCTION("""COMPUTED_VALUE"""),2025.0)</f>
        <v>2025</v>
      </c>
      <c r="S1277" s="2" t="str">
        <f>IFERROR(__xludf.DUMMYFUNCTION("""COMPUTED_VALUE"""),"Digizag")</f>
        <v>Digizag</v>
      </c>
      <c r="T1277" s="2" t="str">
        <f>IFERROR(__xludf.DUMMYFUNCTION("""COMPUTED_VALUE"""),"Digizag")</f>
        <v>Digizag</v>
      </c>
      <c r="U1277" s="5">
        <f>IFERROR(__xludf.DUMMYFUNCTION("""COMPUTED_VALUE"""),41.572905)</f>
        <v>41.572905</v>
      </c>
      <c r="V1277" s="2"/>
      <c r="W1277" s="2"/>
      <c r="X1277" s="2"/>
      <c r="Y1277" s="2"/>
      <c r="Z1277" s="2"/>
    </row>
    <row r="1278">
      <c r="A1278" s="6">
        <f>IFERROR(__xludf.DUMMYFUNCTION("""COMPUTED_VALUE"""),45944.747777777775)</f>
        <v>45944.74778</v>
      </c>
      <c r="B1278" s="2" t="str">
        <f>IFERROR(__xludf.DUMMYFUNCTION("""COMPUTED_VALUE"""),"October")</f>
        <v>October</v>
      </c>
      <c r="C1278" s="2">
        <f>IFERROR(__xludf.DUMMYFUNCTION("""COMPUTED_VALUE"""),182495.0)</f>
        <v>182495</v>
      </c>
      <c r="D1278" s="2" t="str">
        <f>IFERROR(__xludf.DUMMYFUNCTION("""COMPUTED_VALUE"""),"82WP58")</f>
        <v>82WP58</v>
      </c>
      <c r="E1278" s="2" t="str">
        <f>IFERROR(__xludf.DUMMYFUNCTION("""COMPUTED_VALUE"""),"Imported from file DigiZag Bidding Codes.xlsx")</f>
        <v>Imported from file DigiZag Bidding Codes.xlsx</v>
      </c>
      <c r="F1278" s="2" t="str">
        <f>IFERROR(__xludf.DUMMYFUNCTION("""COMPUTED_VALUE"""),"CQJ710619")</f>
        <v>CQJ710619</v>
      </c>
      <c r="G1278" s="2" t="str">
        <f>IFERROR(__xludf.DUMMYFUNCTION("""COMPUTED_VALUE"""),"Kingdom of Saudi Arabia")</f>
        <v>Kingdom of Saudi Arabia</v>
      </c>
      <c r="H1278" s="2">
        <f>IFERROR(__xludf.DUMMYFUNCTION("""COMPUTED_VALUE"""),99.6)</f>
        <v>99.6</v>
      </c>
      <c r="I1278" s="2">
        <f>IFERROR(__xludf.DUMMYFUNCTION("""COMPUTED_VALUE"""),0.0)</f>
        <v>0</v>
      </c>
      <c r="J1278" s="2">
        <f>IFERROR(__xludf.DUMMYFUNCTION("""COMPUTED_VALUE"""),24.9)</f>
        <v>24.9</v>
      </c>
      <c r="K1278" s="2"/>
      <c r="L1278" s="2" t="str">
        <f>IFERROR(__xludf.DUMMYFUNCTION("""COMPUTED_VALUE"""),"Delivered")</f>
        <v>Delivered</v>
      </c>
      <c r="M1278" s="2" t="str">
        <f>IFERROR(__xludf.DUMMYFUNCTION("""COMPUTED_VALUE"""),"")</f>
        <v></v>
      </c>
      <c r="N1278" s="2" t="str">
        <f>IFERROR(__xludf.DUMMYFUNCTION("""COMPUTED_VALUE"""),"Credit, Debit, Apple Pay")</f>
        <v>Credit, Debit, Apple Pay</v>
      </c>
      <c r="O1278" s="2">
        <f>IFERROR(__xludf.DUMMYFUNCTION("""COMPUTED_VALUE"""),0.0)</f>
        <v>0</v>
      </c>
      <c r="P1278" s="2">
        <f>IFERROR(__xludf.DUMMYFUNCTION("""COMPUTED_VALUE"""),14.0)</f>
        <v>14</v>
      </c>
      <c r="Q1278" s="2">
        <f>IFERROR(__xludf.DUMMYFUNCTION("""COMPUTED_VALUE"""),10.0)</f>
        <v>10</v>
      </c>
      <c r="R1278" s="2">
        <f>IFERROR(__xludf.DUMMYFUNCTION("""COMPUTED_VALUE"""),2025.0)</f>
        <v>2025</v>
      </c>
      <c r="S1278" s="2" t="str">
        <f>IFERROR(__xludf.DUMMYFUNCTION("""COMPUTED_VALUE"""),"Digizag")</f>
        <v>Digizag</v>
      </c>
      <c r="T1278" s="2" t="str">
        <f>IFERROR(__xludf.DUMMYFUNCTION("""COMPUTED_VALUE"""),"Digizag")</f>
        <v>Digizag</v>
      </c>
      <c r="U1278" s="5">
        <f>IFERROR(__xludf.DUMMYFUNCTION("""COMPUTED_VALUE"""),26.557946181600002)</f>
        <v>26.55794618</v>
      </c>
      <c r="V1278" s="2"/>
      <c r="W1278" s="2"/>
      <c r="X1278" s="2"/>
      <c r="Y1278" s="2"/>
      <c r="Z1278" s="2"/>
    </row>
    <row r="1279">
      <c r="A1279" s="6">
        <f>IFERROR(__xludf.DUMMYFUNCTION("""COMPUTED_VALUE"""),45945.135405092595)</f>
        <v>45945.13541</v>
      </c>
      <c r="B1279" s="2" t="str">
        <f>IFERROR(__xludf.DUMMYFUNCTION("""COMPUTED_VALUE"""),"October")</f>
        <v>October</v>
      </c>
      <c r="C1279" s="2">
        <f>IFERROR(__xludf.DUMMYFUNCTION("""COMPUTED_VALUE"""),816744.0)</f>
        <v>816744</v>
      </c>
      <c r="D1279" s="2" t="str">
        <f>IFERROR(__xludf.DUMMYFUNCTION("""COMPUTED_VALUE"""),"CC22")</f>
        <v>CC22</v>
      </c>
      <c r="E1279" s="2" t="str">
        <f>IFERROR(__xludf.DUMMYFUNCTION("""COMPUTED_VALUE"""),"Imported from file Digizag.xlsx")</f>
        <v>Imported from file Digizag.xlsx</v>
      </c>
      <c r="F1279" s="2" t="str">
        <f>IFERROR(__xludf.DUMMYFUNCTION("""COMPUTED_VALUE"""),"NBY811636")</f>
        <v>NBY811636</v>
      </c>
      <c r="G1279" s="2" t="str">
        <f>IFERROR(__xludf.DUMMYFUNCTION("""COMPUTED_VALUE"""),"Kingdom of Saudi Arabia")</f>
        <v>Kingdom of Saudi Arabia</v>
      </c>
      <c r="H1279" s="2">
        <f>IFERROR(__xludf.DUMMYFUNCTION("""COMPUTED_VALUE"""),444.13)</f>
        <v>444.13</v>
      </c>
      <c r="I1279" s="2">
        <f>IFERROR(__xludf.DUMMYFUNCTION("""COMPUTED_VALUE"""),0.0)</f>
        <v>0</v>
      </c>
      <c r="J1279" s="2">
        <f>IFERROR(__xludf.DUMMYFUNCTION("""COMPUTED_VALUE"""),30.0)</f>
        <v>30</v>
      </c>
      <c r="K1279" s="2"/>
      <c r="L1279" s="2" t="str">
        <f>IFERROR(__xludf.DUMMYFUNCTION("""COMPUTED_VALUE"""),"Delivered")</f>
        <v>Delivered</v>
      </c>
      <c r="M1279" s="2" t="str">
        <f>IFERROR(__xludf.DUMMYFUNCTION("""COMPUTED_VALUE"""),"")</f>
        <v></v>
      </c>
      <c r="N1279" s="2" t="str">
        <f>IFERROR(__xludf.DUMMYFUNCTION("""COMPUTED_VALUE"""),"Credit, Debit, Apple Pay")</f>
        <v>Credit, Debit, Apple Pay</v>
      </c>
      <c r="O1279" s="2">
        <f>IFERROR(__xludf.DUMMYFUNCTION("""COMPUTED_VALUE"""),0.0)</f>
        <v>0</v>
      </c>
      <c r="P1279" s="2">
        <f>IFERROR(__xludf.DUMMYFUNCTION("""COMPUTED_VALUE"""),15.0)</f>
        <v>15</v>
      </c>
      <c r="Q1279" s="2">
        <f>IFERROR(__xludf.DUMMYFUNCTION("""COMPUTED_VALUE"""),10.0)</f>
        <v>10</v>
      </c>
      <c r="R1279" s="2">
        <f>IFERROR(__xludf.DUMMYFUNCTION("""COMPUTED_VALUE"""),2025.0)</f>
        <v>2025</v>
      </c>
      <c r="S1279" s="2" t="str">
        <f>IFERROR(__xludf.DUMMYFUNCTION("""COMPUTED_VALUE"""),"Digizag")</f>
        <v>Digizag</v>
      </c>
      <c r="T1279" s="2" t="str">
        <f>IFERROR(__xludf.DUMMYFUNCTION("""COMPUTED_VALUE"""),"Digizag")</f>
        <v>Digizag</v>
      </c>
      <c r="U1279" s="5">
        <f>IFERROR(__xludf.DUMMYFUNCTION("""COMPUTED_VALUE"""),118.42550840998001)</f>
        <v>118.4255084</v>
      </c>
      <c r="V1279" s="2"/>
      <c r="W1279" s="2"/>
      <c r="X1279" s="2"/>
      <c r="Y1279" s="2"/>
      <c r="Z1279" s="2"/>
    </row>
    <row r="1280">
      <c r="A1280" s="6">
        <f>IFERROR(__xludf.DUMMYFUNCTION("""COMPUTED_VALUE"""),45945.252291666664)</f>
        <v>45945.25229</v>
      </c>
      <c r="B1280" s="2" t="str">
        <f>IFERROR(__xludf.DUMMYFUNCTION("""COMPUTED_VALUE"""),"October")</f>
        <v>October</v>
      </c>
      <c r="C1280" s="2">
        <f>IFERROR(__xludf.DUMMYFUNCTION("""COMPUTED_VALUE"""),296377.0)</f>
        <v>296377</v>
      </c>
      <c r="D1280" s="2" t="str">
        <f>IFERROR(__xludf.DUMMYFUNCTION("""COMPUTED_VALUE"""),"ZM22")</f>
        <v>ZM22</v>
      </c>
      <c r="E1280" s="2" t="str">
        <f>IFERROR(__xludf.DUMMYFUNCTION("""COMPUTED_VALUE"""),"Imported from file Digizag.xlsx")</f>
        <v>Imported from file Digizag.xlsx</v>
      </c>
      <c r="F1280" s="2" t="str">
        <f>IFERROR(__xludf.DUMMYFUNCTION("""COMPUTED_VALUE"""),"ZLA965131")</f>
        <v>ZLA965131</v>
      </c>
      <c r="G1280" s="2" t="str">
        <f>IFERROR(__xludf.DUMMYFUNCTION("""COMPUTED_VALUE"""),"Kuwait")</f>
        <v>Kuwait</v>
      </c>
      <c r="H1280" s="2">
        <f>IFERROR(__xludf.DUMMYFUNCTION("""COMPUTED_VALUE"""),8.7)</f>
        <v>8.7</v>
      </c>
      <c r="I1280" s="2">
        <f>IFERROR(__xludf.DUMMYFUNCTION("""COMPUTED_VALUE"""),0.0)</f>
        <v>0</v>
      </c>
      <c r="J1280" s="2">
        <f>IFERROR(__xludf.DUMMYFUNCTION("""COMPUTED_VALUE"""),0.87)</f>
        <v>0.87</v>
      </c>
      <c r="K1280" s="2"/>
      <c r="L1280" s="2" t="str">
        <f>IFERROR(__xludf.DUMMYFUNCTION("""COMPUTED_VALUE"""),"Processing")</f>
        <v>Processing</v>
      </c>
      <c r="M1280" s="2" t="str">
        <f>IFERROR(__xludf.DUMMYFUNCTION("""COMPUTED_VALUE"""),"KD")</f>
        <v>KD</v>
      </c>
      <c r="N1280" s="2" t="str">
        <f>IFERROR(__xludf.DUMMYFUNCTION("""COMPUTED_VALUE"""),"Credit, Debit, Knet")</f>
        <v>Credit, Debit, Knet</v>
      </c>
      <c r="O1280" s="2">
        <f>IFERROR(__xludf.DUMMYFUNCTION("""COMPUTED_VALUE"""),0.0)</f>
        <v>0</v>
      </c>
      <c r="P1280" s="2">
        <f>IFERROR(__xludf.DUMMYFUNCTION("""COMPUTED_VALUE"""),15.0)</f>
        <v>15</v>
      </c>
      <c r="Q1280" s="2">
        <f>IFERROR(__xludf.DUMMYFUNCTION("""COMPUTED_VALUE"""),10.0)</f>
        <v>10</v>
      </c>
      <c r="R1280" s="2">
        <f>IFERROR(__xludf.DUMMYFUNCTION("""COMPUTED_VALUE"""),2025.0)</f>
        <v>2025</v>
      </c>
      <c r="S1280" s="2" t="str">
        <f>IFERROR(__xludf.DUMMYFUNCTION("""COMPUTED_VALUE"""),"Digizag")</f>
        <v>Digizag</v>
      </c>
      <c r="T1280" s="2" t="str">
        <f>IFERROR(__xludf.DUMMYFUNCTION("""COMPUTED_VALUE"""),"Digizag")</f>
        <v>Digizag</v>
      </c>
      <c r="U1280" s="5">
        <f>IFERROR(__xludf.DUMMYFUNCTION("""COMPUTED_VALUE"""),28.367393999999997)</f>
        <v>28.367394</v>
      </c>
      <c r="V1280" s="2"/>
      <c r="W1280" s="2"/>
      <c r="X1280" s="2"/>
      <c r="Y1280" s="2"/>
      <c r="Z1280" s="2"/>
    </row>
    <row r="1281">
      <c r="A1281" s="6">
        <f>IFERROR(__xludf.DUMMYFUNCTION("""COMPUTED_VALUE"""),45945.30976851852)</f>
        <v>45945.30977</v>
      </c>
      <c r="B1281" s="2" t="str">
        <f>IFERROR(__xludf.DUMMYFUNCTION("""COMPUTED_VALUE"""),"October")</f>
        <v>October</v>
      </c>
      <c r="C1281" s="2">
        <f>IFERROR(__xludf.DUMMYFUNCTION("""COMPUTED_VALUE"""),816545.0)</f>
        <v>816545</v>
      </c>
      <c r="D1281" s="2" t="str">
        <f>IFERROR(__xludf.DUMMYFUNCTION("""COMPUTED_VALUE"""),"DB3")</f>
        <v>DB3</v>
      </c>
      <c r="E1281" s="2" t="str">
        <f>IFERROR(__xludf.DUMMYFUNCTION("""COMPUTED_VALUE"""),"Imported from file Digizag.xlsx")</f>
        <v>Imported from file Digizag.xlsx</v>
      </c>
      <c r="F1281" s="2" t="str">
        <f>IFERROR(__xludf.DUMMYFUNCTION("""COMPUTED_VALUE"""),"SLN629886")</f>
        <v>SLN629886</v>
      </c>
      <c r="G1281" s="2" t="str">
        <f>IFERROR(__xludf.DUMMYFUNCTION("""COMPUTED_VALUE"""),"Kingdom of Saudi Arabia")</f>
        <v>Kingdom of Saudi Arabia</v>
      </c>
      <c r="H1281" s="2">
        <f>IFERROR(__xludf.DUMMYFUNCTION("""COMPUTED_VALUE"""),672.27)</f>
        <v>672.27</v>
      </c>
      <c r="I1281" s="2">
        <f>IFERROR(__xludf.DUMMYFUNCTION("""COMPUTED_VALUE"""),0.0)</f>
        <v>0</v>
      </c>
      <c r="J1281" s="2">
        <f>IFERROR(__xludf.DUMMYFUNCTION("""COMPUTED_VALUE"""),30.0)</f>
        <v>30</v>
      </c>
      <c r="K1281" s="2"/>
      <c r="L1281" s="2" t="str">
        <f>IFERROR(__xludf.DUMMYFUNCTION("""COMPUTED_VALUE"""),"Delivered")</f>
        <v>Delivered</v>
      </c>
      <c r="M1281" s="2" t="str">
        <f>IFERROR(__xludf.DUMMYFUNCTION("""COMPUTED_VALUE"""),"")</f>
        <v></v>
      </c>
      <c r="N1281" s="2" t="str">
        <f>IFERROR(__xludf.DUMMYFUNCTION("""COMPUTED_VALUE"""),"Cash")</f>
        <v>Cash</v>
      </c>
      <c r="O1281" s="2">
        <f>IFERROR(__xludf.DUMMYFUNCTION("""COMPUTED_VALUE"""),0.0)</f>
        <v>0</v>
      </c>
      <c r="P1281" s="2">
        <f>IFERROR(__xludf.DUMMYFUNCTION("""COMPUTED_VALUE"""),15.0)</f>
        <v>15</v>
      </c>
      <c r="Q1281" s="2">
        <f>IFERROR(__xludf.DUMMYFUNCTION("""COMPUTED_VALUE"""),10.0)</f>
        <v>10</v>
      </c>
      <c r="R1281" s="2">
        <f>IFERROR(__xludf.DUMMYFUNCTION("""COMPUTED_VALUE"""),2025.0)</f>
        <v>2025</v>
      </c>
      <c r="S1281" s="2" t="str">
        <f>IFERROR(__xludf.DUMMYFUNCTION("""COMPUTED_VALUE"""),"Digizag")</f>
        <v>Digizag</v>
      </c>
      <c r="T1281" s="2" t="str">
        <f>IFERROR(__xludf.DUMMYFUNCTION("""COMPUTED_VALUE"""),"Digizag")</f>
        <v>Digizag</v>
      </c>
      <c r="U1281" s="5">
        <f>IFERROR(__xludf.DUMMYFUNCTION("""COMPUTED_VALUE"""),179.25813734442002)</f>
        <v>179.2581373</v>
      </c>
      <c r="V1281" s="2"/>
      <c r="W1281" s="2"/>
      <c r="X1281" s="2"/>
      <c r="Y1281" s="2"/>
      <c r="Z1281" s="2"/>
    </row>
    <row r="1282">
      <c r="A1282" s="6">
        <f>IFERROR(__xludf.DUMMYFUNCTION("""COMPUTED_VALUE"""),45945.383784722224)</f>
        <v>45945.38378</v>
      </c>
      <c r="B1282" s="2" t="str">
        <f>IFERROR(__xludf.DUMMYFUNCTION("""COMPUTED_VALUE"""),"October")</f>
        <v>October</v>
      </c>
      <c r="C1282" s="2">
        <f>IFERROR(__xludf.DUMMYFUNCTION("""COMPUTED_VALUE"""),304111.0)</f>
        <v>304111</v>
      </c>
      <c r="D1282" s="2" t="str">
        <f>IFERROR(__xludf.DUMMYFUNCTION("""COMPUTED_VALUE"""),"82WP58")</f>
        <v>82WP58</v>
      </c>
      <c r="E1282" s="2" t="str">
        <f>IFERROR(__xludf.DUMMYFUNCTION("""COMPUTED_VALUE"""),"Imported from file DigiZag Bidding Codes.xlsx")</f>
        <v>Imported from file DigiZag Bidding Codes.xlsx</v>
      </c>
      <c r="F1282" s="2" t="str">
        <f>IFERROR(__xludf.DUMMYFUNCTION("""COMPUTED_VALUE"""),"EGQ746271")</f>
        <v>EGQ746271</v>
      </c>
      <c r="G1282" s="2" t="str">
        <f>IFERROR(__xludf.DUMMYFUNCTION("""COMPUTED_VALUE"""),"Kingdom of Saudi Arabia")</f>
        <v>Kingdom of Saudi Arabia</v>
      </c>
      <c r="H1282" s="2">
        <f>IFERROR(__xludf.DUMMYFUNCTION("""COMPUTED_VALUE"""),195.55)</f>
        <v>195.55</v>
      </c>
      <c r="I1282" s="2">
        <f>IFERROR(__xludf.DUMMYFUNCTION("""COMPUTED_VALUE"""),0.0)</f>
        <v>0</v>
      </c>
      <c r="J1282" s="2">
        <f>IFERROR(__xludf.DUMMYFUNCTION("""COMPUTED_VALUE"""),30.0)</f>
        <v>30</v>
      </c>
      <c r="K1282" s="2"/>
      <c r="L1282" s="2" t="str">
        <f>IFERROR(__xludf.DUMMYFUNCTION("""COMPUTED_VALUE"""),"Delivered")</f>
        <v>Delivered</v>
      </c>
      <c r="M1282" s="2" t="str">
        <f>IFERROR(__xludf.DUMMYFUNCTION("""COMPUTED_VALUE"""),"")</f>
        <v></v>
      </c>
      <c r="N1282" s="2" t="str">
        <f>IFERROR(__xludf.DUMMYFUNCTION("""COMPUTED_VALUE"""),"Credit, Debit, Apple Pay")</f>
        <v>Credit, Debit, Apple Pay</v>
      </c>
      <c r="O1282" s="2">
        <f>IFERROR(__xludf.DUMMYFUNCTION("""COMPUTED_VALUE"""),0.0)</f>
        <v>0</v>
      </c>
      <c r="P1282" s="2">
        <f>IFERROR(__xludf.DUMMYFUNCTION("""COMPUTED_VALUE"""),15.0)</f>
        <v>15</v>
      </c>
      <c r="Q1282" s="2">
        <f>IFERROR(__xludf.DUMMYFUNCTION("""COMPUTED_VALUE"""),10.0)</f>
        <v>10</v>
      </c>
      <c r="R1282" s="2">
        <f>IFERROR(__xludf.DUMMYFUNCTION("""COMPUTED_VALUE"""),2025.0)</f>
        <v>2025</v>
      </c>
      <c r="S1282" s="2" t="str">
        <f>IFERROR(__xludf.DUMMYFUNCTION("""COMPUTED_VALUE"""),"Digizag")</f>
        <v>Digizag</v>
      </c>
      <c r="T1282" s="2" t="str">
        <f>IFERROR(__xludf.DUMMYFUNCTION("""COMPUTED_VALUE"""),"Digizag")</f>
        <v>Digizag</v>
      </c>
      <c r="U1282" s="5">
        <f>IFERROR(__xludf.DUMMYFUNCTION("""COMPUTED_VALUE"""),52.142634295300006)</f>
        <v>52.1426343</v>
      </c>
      <c r="V1282" s="2"/>
      <c r="W1282" s="2"/>
      <c r="X1282" s="2"/>
      <c r="Y1282" s="2"/>
      <c r="Z1282" s="2"/>
    </row>
    <row r="1283">
      <c r="A1283" s="6">
        <f>IFERROR(__xludf.DUMMYFUNCTION("""COMPUTED_VALUE"""),45945.399351851855)</f>
        <v>45945.39935</v>
      </c>
      <c r="B1283" s="2" t="str">
        <f>IFERROR(__xludf.DUMMYFUNCTION("""COMPUTED_VALUE"""),"October")</f>
        <v>October</v>
      </c>
      <c r="C1283" s="2">
        <f>IFERROR(__xludf.DUMMYFUNCTION("""COMPUTED_VALUE"""),262268.0)</f>
        <v>262268</v>
      </c>
      <c r="D1283" s="2" t="str">
        <f>IFERROR(__xludf.DUMMYFUNCTION("""COMPUTED_VALUE"""),"ZM22")</f>
        <v>ZM22</v>
      </c>
      <c r="E1283" s="2" t="str">
        <f>IFERROR(__xludf.DUMMYFUNCTION("""COMPUTED_VALUE"""),"Imported from file Digizag.xlsx")</f>
        <v>Imported from file Digizag.xlsx</v>
      </c>
      <c r="F1283" s="2" t="str">
        <f>IFERROR(__xludf.DUMMYFUNCTION("""COMPUTED_VALUE"""),"HGN849934")</f>
        <v>HGN849934</v>
      </c>
      <c r="G1283" s="2" t="str">
        <f>IFERROR(__xludf.DUMMYFUNCTION("""COMPUTED_VALUE"""),"Kuwait")</f>
        <v>Kuwait</v>
      </c>
      <c r="H1283" s="2">
        <f>IFERROR(__xludf.DUMMYFUNCTION("""COMPUTED_VALUE"""),8.95)</f>
        <v>8.95</v>
      </c>
      <c r="I1283" s="2">
        <f>IFERROR(__xludf.DUMMYFUNCTION("""COMPUTED_VALUE"""),0.0)</f>
        <v>0</v>
      </c>
      <c r="J1283" s="2">
        <f>IFERROR(__xludf.DUMMYFUNCTION("""COMPUTED_VALUE"""),0.895)</f>
        <v>0.895</v>
      </c>
      <c r="K1283" s="2"/>
      <c r="L1283" s="2" t="str">
        <f>IFERROR(__xludf.DUMMYFUNCTION("""COMPUTED_VALUE"""),"Delivered")</f>
        <v>Delivered</v>
      </c>
      <c r="M1283" s="2" t="str">
        <f>IFERROR(__xludf.DUMMYFUNCTION("""COMPUTED_VALUE"""),"KD")</f>
        <v>KD</v>
      </c>
      <c r="N1283" s="2" t="str">
        <f>IFERROR(__xludf.DUMMYFUNCTION("""COMPUTED_VALUE"""),"Credit, Debit, Knet")</f>
        <v>Credit, Debit, Knet</v>
      </c>
      <c r="O1283" s="2">
        <f>IFERROR(__xludf.DUMMYFUNCTION("""COMPUTED_VALUE"""),0.0)</f>
        <v>0</v>
      </c>
      <c r="P1283" s="2">
        <f>IFERROR(__xludf.DUMMYFUNCTION("""COMPUTED_VALUE"""),15.0)</f>
        <v>15</v>
      </c>
      <c r="Q1283" s="2">
        <f>IFERROR(__xludf.DUMMYFUNCTION("""COMPUTED_VALUE"""),10.0)</f>
        <v>10</v>
      </c>
      <c r="R1283" s="2">
        <f>IFERROR(__xludf.DUMMYFUNCTION("""COMPUTED_VALUE"""),2025.0)</f>
        <v>2025</v>
      </c>
      <c r="S1283" s="2" t="str">
        <f>IFERROR(__xludf.DUMMYFUNCTION("""COMPUTED_VALUE"""),"Digizag")</f>
        <v>Digizag</v>
      </c>
      <c r="T1283" s="2" t="str">
        <f>IFERROR(__xludf.DUMMYFUNCTION("""COMPUTED_VALUE"""),"Digizag")</f>
        <v>Digizag</v>
      </c>
      <c r="U1283" s="5">
        <f>IFERROR(__xludf.DUMMYFUNCTION("""COMPUTED_VALUE"""),29.182548999999998)</f>
        <v>29.182549</v>
      </c>
      <c r="V1283" s="2"/>
      <c r="W1283" s="2"/>
      <c r="X1283" s="2"/>
      <c r="Y1283" s="2"/>
      <c r="Z1283" s="2"/>
    </row>
    <row r="1284">
      <c r="A1284" s="6">
        <f>IFERROR(__xludf.DUMMYFUNCTION("""COMPUTED_VALUE"""),45945.41746527778)</f>
        <v>45945.41747</v>
      </c>
      <c r="B1284" s="2" t="str">
        <f>IFERROR(__xludf.DUMMYFUNCTION("""COMPUTED_VALUE"""),"October")</f>
        <v>October</v>
      </c>
      <c r="C1284" s="2">
        <f>IFERROR(__xludf.DUMMYFUNCTION("""COMPUTED_VALUE"""),148762.0)</f>
        <v>148762</v>
      </c>
      <c r="D1284" s="2" t="str">
        <f>IFERROR(__xludf.DUMMYFUNCTION("""COMPUTED_VALUE"""),"82WP58")</f>
        <v>82WP58</v>
      </c>
      <c r="E1284" s="2" t="str">
        <f>IFERROR(__xludf.DUMMYFUNCTION("""COMPUTED_VALUE"""),"Imported from file DigiZag Bidding Codes.xlsx")</f>
        <v>Imported from file DigiZag Bidding Codes.xlsx</v>
      </c>
      <c r="F1284" s="2" t="str">
        <f>IFERROR(__xludf.DUMMYFUNCTION("""COMPUTED_VALUE"""),"HCC123723")</f>
        <v>HCC123723</v>
      </c>
      <c r="G1284" s="2" t="str">
        <f>IFERROR(__xludf.DUMMYFUNCTION("""COMPUTED_VALUE"""),"Kingdom of Saudi Arabia")</f>
        <v>Kingdom of Saudi Arabia</v>
      </c>
      <c r="H1284" s="2">
        <f>IFERROR(__xludf.DUMMYFUNCTION("""COMPUTED_VALUE"""),254.0)</f>
        <v>254</v>
      </c>
      <c r="I1284" s="2">
        <f>IFERROR(__xludf.DUMMYFUNCTION("""COMPUTED_VALUE"""),0.0)</f>
        <v>0</v>
      </c>
      <c r="J1284" s="2">
        <f>IFERROR(__xludf.DUMMYFUNCTION("""COMPUTED_VALUE"""),30.0)</f>
        <v>30</v>
      </c>
      <c r="K1284" s="2"/>
      <c r="L1284" s="2" t="str">
        <f>IFERROR(__xludf.DUMMYFUNCTION("""COMPUTED_VALUE"""),"Delivered")</f>
        <v>Delivered</v>
      </c>
      <c r="M1284" s="2" t="str">
        <f>IFERROR(__xludf.DUMMYFUNCTION("""COMPUTED_VALUE"""),"")</f>
        <v></v>
      </c>
      <c r="N1284" s="2" t="str">
        <f>IFERROR(__xludf.DUMMYFUNCTION("""COMPUTED_VALUE"""),"Credit, Debit, Apple Pay")</f>
        <v>Credit, Debit, Apple Pay</v>
      </c>
      <c r="O1284" s="2">
        <f>IFERROR(__xludf.DUMMYFUNCTION("""COMPUTED_VALUE"""),0.0)</f>
        <v>0</v>
      </c>
      <c r="P1284" s="2">
        <f>IFERROR(__xludf.DUMMYFUNCTION("""COMPUTED_VALUE"""),15.0)</f>
        <v>15</v>
      </c>
      <c r="Q1284" s="2">
        <f>IFERROR(__xludf.DUMMYFUNCTION("""COMPUTED_VALUE"""),10.0)</f>
        <v>10</v>
      </c>
      <c r="R1284" s="2">
        <f>IFERROR(__xludf.DUMMYFUNCTION("""COMPUTED_VALUE"""),2025.0)</f>
        <v>2025</v>
      </c>
      <c r="S1284" s="2" t="str">
        <f>IFERROR(__xludf.DUMMYFUNCTION("""COMPUTED_VALUE"""),"Digizag")</f>
        <v>Digizag</v>
      </c>
      <c r="T1284" s="2" t="str">
        <f>IFERROR(__xludf.DUMMYFUNCTION("""COMPUTED_VALUE"""),"Digizag")</f>
        <v>Digizag</v>
      </c>
      <c r="U1284" s="5">
        <f>IFERROR(__xludf.DUMMYFUNCTION("""COMPUTED_VALUE"""),67.72809568400001)</f>
        <v>67.72809568</v>
      </c>
      <c r="V1284" s="2"/>
      <c r="W1284" s="2"/>
      <c r="X1284" s="2"/>
      <c r="Y1284" s="2"/>
      <c r="Z1284" s="2"/>
    </row>
    <row r="1285">
      <c r="A1285" s="6">
        <f>IFERROR(__xludf.DUMMYFUNCTION("""COMPUTED_VALUE"""),45945.452210648145)</f>
        <v>45945.45221</v>
      </c>
      <c r="B1285" s="2" t="str">
        <f>IFERROR(__xludf.DUMMYFUNCTION("""COMPUTED_VALUE"""),"October")</f>
        <v>October</v>
      </c>
      <c r="C1285" s="2">
        <f>IFERROR(__xludf.DUMMYFUNCTION("""COMPUTED_VALUE"""),12133.0)</f>
        <v>12133</v>
      </c>
      <c r="D1285" s="2" t="str">
        <f>IFERROR(__xludf.DUMMYFUNCTION("""COMPUTED_VALUE"""),"JM")</f>
        <v>JM</v>
      </c>
      <c r="E1285" s="2" t="str">
        <f>IFERROR(__xludf.DUMMYFUNCTION("""COMPUTED_VALUE"""),"DigiZag")</f>
        <v>DigiZag</v>
      </c>
      <c r="F1285" s="2" t="str">
        <f>IFERROR(__xludf.DUMMYFUNCTION("""COMPUTED_VALUE"""),"DNK251265")</f>
        <v>DNK251265</v>
      </c>
      <c r="G1285" s="2" t="str">
        <f>IFERROR(__xludf.DUMMYFUNCTION("""COMPUTED_VALUE"""),"UAE")</f>
        <v>UAE</v>
      </c>
      <c r="H1285" s="2">
        <f>IFERROR(__xludf.DUMMYFUNCTION("""COMPUTED_VALUE"""),306.5)</f>
        <v>306.5</v>
      </c>
      <c r="I1285" s="2">
        <f>IFERROR(__xludf.DUMMYFUNCTION("""COMPUTED_VALUE"""),0.0)</f>
        <v>0</v>
      </c>
      <c r="J1285" s="2">
        <f>IFERROR(__xludf.DUMMYFUNCTION("""COMPUTED_VALUE"""),30.65)</f>
        <v>30.65</v>
      </c>
      <c r="K1285" s="2"/>
      <c r="L1285" s="2" t="str">
        <f>IFERROR(__xludf.DUMMYFUNCTION("""COMPUTED_VALUE"""),"Delivered")</f>
        <v>Delivered</v>
      </c>
      <c r="M1285" s="2" t="str">
        <f>IFERROR(__xludf.DUMMYFUNCTION("""COMPUTED_VALUE"""),"")</f>
        <v></v>
      </c>
      <c r="N1285" s="2" t="str">
        <f>IFERROR(__xludf.DUMMYFUNCTION("""COMPUTED_VALUE"""),"Credit, Debit , Apple Pay")</f>
        <v>Credit, Debit , Apple Pay</v>
      </c>
      <c r="O1285" s="2">
        <f>IFERROR(__xludf.DUMMYFUNCTION("""COMPUTED_VALUE"""),0.0)</f>
        <v>0</v>
      </c>
      <c r="P1285" s="2">
        <f>IFERROR(__xludf.DUMMYFUNCTION("""COMPUTED_VALUE"""),15.0)</f>
        <v>15</v>
      </c>
      <c r="Q1285" s="2">
        <f>IFERROR(__xludf.DUMMYFUNCTION("""COMPUTED_VALUE"""),10.0)</f>
        <v>10</v>
      </c>
      <c r="R1285" s="2">
        <f>IFERROR(__xludf.DUMMYFUNCTION("""COMPUTED_VALUE"""),2025.0)</f>
        <v>2025</v>
      </c>
      <c r="S1285" s="2" t="str">
        <f>IFERROR(__xludf.DUMMYFUNCTION("""COMPUTED_VALUE"""),"Digizag")</f>
        <v>Digizag</v>
      </c>
      <c r="T1285" s="2" t="str">
        <f>IFERROR(__xludf.DUMMYFUNCTION("""COMPUTED_VALUE"""),"Digizag")</f>
        <v>Digizag</v>
      </c>
      <c r="U1285" s="5">
        <f>IFERROR(__xludf.DUMMYFUNCTION("""COMPUTED_VALUE"""),83.458134907)</f>
        <v>83.45813491</v>
      </c>
      <c r="V1285" s="2"/>
      <c r="W1285" s="2"/>
      <c r="X1285" s="2"/>
      <c r="Y1285" s="2"/>
      <c r="Z1285" s="2"/>
    </row>
    <row r="1286">
      <c r="A1286" s="6">
        <f>IFERROR(__xludf.DUMMYFUNCTION("""COMPUTED_VALUE"""),45945.64160879629)</f>
        <v>45945.64161</v>
      </c>
      <c r="B1286" s="2" t="str">
        <f>IFERROR(__xludf.DUMMYFUNCTION("""COMPUTED_VALUE"""),"October")</f>
        <v>October</v>
      </c>
      <c r="C1286" s="2">
        <f>IFERROR(__xludf.DUMMYFUNCTION("""COMPUTED_VALUE"""),816724.0)</f>
        <v>816724</v>
      </c>
      <c r="D1286" s="2" t="str">
        <f>IFERROR(__xludf.DUMMYFUNCTION("""COMPUTED_VALUE"""),"MNN27")</f>
        <v>MNN27</v>
      </c>
      <c r="E1286" s="2" t="str">
        <f>IFERROR(__xludf.DUMMYFUNCTION("""COMPUTED_VALUE"""),"Imported from file DigiZag Codes 25Feb25.xlsx")</f>
        <v>Imported from file DigiZag Codes 25Feb25.xlsx</v>
      </c>
      <c r="F1286" s="2" t="str">
        <f>IFERROR(__xludf.DUMMYFUNCTION("""COMPUTED_VALUE"""),"EAB219850")</f>
        <v>EAB219850</v>
      </c>
      <c r="G1286" s="2" t="str">
        <f>IFERROR(__xludf.DUMMYFUNCTION("""COMPUTED_VALUE"""),"Kuwait")</f>
        <v>Kuwait</v>
      </c>
      <c r="H1286" s="2">
        <f>IFERROR(__xludf.DUMMYFUNCTION("""COMPUTED_VALUE"""),9.9)</f>
        <v>9.9</v>
      </c>
      <c r="I1286" s="2">
        <f>IFERROR(__xludf.DUMMYFUNCTION("""COMPUTED_VALUE"""),0.0)</f>
        <v>0</v>
      </c>
      <c r="J1286" s="2">
        <f>IFERROR(__xludf.DUMMYFUNCTION("""COMPUTED_VALUE"""),0.99)</f>
        <v>0.99</v>
      </c>
      <c r="K1286" s="2"/>
      <c r="L1286" s="2" t="str">
        <f>IFERROR(__xludf.DUMMYFUNCTION("""COMPUTED_VALUE"""),"Delivered")</f>
        <v>Delivered</v>
      </c>
      <c r="M1286" s="2" t="str">
        <f>IFERROR(__xludf.DUMMYFUNCTION("""COMPUTED_VALUE"""),"KD")</f>
        <v>KD</v>
      </c>
      <c r="N1286" s="2" t="str">
        <f>IFERROR(__xludf.DUMMYFUNCTION("""COMPUTED_VALUE"""),"Credit, Debit, Knet")</f>
        <v>Credit, Debit, Knet</v>
      </c>
      <c r="O1286" s="2">
        <f>IFERROR(__xludf.DUMMYFUNCTION("""COMPUTED_VALUE"""),0.0)</f>
        <v>0</v>
      </c>
      <c r="P1286" s="2">
        <f>IFERROR(__xludf.DUMMYFUNCTION("""COMPUTED_VALUE"""),15.0)</f>
        <v>15</v>
      </c>
      <c r="Q1286" s="2">
        <f>IFERROR(__xludf.DUMMYFUNCTION("""COMPUTED_VALUE"""),10.0)</f>
        <v>10</v>
      </c>
      <c r="R1286" s="2">
        <f>IFERROR(__xludf.DUMMYFUNCTION("""COMPUTED_VALUE"""),2025.0)</f>
        <v>2025</v>
      </c>
      <c r="S1286" s="2" t="str">
        <f>IFERROR(__xludf.DUMMYFUNCTION("""COMPUTED_VALUE"""),"Digizag")</f>
        <v>Digizag</v>
      </c>
      <c r="T1286" s="2" t="str">
        <f>IFERROR(__xludf.DUMMYFUNCTION("""COMPUTED_VALUE"""),"Digizag")</f>
        <v>Digizag</v>
      </c>
      <c r="U1286" s="5">
        <f>IFERROR(__xludf.DUMMYFUNCTION("""COMPUTED_VALUE"""),32.280138)</f>
        <v>32.280138</v>
      </c>
      <c r="V1286" s="2"/>
      <c r="W1286" s="2"/>
      <c r="X1286" s="2"/>
      <c r="Y1286" s="2"/>
      <c r="Z1286" s="2"/>
    </row>
    <row r="1287">
      <c r="A1287" s="6">
        <f>IFERROR(__xludf.DUMMYFUNCTION("""COMPUTED_VALUE"""),45945.68665509259)</f>
        <v>45945.68666</v>
      </c>
      <c r="B1287" s="2" t="str">
        <f>IFERROR(__xludf.DUMMYFUNCTION("""COMPUTED_VALUE"""),"October")</f>
        <v>October</v>
      </c>
      <c r="C1287" s="2">
        <f>IFERROR(__xludf.DUMMYFUNCTION("""COMPUTED_VALUE"""),817118.0)</f>
        <v>817118</v>
      </c>
      <c r="D1287" s="2" t="str">
        <f>IFERROR(__xludf.DUMMYFUNCTION("""COMPUTED_VALUE"""),"DB6")</f>
        <v>DB6</v>
      </c>
      <c r="E1287" s="2" t="str">
        <f>IFERROR(__xludf.DUMMYFUNCTION("""COMPUTED_VALUE"""),"Digizag")</f>
        <v>Digizag</v>
      </c>
      <c r="F1287" s="2" t="str">
        <f>IFERROR(__xludf.DUMMYFUNCTION("""COMPUTED_VALUE"""),"KBM388100")</f>
        <v>KBM388100</v>
      </c>
      <c r="G1287" s="2" t="str">
        <f>IFERROR(__xludf.DUMMYFUNCTION("""COMPUTED_VALUE"""),"Kingdom of Saudi Arabia")</f>
        <v>Kingdom of Saudi Arabia</v>
      </c>
      <c r="H1287" s="2">
        <f>IFERROR(__xludf.DUMMYFUNCTION("""COMPUTED_VALUE"""),106.48)</f>
        <v>106.48</v>
      </c>
      <c r="I1287" s="2">
        <f>IFERROR(__xludf.DUMMYFUNCTION("""COMPUTED_VALUE"""),0.0)</f>
        <v>0</v>
      </c>
      <c r="J1287" s="2">
        <f>IFERROR(__xludf.DUMMYFUNCTION("""COMPUTED_VALUE"""),26.62)</f>
        <v>26.62</v>
      </c>
      <c r="K1287" s="2"/>
      <c r="L1287" s="2" t="str">
        <f>IFERROR(__xludf.DUMMYFUNCTION("""COMPUTED_VALUE"""),"Delivered")</f>
        <v>Delivered</v>
      </c>
      <c r="M1287" s="2" t="str">
        <f>IFERROR(__xludf.DUMMYFUNCTION("""COMPUTED_VALUE"""),"")</f>
        <v></v>
      </c>
      <c r="N1287" s="2" t="str">
        <f>IFERROR(__xludf.DUMMYFUNCTION("""COMPUTED_VALUE"""),"Credit, Debit, Apple Pay")</f>
        <v>Credit, Debit, Apple Pay</v>
      </c>
      <c r="O1287" s="2">
        <f>IFERROR(__xludf.DUMMYFUNCTION("""COMPUTED_VALUE"""),0.0)</f>
        <v>0</v>
      </c>
      <c r="P1287" s="2">
        <f>IFERROR(__xludf.DUMMYFUNCTION("""COMPUTED_VALUE"""),15.0)</f>
        <v>15</v>
      </c>
      <c r="Q1287" s="2">
        <f>IFERROR(__xludf.DUMMYFUNCTION("""COMPUTED_VALUE"""),10.0)</f>
        <v>10</v>
      </c>
      <c r="R1287" s="2">
        <f>IFERROR(__xludf.DUMMYFUNCTION("""COMPUTED_VALUE"""),2025.0)</f>
        <v>2025</v>
      </c>
      <c r="S1287" s="2" t="str">
        <f>IFERROR(__xludf.DUMMYFUNCTION("""COMPUTED_VALUE"""),"Digizag")</f>
        <v>Digizag</v>
      </c>
      <c r="T1287" s="2" t="str">
        <f>IFERROR(__xludf.DUMMYFUNCTION("""COMPUTED_VALUE"""),"Digizag")</f>
        <v>Digizag</v>
      </c>
      <c r="U1287" s="5">
        <f>IFERROR(__xludf.DUMMYFUNCTION("""COMPUTED_VALUE"""),28.392470978080002)</f>
        <v>28.39247098</v>
      </c>
      <c r="V1287" s="2"/>
      <c r="W1287" s="2"/>
      <c r="X1287" s="2"/>
      <c r="Y1287" s="2"/>
      <c r="Z1287" s="2"/>
    </row>
    <row r="1288">
      <c r="A1288" s="6">
        <f>IFERROR(__xludf.DUMMYFUNCTION("""COMPUTED_VALUE"""),45945.69005787037)</f>
        <v>45945.69006</v>
      </c>
      <c r="B1288" s="2" t="str">
        <f>IFERROR(__xludf.DUMMYFUNCTION("""COMPUTED_VALUE"""),"October")</f>
        <v>October</v>
      </c>
      <c r="C1288" s="2">
        <f>IFERROR(__xludf.DUMMYFUNCTION("""COMPUTED_VALUE"""),318102.0)</f>
        <v>318102</v>
      </c>
      <c r="D1288" s="2" t="str">
        <f>IFERROR(__xludf.DUMMYFUNCTION("""COMPUTED_VALUE"""),"ZM22")</f>
        <v>ZM22</v>
      </c>
      <c r="E1288" s="2" t="str">
        <f>IFERROR(__xludf.DUMMYFUNCTION("""COMPUTED_VALUE"""),"Imported from file Digizag.xlsx")</f>
        <v>Imported from file Digizag.xlsx</v>
      </c>
      <c r="F1288" s="2" t="str">
        <f>IFERROR(__xludf.DUMMYFUNCTION("""COMPUTED_VALUE"""),"WNX970608")</f>
        <v>WNX970608</v>
      </c>
      <c r="G1288" s="2" t="str">
        <f>IFERROR(__xludf.DUMMYFUNCTION("""COMPUTED_VALUE"""),"UAE")</f>
        <v>UAE</v>
      </c>
      <c r="H1288" s="2">
        <f>IFERROR(__xludf.DUMMYFUNCTION("""COMPUTED_VALUE"""),378.51)</f>
        <v>378.51</v>
      </c>
      <c r="I1288" s="2">
        <f>IFERROR(__xludf.DUMMYFUNCTION("""COMPUTED_VALUE"""),0.0)</f>
        <v>0</v>
      </c>
      <c r="J1288" s="2">
        <f>IFERROR(__xludf.DUMMYFUNCTION("""COMPUTED_VALUE"""),37.84)</f>
        <v>37.84</v>
      </c>
      <c r="K1288" s="2"/>
      <c r="L1288" s="2" t="str">
        <f>IFERROR(__xludf.DUMMYFUNCTION("""COMPUTED_VALUE"""),"Processing")</f>
        <v>Processing</v>
      </c>
      <c r="M1288" s="2" t="str">
        <f>IFERROR(__xludf.DUMMYFUNCTION("""COMPUTED_VALUE"""),"")</f>
        <v></v>
      </c>
      <c r="N1288" s="2" t="str">
        <f>IFERROR(__xludf.DUMMYFUNCTION("""COMPUTED_VALUE"""),"Credit, Debit , Apple Pay")</f>
        <v>Credit, Debit , Apple Pay</v>
      </c>
      <c r="O1288" s="2">
        <f>IFERROR(__xludf.DUMMYFUNCTION("""COMPUTED_VALUE"""),0.0)</f>
        <v>0</v>
      </c>
      <c r="P1288" s="2">
        <f>IFERROR(__xludf.DUMMYFUNCTION("""COMPUTED_VALUE"""),15.0)</f>
        <v>15</v>
      </c>
      <c r="Q1288" s="2">
        <f>IFERROR(__xludf.DUMMYFUNCTION("""COMPUTED_VALUE"""),10.0)</f>
        <v>10</v>
      </c>
      <c r="R1288" s="2">
        <f>IFERROR(__xludf.DUMMYFUNCTION("""COMPUTED_VALUE"""),2025.0)</f>
        <v>2025</v>
      </c>
      <c r="S1288" s="2" t="str">
        <f>IFERROR(__xludf.DUMMYFUNCTION("""COMPUTED_VALUE"""),"Digizag")</f>
        <v>Digizag</v>
      </c>
      <c r="T1288" s="2" t="str">
        <f>IFERROR(__xludf.DUMMYFUNCTION("""COMPUTED_VALUE"""),"Digizag")</f>
        <v>Digizag</v>
      </c>
      <c r="U1288" s="5">
        <f>IFERROR(__xludf.DUMMYFUNCTION("""COMPUTED_VALUE"""),103.06603146377999)</f>
        <v>103.0660315</v>
      </c>
      <c r="V1288" s="2"/>
      <c r="W1288" s="2"/>
      <c r="X1288" s="2"/>
      <c r="Y1288" s="2"/>
      <c r="Z1288" s="2"/>
    </row>
    <row r="1289">
      <c r="A1289" s="6">
        <f>IFERROR(__xludf.DUMMYFUNCTION("""COMPUTED_VALUE"""),45945.724386574075)</f>
        <v>45945.72439</v>
      </c>
      <c r="B1289" s="2" t="str">
        <f>IFERROR(__xludf.DUMMYFUNCTION("""COMPUTED_VALUE"""),"October")</f>
        <v>October</v>
      </c>
      <c r="C1289" s="2">
        <f>IFERROR(__xludf.DUMMYFUNCTION("""COMPUTED_VALUE"""),817166.0)</f>
        <v>817166</v>
      </c>
      <c r="D1289" s="2" t="str">
        <f>IFERROR(__xludf.DUMMYFUNCTION("""COMPUTED_VALUE"""),"CC22")</f>
        <v>CC22</v>
      </c>
      <c r="E1289" s="2" t="str">
        <f>IFERROR(__xludf.DUMMYFUNCTION("""COMPUTED_VALUE"""),"Imported from file Digizag.xlsx")</f>
        <v>Imported from file Digizag.xlsx</v>
      </c>
      <c r="F1289" s="2" t="str">
        <f>IFERROR(__xludf.DUMMYFUNCTION("""COMPUTED_VALUE"""),"VZB823398")</f>
        <v>VZB823398</v>
      </c>
      <c r="G1289" s="2" t="str">
        <f>IFERROR(__xludf.DUMMYFUNCTION("""COMPUTED_VALUE"""),"Kingdom of Saudi Arabia")</f>
        <v>Kingdom of Saudi Arabia</v>
      </c>
      <c r="H1289" s="2">
        <f>IFERROR(__xludf.DUMMYFUNCTION("""COMPUTED_VALUE"""),202.09)</f>
        <v>202.09</v>
      </c>
      <c r="I1289" s="2">
        <f>IFERROR(__xludf.DUMMYFUNCTION("""COMPUTED_VALUE"""),0.0)</f>
        <v>0</v>
      </c>
      <c r="J1289" s="2">
        <f>IFERROR(__xludf.DUMMYFUNCTION("""COMPUTED_VALUE"""),30.0)</f>
        <v>30</v>
      </c>
      <c r="K1289" s="2"/>
      <c r="L1289" s="2" t="str">
        <f>IFERROR(__xludf.DUMMYFUNCTION("""COMPUTED_VALUE"""),"Delivered")</f>
        <v>Delivered</v>
      </c>
      <c r="M1289" s="2" t="str">
        <f>IFERROR(__xludf.DUMMYFUNCTION("""COMPUTED_VALUE"""),"")</f>
        <v></v>
      </c>
      <c r="N1289" s="2" t="str">
        <f>IFERROR(__xludf.DUMMYFUNCTION("""COMPUTED_VALUE"""),"Credit, Debit, Apple Pay")</f>
        <v>Credit, Debit, Apple Pay</v>
      </c>
      <c r="O1289" s="2">
        <f>IFERROR(__xludf.DUMMYFUNCTION("""COMPUTED_VALUE"""),0.0)</f>
        <v>0</v>
      </c>
      <c r="P1289" s="2">
        <f>IFERROR(__xludf.DUMMYFUNCTION("""COMPUTED_VALUE"""),15.0)</f>
        <v>15</v>
      </c>
      <c r="Q1289" s="2">
        <f>IFERROR(__xludf.DUMMYFUNCTION("""COMPUTED_VALUE"""),10.0)</f>
        <v>10</v>
      </c>
      <c r="R1289" s="2">
        <f>IFERROR(__xludf.DUMMYFUNCTION("""COMPUTED_VALUE"""),2025.0)</f>
        <v>2025</v>
      </c>
      <c r="S1289" s="2" t="str">
        <f>IFERROR(__xludf.DUMMYFUNCTION("""COMPUTED_VALUE"""),"Digizag")</f>
        <v>Digizag</v>
      </c>
      <c r="T1289" s="2" t="str">
        <f>IFERROR(__xludf.DUMMYFUNCTION("""COMPUTED_VALUE"""),"Digizag")</f>
        <v>Digizag</v>
      </c>
      <c r="U1289" s="5">
        <f>IFERROR(__xludf.DUMMYFUNCTION("""COMPUTED_VALUE"""),53.88649943614001)</f>
        <v>53.88649944</v>
      </c>
      <c r="V1289" s="2"/>
      <c r="W1289" s="2"/>
      <c r="X1289" s="2"/>
      <c r="Y1289" s="2"/>
      <c r="Z1289" s="2"/>
    </row>
    <row r="1290">
      <c r="A1290" s="6">
        <f>IFERROR(__xludf.DUMMYFUNCTION("""COMPUTED_VALUE"""),45945.77795138889)</f>
        <v>45945.77795</v>
      </c>
      <c r="B1290" s="2" t="str">
        <f>IFERROR(__xludf.DUMMYFUNCTION("""COMPUTED_VALUE"""),"October")</f>
        <v>October</v>
      </c>
      <c r="C1290" s="2">
        <f>IFERROR(__xludf.DUMMYFUNCTION("""COMPUTED_VALUE"""),246367.0)</f>
        <v>246367</v>
      </c>
      <c r="D1290" s="2" t="str">
        <f>IFERROR(__xludf.DUMMYFUNCTION("""COMPUTED_VALUE"""),"RR22")</f>
        <v>RR22</v>
      </c>
      <c r="E1290" s="2" t="str">
        <f>IFERROR(__xludf.DUMMYFUNCTION("""COMPUTED_VALUE"""),"Imported from file Digizag.xlsx")</f>
        <v>Imported from file Digizag.xlsx</v>
      </c>
      <c r="F1290" s="2" t="str">
        <f>IFERROR(__xludf.DUMMYFUNCTION("""COMPUTED_VALUE"""),"CLP792628")</f>
        <v>CLP792628</v>
      </c>
      <c r="G1290" s="2" t="str">
        <f>IFERROR(__xludf.DUMMYFUNCTION("""COMPUTED_VALUE"""),"UAE")</f>
        <v>UAE</v>
      </c>
      <c r="H1290" s="2">
        <f>IFERROR(__xludf.DUMMYFUNCTION("""COMPUTED_VALUE"""),75.0)</f>
        <v>75</v>
      </c>
      <c r="I1290" s="2">
        <f>IFERROR(__xludf.DUMMYFUNCTION("""COMPUTED_VALUE"""),0.0)</f>
        <v>0</v>
      </c>
      <c r="J1290" s="2">
        <f>IFERROR(__xludf.DUMMYFUNCTION("""COMPUTED_VALUE"""),7.5)</f>
        <v>7.5</v>
      </c>
      <c r="K1290" s="2"/>
      <c r="L1290" s="2" t="str">
        <f>IFERROR(__xludf.DUMMYFUNCTION("""COMPUTED_VALUE"""),"Delivered")</f>
        <v>Delivered</v>
      </c>
      <c r="M1290" s="2" t="str">
        <f>IFERROR(__xludf.DUMMYFUNCTION("""COMPUTED_VALUE"""),"")</f>
        <v></v>
      </c>
      <c r="N1290" s="2" t="str">
        <f>IFERROR(__xludf.DUMMYFUNCTION("""COMPUTED_VALUE"""),"Credit, Debit , Apple Pay")</f>
        <v>Credit, Debit , Apple Pay</v>
      </c>
      <c r="O1290" s="2">
        <f>IFERROR(__xludf.DUMMYFUNCTION("""COMPUTED_VALUE"""),0.0)</f>
        <v>0</v>
      </c>
      <c r="P1290" s="2">
        <f>IFERROR(__xludf.DUMMYFUNCTION("""COMPUTED_VALUE"""),15.0)</f>
        <v>15</v>
      </c>
      <c r="Q1290" s="2">
        <f>IFERROR(__xludf.DUMMYFUNCTION("""COMPUTED_VALUE"""),10.0)</f>
        <v>10</v>
      </c>
      <c r="R1290" s="2">
        <f>IFERROR(__xludf.DUMMYFUNCTION("""COMPUTED_VALUE"""),2025.0)</f>
        <v>2025</v>
      </c>
      <c r="S1290" s="2" t="str">
        <f>IFERROR(__xludf.DUMMYFUNCTION("""COMPUTED_VALUE"""),"Digizag")</f>
        <v>Digizag</v>
      </c>
      <c r="T1290" s="2" t="str">
        <f>IFERROR(__xludf.DUMMYFUNCTION("""COMPUTED_VALUE"""),"Digizag")</f>
        <v>Digizag</v>
      </c>
      <c r="U1290" s="5">
        <f>IFERROR(__xludf.DUMMYFUNCTION("""COMPUTED_VALUE"""),20.42205585)</f>
        <v>20.42205585</v>
      </c>
      <c r="V1290" s="2"/>
      <c r="W1290" s="2"/>
      <c r="X1290" s="2"/>
      <c r="Y1290" s="2"/>
      <c r="Z1290" s="2"/>
    </row>
    <row r="1291">
      <c r="A1291" s="6">
        <f>IFERROR(__xludf.DUMMYFUNCTION("""COMPUTED_VALUE"""),45945.78859953704)</f>
        <v>45945.7886</v>
      </c>
      <c r="B1291" s="2" t="str">
        <f>IFERROR(__xludf.DUMMYFUNCTION("""COMPUTED_VALUE"""),"October")</f>
        <v>October</v>
      </c>
      <c r="C1291" s="2">
        <f>IFERROR(__xludf.DUMMYFUNCTION("""COMPUTED_VALUE"""),362465.0)</f>
        <v>362465</v>
      </c>
      <c r="D1291" s="2" t="str">
        <f>IFERROR(__xludf.DUMMYFUNCTION("""COMPUTED_VALUE"""),"JM")</f>
        <v>JM</v>
      </c>
      <c r="E1291" s="2" t="str">
        <f>IFERROR(__xludf.DUMMYFUNCTION("""COMPUTED_VALUE"""),"Digizag")</f>
        <v>Digizag</v>
      </c>
      <c r="F1291" s="2" t="str">
        <f>IFERROR(__xludf.DUMMYFUNCTION("""COMPUTED_VALUE"""),"BSC699018")</f>
        <v>BSC699018</v>
      </c>
      <c r="G1291" s="2" t="str">
        <f>IFERROR(__xludf.DUMMYFUNCTION("""COMPUTED_VALUE"""),"Kuwait")</f>
        <v>Kuwait</v>
      </c>
      <c r="H1291" s="2">
        <f>IFERROR(__xludf.DUMMYFUNCTION("""COMPUTED_VALUE"""),10.85)</f>
        <v>10.85</v>
      </c>
      <c r="I1291" s="2">
        <f>IFERROR(__xludf.DUMMYFUNCTION("""COMPUTED_VALUE"""),0.0)</f>
        <v>0</v>
      </c>
      <c r="J1291" s="2">
        <f>IFERROR(__xludf.DUMMYFUNCTION("""COMPUTED_VALUE"""),1.085)</f>
        <v>1.085</v>
      </c>
      <c r="K1291" s="2"/>
      <c r="L1291" s="2" t="str">
        <f>IFERROR(__xludf.DUMMYFUNCTION("""COMPUTED_VALUE"""),"Delivered")</f>
        <v>Delivered</v>
      </c>
      <c r="M1291" s="2" t="str">
        <f>IFERROR(__xludf.DUMMYFUNCTION("""COMPUTED_VALUE"""),"KD")</f>
        <v>KD</v>
      </c>
      <c r="N1291" s="2" t="str">
        <f>IFERROR(__xludf.DUMMYFUNCTION("""COMPUTED_VALUE"""),"Credit, Debit, Knet")</f>
        <v>Credit, Debit, Knet</v>
      </c>
      <c r="O1291" s="2">
        <f>IFERROR(__xludf.DUMMYFUNCTION("""COMPUTED_VALUE"""),0.0)</f>
        <v>0</v>
      </c>
      <c r="P1291" s="2">
        <f>IFERROR(__xludf.DUMMYFUNCTION("""COMPUTED_VALUE"""),15.0)</f>
        <v>15</v>
      </c>
      <c r="Q1291" s="2">
        <f>IFERROR(__xludf.DUMMYFUNCTION("""COMPUTED_VALUE"""),10.0)</f>
        <v>10</v>
      </c>
      <c r="R1291" s="2">
        <f>IFERROR(__xludf.DUMMYFUNCTION("""COMPUTED_VALUE"""),2025.0)</f>
        <v>2025</v>
      </c>
      <c r="S1291" s="2" t="str">
        <f>IFERROR(__xludf.DUMMYFUNCTION("""COMPUTED_VALUE"""),"Digizag")</f>
        <v>Digizag</v>
      </c>
      <c r="T1291" s="2" t="str">
        <f>IFERROR(__xludf.DUMMYFUNCTION("""COMPUTED_VALUE"""),"Digizag")</f>
        <v>Digizag</v>
      </c>
      <c r="U1291" s="5">
        <f>IFERROR(__xludf.DUMMYFUNCTION("""COMPUTED_VALUE"""),35.377727)</f>
        <v>35.377727</v>
      </c>
      <c r="V1291" s="2"/>
      <c r="W1291" s="2"/>
      <c r="X1291" s="2"/>
      <c r="Y1291" s="2"/>
      <c r="Z1291" s="2"/>
    </row>
    <row r="1292">
      <c r="A1292" s="6">
        <f>IFERROR(__xludf.DUMMYFUNCTION("""COMPUTED_VALUE"""),45945.8175)</f>
        <v>45945.8175</v>
      </c>
      <c r="B1292" s="2" t="str">
        <f>IFERROR(__xludf.DUMMYFUNCTION("""COMPUTED_VALUE"""),"October")</f>
        <v>October</v>
      </c>
      <c r="C1292" s="2">
        <f>IFERROR(__xludf.DUMMYFUNCTION("""COMPUTED_VALUE"""),210658.0)</f>
        <v>210658</v>
      </c>
      <c r="D1292" s="2" t="str">
        <f>IFERROR(__xludf.DUMMYFUNCTION("""COMPUTED_VALUE"""),"MNN27")</f>
        <v>MNN27</v>
      </c>
      <c r="E1292" s="2" t="str">
        <f>IFERROR(__xludf.DUMMYFUNCTION("""COMPUTED_VALUE"""),"Imported from file DigiZag Codes 25Feb25.xlsx")</f>
        <v>Imported from file DigiZag Codes 25Feb25.xlsx</v>
      </c>
      <c r="F1292" s="2" t="str">
        <f>IFERROR(__xludf.DUMMYFUNCTION("""COMPUTED_VALUE"""),"STH714051")</f>
        <v>STH714051</v>
      </c>
      <c r="G1292" s="2" t="str">
        <f>IFERROR(__xludf.DUMMYFUNCTION("""COMPUTED_VALUE"""),"Kuwait")</f>
        <v>Kuwait</v>
      </c>
      <c r="H1292" s="2">
        <f>IFERROR(__xludf.DUMMYFUNCTION("""COMPUTED_VALUE"""),37.0)</f>
        <v>37</v>
      </c>
      <c r="I1292" s="2">
        <f>IFERROR(__xludf.DUMMYFUNCTION("""COMPUTED_VALUE"""),0.0)</f>
        <v>0</v>
      </c>
      <c r="J1292" s="2">
        <f>IFERROR(__xludf.DUMMYFUNCTION("""COMPUTED_VALUE"""),3.7)</f>
        <v>3.7</v>
      </c>
      <c r="K1292" s="2"/>
      <c r="L1292" s="2" t="str">
        <f>IFERROR(__xludf.DUMMYFUNCTION("""COMPUTED_VALUE"""),"Delivered")</f>
        <v>Delivered</v>
      </c>
      <c r="M1292" s="2" t="str">
        <f>IFERROR(__xludf.DUMMYFUNCTION("""COMPUTED_VALUE"""),"KD")</f>
        <v>KD</v>
      </c>
      <c r="N1292" s="2" t="str">
        <f>IFERROR(__xludf.DUMMYFUNCTION("""COMPUTED_VALUE"""),"Credit, Debit, Knet")</f>
        <v>Credit, Debit, Knet</v>
      </c>
      <c r="O1292" s="2">
        <f>IFERROR(__xludf.DUMMYFUNCTION("""COMPUTED_VALUE"""),0.0)</f>
        <v>0</v>
      </c>
      <c r="P1292" s="2">
        <f>IFERROR(__xludf.DUMMYFUNCTION("""COMPUTED_VALUE"""),15.0)</f>
        <v>15</v>
      </c>
      <c r="Q1292" s="2">
        <f>IFERROR(__xludf.DUMMYFUNCTION("""COMPUTED_VALUE"""),10.0)</f>
        <v>10</v>
      </c>
      <c r="R1292" s="2">
        <f>IFERROR(__xludf.DUMMYFUNCTION("""COMPUTED_VALUE"""),2025.0)</f>
        <v>2025</v>
      </c>
      <c r="S1292" s="2" t="str">
        <f>IFERROR(__xludf.DUMMYFUNCTION("""COMPUTED_VALUE"""),"Digizag")</f>
        <v>Digizag</v>
      </c>
      <c r="T1292" s="2" t="str">
        <f>IFERROR(__xludf.DUMMYFUNCTION("""COMPUTED_VALUE"""),"Digizag")</f>
        <v>Digizag</v>
      </c>
      <c r="U1292" s="5">
        <f>IFERROR(__xludf.DUMMYFUNCTION("""COMPUTED_VALUE"""),120.64294)</f>
        <v>120.64294</v>
      </c>
      <c r="V1292" s="2"/>
      <c r="W1292" s="2"/>
      <c r="X1292" s="2"/>
      <c r="Y1292" s="2"/>
      <c r="Z1292" s="2"/>
    </row>
    <row r="1293">
      <c r="A1293" s="6">
        <f>IFERROR(__xludf.DUMMYFUNCTION("""COMPUTED_VALUE"""),45945.82957175926)</f>
        <v>45945.82957</v>
      </c>
      <c r="B1293" s="2" t="str">
        <f>IFERROR(__xludf.DUMMYFUNCTION("""COMPUTED_VALUE"""),"October")</f>
        <v>October</v>
      </c>
      <c r="C1293" s="2">
        <f>IFERROR(__xludf.DUMMYFUNCTION("""COMPUTED_VALUE"""),92748.0)</f>
        <v>92748</v>
      </c>
      <c r="D1293" s="2" t="str">
        <f>IFERROR(__xludf.DUMMYFUNCTION("""COMPUTED_VALUE"""),"DB7")</f>
        <v>DB7</v>
      </c>
      <c r="E1293" s="2" t="str">
        <f>IFERROR(__xludf.DUMMYFUNCTION("""COMPUTED_VALUE"""),"Digizag")</f>
        <v>Digizag</v>
      </c>
      <c r="F1293" s="2" t="str">
        <f>IFERROR(__xludf.DUMMYFUNCTION("""COMPUTED_VALUE"""),"BQS609382")</f>
        <v>BQS609382</v>
      </c>
      <c r="G1293" s="2" t="str">
        <f>IFERROR(__xludf.DUMMYFUNCTION("""COMPUTED_VALUE"""),"Kingdom of Saudi Arabia")</f>
        <v>Kingdom of Saudi Arabia</v>
      </c>
      <c r="H1293" s="2">
        <f>IFERROR(__xludf.DUMMYFUNCTION("""COMPUTED_VALUE"""),154.32)</f>
        <v>154.32</v>
      </c>
      <c r="I1293" s="2">
        <f>IFERROR(__xludf.DUMMYFUNCTION("""COMPUTED_VALUE"""),1.0)</f>
        <v>1</v>
      </c>
      <c r="J1293" s="2">
        <f>IFERROR(__xludf.DUMMYFUNCTION("""COMPUTED_VALUE"""),30.0)</f>
        <v>30</v>
      </c>
      <c r="K1293" s="2"/>
      <c r="L1293" s="2" t="str">
        <f>IFERROR(__xludf.DUMMYFUNCTION("""COMPUTED_VALUE"""),"Cancelled")</f>
        <v>Cancelled</v>
      </c>
      <c r="M1293" s="2" t="str">
        <f>IFERROR(__xludf.DUMMYFUNCTION("""COMPUTED_VALUE"""),"")</f>
        <v></v>
      </c>
      <c r="N1293" s="2" t="str">
        <f>IFERROR(__xludf.DUMMYFUNCTION("""COMPUTED_VALUE"""),"Credit, Debit, Apple Pay")</f>
        <v>Credit, Debit, Apple Pay</v>
      </c>
      <c r="O1293" s="2">
        <f>IFERROR(__xludf.DUMMYFUNCTION("""COMPUTED_VALUE"""),124.32)</f>
        <v>124.32</v>
      </c>
      <c r="P1293" s="2">
        <f>IFERROR(__xludf.DUMMYFUNCTION("""COMPUTED_VALUE"""),15.0)</f>
        <v>15</v>
      </c>
      <c r="Q1293" s="2">
        <f>IFERROR(__xludf.DUMMYFUNCTION("""COMPUTED_VALUE"""),10.0)</f>
        <v>10</v>
      </c>
      <c r="R1293" s="2">
        <f>IFERROR(__xludf.DUMMYFUNCTION("""COMPUTED_VALUE"""),2025.0)</f>
        <v>2025</v>
      </c>
      <c r="S1293" s="2" t="str">
        <f>IFERROR(__xludf.DUMMYFUNCTION("""COMPUTED_VALUE"""),"Digizag")</f>
        <v>Digizag</v>
      </c>
      <c r="T1293" s="2" t="str">
        <f>IFERROR(__xludf.DUMMYFUNCTION("""COMPUTED_VALUE"""),"Digizag")</f>
        <v>Digizag</v>
      </c>
      <c r="U1293" s="5">
        <f>IFERROR(__xludf.DUMMYFUNCTION("""COMPUTED_VALUE"""),41.148817818720005)</f>
        <v>41.14881782</v>
      </c>
      <c r="V1293" s="2"/>
      <c r="W1293" s="2"/>
      <c r="X1293" s="2"/>
      <c r="Y1293" s="2"/>
      <c r="Z1293" s="2"/>
    </row>
    <row r="1294">
      <c r="A1294" s="6">
        <f>IFERROR(__xludf.DUMMYFUNCTION("""COMPUTED_VALUE"""),45945.91391203704)</f>
        <v>45945.91391</v>
      </c>
      <c r="B1294" s="2" t="str">
        <f>IFERROR(__xludf.DUMMYFUNCTION("""COMPUTED_VALUE"""),"October")</f>
        <v>October</v>
      </c>
      <c r="C1294" s="2">
        <f>IFERROR(__xludf.DUMMYFUNCTION("""COMPUTED_VALUE"""),405930.0)</f>
        <v>405930</v>
      </c>
      <c r="D1294" s="2" t="str">
        <f>IFERROR(__xludf.DUMMYFUNCTION("""COMPUTED_VALUE"""),"82WP58")</f>
        <v>82WP58</v>
      </c>
      <c r="E1294" s="2" t="str">
        <f>IFERROR(__xludf.DUMMYFUNCTION("""COMPUTED_VALUE"""),"Imported from file DigiZag Bidding Codes.xlsx")</f>
        <v>Imported from file DigiZag Bidding Codes.xlsx</v>
      </c>
      <c r="F1294" s="2" t="str">
        <f>IFERROR(__xludf.DUMMYFUNCTION("""COMPUTED_VALUE"""),"JHK236670")</f>
        <v>JHK236670</v>
      </c>
      <c r="G1294" s="2" t="str">
        <f>IFERROR(__xludf.DUMMYFUNCTION("""COMPUTED_VALUE"""),"Kingdom of Saudi Arabia")</f>
        <v>Kingdom of Saudi Arabia</v>
      </c>
      <c r="H1294" s="2">
        <f>IFERROR(__xludf.DUMMYFUNCTION("""COMPUTED_VALUE"""),290.07)</f>
        <v>290.07</v>
      </c>
      <c r="I1294" s="2">
        <f>IFERROR(__xludf.DUMMYFUNCTION("""COMPUTED_VALUE"""),0.0)</f>
        <v>0</v>
      </c>
      <c r="J1294" s="2">
        <f>IFERROR(__xludf.DUMMYFUNCTION("""COMPUTED_VALUE"""),30.0)</f>
        <v>30</v>
      </c>
      <c r="K1294" s="2"/>
      <c r="L1294" s="2" t="str">
        <f>IFERROR(__xludf.DUMMYFUNCTION("""COMPUTED_VALUE"""),"Delivered")</f>
        <v>Delivered</v>
      </c>
      <c r="M1294" s="2" t="str">
        <f>IFERROR(__xludf.DUMMYFUNCTION("""COMPUTED_VALUE"""),"")</f>
        <v></v>
      </c>
      <c r="N1294" s="2" t="str">
        <f>IFERROR(__xludf.DUMMYFUNCTION("""COMPUTED_VALUE"""),"Credit, Debit, Apple Pay")</f>
        <v>Credit, Debit, Apple Pay</v>
      </c>
      <c r="O1294" s="2">
        <f>IFERROR(__xludf.DUMMYFUNCTION("""COMPUTED_VALUE"""),0.0)</f>
        <v>0</v>
      </c>
      <c r="P1294" s="2">
        <f>IFERROR(__xludf.DUMMYFUNCTION("""COMPUTED_VALUE"""),15.0)</f>
        <v>15</v>
      </c>
      <c r="Q1294" s="2">
        <f>IFERROR(__xludf.DUMMYFUNCTION("""COMPUTED_VALUE"""),10.0)</f>
        <v>10</v>
      </c>
      <c r="R1294" s="2">
        <f>IFERROR(__xludf.DUMMYFUNCTION("""COMPUTED_VALUE"""),2025.0)</f>
        <v>2025</v>
      </c>
      <c r="S1294" s="2" t="str">
        <f>IFERROR(__xludf.DUMMYFUNCTION("""COMPUTED_VALUE"""),"Digizag")</f>
        <v>Digizag</v>
      </c>
      <c r="T1294" s="2" t="str">
        <f>IFERROR(__xludf.DUMMYFUNCTION("""COMPUTED_VALUE"""),"Digizag")</f>
        <v>Digizag</v>
      </c>
      <c r="U1294" s="5">
        <f>IFERROR(__xludf.DUMMYFUNCTION("""COMPUTED_VALUE"""),77.34601856322)</f>
        <v>77.34601856</v>
      </c>
      <c r="V1294" s="2"/>
      <c r="W1294" s="2"/>
      <c r="X1294" s="2"/>
      <c r="Y1294" s="2"/>
      <c r="Z1294" s="2"/>
    </row>
    <row r="1295">
      <c r="A1295" s="6">
        <f>IFERROR(__xludf.DUMMYFUNCTION("""COMPUTED_VALUE"""),45945.923784722225)</f>
        <v>45945.92378</v>
      </c>
      <c r="B1295" s="2" t="str">
        <f>IFERROR(__xludf.DUMMYFUNCTION("""COMPUTED_VALUE"""),"October")</f>
        <v>October</v>
      </c>
      <c r="C1295" s="2">
        <f>IFERROR(__xludf.DUMMYFUNCTION("""COMPUTED_VALUE"""),362365.0)</f>
        <v>362365</v>
      </c>
      <c r="D1295" s="2" t="str">
        <f>IFERROR(__xludf.DUMMYFUNCTION("""COMPUTED_VALUE"""),"ZM22")</f>
        <v>ZM22</v>
      </c>
      <c r="E1295" s="2" t="str">
        <f>IFERROR(__xludf.DUMMYFUNCTION("""COMPUTED_VALUE"""),"Imported from file Digizag.xlsx")</f>
        <v>Imported from file Digizag.xlsx</v>
      </c>
      <c r="F1295" s="2" t="str">
        <f>IFERROR(__xludf.DUMMYFUNCTION("""COMPUTED_VALUE"""),"SHB960901")</f>
        <v>SHB960901</v>
      </c>
      <c r="G1295" s="2" t="str">
        <f>IFERROR(__xludf.DUMMYFUNCTION("""COMPUTED_VALUE"""),"Kingdom of Saudi Arabia")</f>
        <v>Kingdom of Saudi Arabia</v>
      </c>
      <c r="H1295" s="2">
        <f>IFERROR(__xludf.DUMMYFUNCTION("""COMPUTED_VALUE"""),69.0)</f>
        <v>69</v>
      </c>
      <c r="I1295" s="2">
        <f>IFERROR(__xludf.DUMMYFUNCTION("""COMPUTED_VALUE"""),0.0)</f>
        <v>0</v>
      </c>
      <c r="J1295" s="2">
        <f>IFERROR(__xludf.DUMMYFUNCTION("""COMPUTED_VALUE"""),17.25)</f>
        <v>17.25</v>
      </c>
      <c r="K1295" s="2"/>
      <c r="L1295" s="2" t="str">
        <f>IFERROR(__xludf.DUMMYFUNCTION("""COMPUTED_VALUE"""),"Delivered")</f>
        <v>Delivered</v>
      </c>
      <c r="M1295" s="2" t="str">
        <f>IFERROR(__xludf.DUMMYFUNCTION("""COMPUTED_VALUE"""),"")</f>
        <v></v>
      </c>
      <c r="N1295" s="2" t="str">
        <f>IFERROR(__xludf.DUMMYFUNCTION("""COMPUTED_VALUE"""),"Credit, Debit, Apple Pay")</f>
        <v>Credit, Debit, Apple Pay</v>
      </c>
      <c r="O1295" s="2">
        <f>IFERROR(__xludf.DUMMYFUNCTION("""COMPUTED_VALUE"""),0.0)</f>
        <v>0</v>
      </c>
      <c r="P1295" s="2">
        <f>IFERROR(__xludf.DUMMYFUNCTION("""COMPUTED_VALUE"""),15.0)</f>
        <v>15</v>
      </c>
      <c r="Q1295" s="2">
        <f>IFERROR(__xludf.DUMMYFUNCTION("""COMPUTED_VALUE"""),10.0)</f>
        <v>10</v>
      </c>
      <c r="R1295" s="2">
        <f>IFERROR(__xludf.DUMMYFUNCTION("""COMPUTED_VALUE"""),2025.0)</f>
        <v>2025</v>
      </c>
      <c r="S1295" s="2" t="str">
        <f>IFERROR(__xludf.DUMMYFUNCTION("""COMPUTED_VALUE"""),"Digizag")</f>
        <v>Digizag</v>
      </c>
      <c r="T1295" s="2" t="str">
        <f>IFERROR(__xludf.DUMMYFUNCTION("""COMPUTED_VALUE"""),"Digizag")</f>
        <v>Digizag</v>
      </c>
      <c r="U1295" s="5">
        <f>IFERROR(__xludf.DUMMYFUNCTION("""COMPUTED_VALUE"""),18.398577174000003)</f>
        <v>18.39857717</v>
      </c>
      <c r="V1295" s="2"/>
      <c r="W1295" s="2"/>
      <c r="X1295" s="2"/>
      <c r="Y1295" s="2"/>
      <c r="Z1295" s="2"/>
    </row>
    <row r="1296">
      <c r="A1296" s="6">
        <f>IFERROR(__xludf.DUMMYFUNCTION("""COMPUTED_VALUE"""),45946.04085648148)</f>
        <v>45946.04086</v>
      </c>
      <c r="B1296" s="2" t="str">
        <f>IFERROR(__xludf.DUMMYFUNCTION("""COMPUTED_VALUE"""),"October")</f>
        <v>October</v>
      </c>
      <c r="C1296" s="2">
        <f>IFERROR(__xludf.DUMMYFUNCTION("""COMPUTED_VALUE"""),143730.0)</f>
        <v>143730</v>
      </c>
      <c r="D1296" s="2" t="str">
        <f>IFERROR(__xludf.DUMMYFUNCTION("""COMPUTED_VALUE"""),"DB6")</f>
        <v>DB6</v>
      </c>
      <c r="E1296" s="2" t="str">
        <f>IFERROR(__xludf.DUMMYFUNCTION("""COMPUTED_VALUE"""),"Digizag")</f>
        <v>Digizag</v>
      </c>
      <c r="F1296" s="2" t="str">
        <f>IFERROR(__xludf.DUMMYFUNCTION("""COMPUTED_VALUE"""),"RLG508208")</f>
        <v>RLG508208</v>
      </c>
      <c r="G1296" s="2" t="str">
        <f>IFERROR(__xludf.DUMMYFUNCTION("""COMPUTED_VALUE"""),"Kingdom of Saudi Arabia")</f>
        <v>Kingdom of Saudi Arabia</v>
      </c>
      <c r="H1296" s="2">
        <f>IFERROR(__xludf.DUMMYFUNCTION("""COMPUTED_VALUE"""),303.22)</f>
        <v>303.22</v>
      </c>
      <c r="I1296" s="2">
        <f>IFERROR(__xludf.DUMMYFUNCTION("""COMPUTED_VALUE"""),0.0)</f>
        <v>0</v>
      </c>
      <c r="J1296" s="2">
        <f>IFERROR(__xludf.DUMMYFUNCTION("""COMPUTED_VALUE"""),30.0)</f>
        <v>30</v>
      </c>
      <c r="K1296" s="2"/>
      <c r="L1296" s="2" t="str">
        <f>IFERROR(__xludf.DUMMYFUNCTION("""COMPUTED_VALUE"""),"Delivered")</f>
        <v>Delivered</v>
      </c>
      <c r="M1296" s="2" t="str">
        <f>IFERROR(__xludf.DUMMYFUNCTION("""COMPUTED_VALUE"""),"")</f>
        <v></v>
      </c>
      <c r="N1296" s="2" t="str">
        <f>IFERROR(__xludf.DUMMYFUNCTION("""COMPUTED_VALUE"""),"Pay in 4. No interest, no fees")</f>
        <v>Pay in 4. No interest, no fees</v>
      </c>
      <c r="O1296" s="2">
        <f>IFERROR(__xludf.DUMMYFUNCTION("""COMPUTED_VALUE"""),0.0)</f>
        <v>0</v>
      </c>
      <c r="P1296" s="2">
        <f>IFERROR(__xludf.DUMMYFUNCTION("""COMPUTED_VALUE"""),16.0)</f>
        <v>16</v>
      </c>
      <c r="Q1296" s="2">
        <f>IFERROR(__xludf.DUMMYFUNCTION("""COMPUTED_VALUE"""),10.0)</f>
        <v>10</v>
      </c>
      <c r="R1296" s="2">
        <f>IFERROR(__xludf.DUMMYFUNCTION("""COMPUTED_VALUE"""),2025.0)</f>
        <v>2025</v>
      </c>
      <c r="S1296" s="2" t="str">
        <f>IFERROR(__xludf.DUMMYFUNCTION("""COMPUTED_VALUE"""),"Digizag")</f>
        <v>Digizag</v>
      </c>
      <c r="T1296" s="2" t="str">
        <f>IFERROR(__xludf.DUMMYFUNCTION("""COMPUTED_VALUE"""),"Digizag")</f>
        <v>Digizag</v>
      </c>
      <c r="U1296" s="5">
        <f>IFERROR(__xludf.DUMMYFUNCTION("""COMPUTED_VALUE"""),80.85241406812001)</f>
        <v>80.85241407</v>
      </c>
      <c r="V1296" s="2"/>
      <c r="W1296" s="2"/>
      <c r="X1296" s="2"/>
      <c r="Y1296" s="2"/>
      <c r="Z1296" s="2"/>
    </row>
    <row r="1297">
      <c r="A1297" s="6">
        <f>IFERROR(__xludf.DUMMYFUNCTION("""COMPUTED_VALUE"""),45946.289351851854)</f>
        <v>45946.28935</v>
      </c>
      <c r="B1297" s="2" t="str">
        <f>IFERROR(__xludf.DUMMYFUNCTION("""COMPUTED_VALUE"""),"October")</f>
        <v>October</v>
      </c>
      <c r="C1297" s="2">
        <f>IFERROR(__xludf.DUMMYFUNCTION("""COMPUTED_VALUE"""),81579.0)</f>
        <v>81579</v>
      </c>
      <c r="D1297" s="2" t="str">
        <f>IFERROR(__xludf.DUMMYFUNCTION("""COMPUTED_VALUE"""),"JM")</f>
        <v>JM</v>
      </c>
      <c r="E1297" s="2" t="str">
        <f>IFERROR(__xludf.DUMMYFUNCTION("""COMPUTED_VALUE"""),"Digizag")</f>
        <v>Digizag</v>
      </c>
      <c r="F1297" s="2" t="str">
        <f>IFERROR(__xludf.DUMMYFUNCTION("""COMPUTED_VALUE"""),"MGB109517")</f>
        <v>MGB109517</v>
      </c>
      <c r="G1297" s="2" t="str">
        <f>IFERROR(__xludf.DUMMYFUNCTION("""COMPUTED_VALUE"""),"Kuwait")</f>
        <v>Kuwait</v>
      </c>
      <c r="H1297" s="2">
        <f>IFERROR(__xludf.DUMMYFUNCTION("""COMPUTED_VALUE"""),14.2)</f>
        <v>14.2</v>
      </c>
      <c r="I1297" s="2">
        <f>IFERROR(__xludf.DUMMYFUNCTION("""COMPUTED_VALUE"""),0.0)</f>
        <v>0</v>
      </c>
      <c r="J1297" s="2">
        <f>IFERROR(__xludf.DUMMYFUNCTION("""COMPUTED_VALUE"""),1.42)</f>
        <v>1.42</v>
      </c>
      <c r="K1297" s="2"/>
      <c r="L1297" s="2" t="str">
        <f>IFERROR(__xludf.DUMMYFUNCTION("""COMPUTED_VALUE"""),"Processing")</f>
        <v>Processing</v>
      </c>
      <c r="M1297" s="2" t="str">
        <f>IFERROR(__xludf.DUMMYFUNCTION("""COMPUTED_VALUE"""),"KD")</f>
        <v>KD</v>
      </c>
      <c r="N1297" s="2" t="str">
        <f>IFERROR(__xludf.DUMMYFUNCTION("""COMPUTED_VALUE"""),"Credit, Debit, Knet")</f>
        <v>Credit, Debit, Knet</v>
      </c>
      <c r="O1297" s="2">
        <f>IFERROR(__xludf.DUMMYFUNCTION("""COMPUTED_VALUE"""),0.0)</f>
        <v>0</v>
      </c>
      <c r="P1297" s="2">
        <f>IFERROR(__xludf.DUMMYFUNCTION("""COMPUTED_VALUE"""),16.0)</f>
        <v>16</v>
      </c>
      <c r="Q1297" s="2">
        <f>IFERROR(__xludf.DUMMYFUNCTION("""COMPUTED_VALUE"""),10.0)</f>
        <v>10</v>
      </c>
      <c r="R1297" s="2">
        <f>IFERROR(__xludf.DUMMYFUNCTION("""COMPUTED_VALUE"""),2025.0)</f>
        <v>2025</v>
      </c>
      <c r="S1297" s="2" t="str">
        <f>IFERROR(__xludf.DUMMYFUNCTION("""COMPUTED_VALUE"""),"Digizag")</f>
        <v>Digizag</v>
      </c>
      <c r="T1297" s="2" t="str">
        <f>IFERROR(__xludf.DUMMYFUNCTION("""COMPUTED_VALUE"""),"Digizag")</f>
        <v>Digizag</v>
      </c>
      <c r="U1297" s="5">
        <f>IFERROR(__xludf.DUMMYFUNCTION("""COMPUTED_VALUE"""),46.30080399999999)</f>
        <v>46.300804</v>
      </c>
      <c r="V1297" s="2"/>
      <c r="W1297" s="2"/>
      <c r="X1297" s="2"/>
      <c r="Y1297" s="2"/>
      <c r="Z1297" s="2"/>
    </row>
    <row r="1298">
      <c r="A1298" s="6">
        <f>IFERROR(__xludf.DUMMYFUNCTION("""COMPUTED_VALUE"""),45946.31538194444)</f>
        <v>45946.31538</v>
      </c>
      <c r="B1298" s="2" t="str">
        <f>IFERROR(__xludf.DUMMYFUNCTION("""COMPUTED_VALUE"""),"October")</f>
        <v>October</v>
      </c>
      <c r="C1298" s="2">
        <f>IFERROR(__xludf.DUMMYFUNCTION("""COMPUTED_VALUE"""),817365.0)</f>
        <v>817365</v>
      </c>
      <c r="D1298" s="2" t="str">
        <f>IFERROR(__xludf.DUMMYFUNCTION("""COMPUTED_VALUE"""),"DB12")</f>
        <v>DB12</v>
      </c>
      <c r="E1298" s="2" t="str">
        <f>IFERROR(__xludf.DUMMYFUNCTION("""COMPUTED_VALUE"""),"Imported from file Digizag.xlsx")</f>
        <v>Imported from file Digizag.xlsx</v>
      </c>
      <c r="F1298" s="2" t="str">
        <f>IFERROR(__xludf.DUMMYFUNCTION("""COMPUTED_VALUE"""),"CNC817992")</f>
        <v>CNC817992</v>
      </c>
      <c r="G1298" s="2" t="str">
        <f>IFERROR(__xludf.DUMMYFUNCTION("""COMPUTED_VALUE"""),"Kingdom of Saudi Arabia")</f>
        <v>Kingdom of Saudi Arabia</v>
      </c>
      <c r="H1298" s="2">
        <f>IFERROR(__xludf.DUMMYFUNCTION("""COMPUTED_VALUE"""),60.18)</f>
        <v>60.18</v>
      </c>
      <c r="I1298" s="2">
        <f>IFERROR(__xludf.DUMMYFUNCTION("""COMPUTED_VALUE"""),0.0)</f>
        <v>0</v>
      </c>
      <c r="J1298" s="2">
        <f>IFERROR(__xludf.DUMMYFUNCTION("""COMPUTED_VALUE"""),15.03)</f>
        <v>15.03</v>
      </c>
      <c r="K1298" s="2"/>
      <c r="L1298" s="2" t="str">
        <f>IFERROR(__xludf.DUMMYFUNCTION("""COMPUTED_VALUE"""),"Processing")</f>
        <v>Processing</v>
      </c>
      <c r="M1298" s="2" t="str">
        <f>IFERROR(__xludf.DUMMYFUNCTION("""COMPUTED_VALUE"""),"")</f>
        <v></v>
      </c>
      <c r="N1298" s="2" t="str">
        <f>IFERROR(__xludf.DUMMYFUNCTION("""COMPUTED_VALUE"""),"Credit, Debit, Apple Pay")</f>
        <v>Credit, Debit, Apple Pay</v>
      </c>
      <c r="O1298" s="2">
        <f>IFERROR(__xludf.DUMMYFUNCTION("""COMPUTED_VALUE"""),0.0)</f>
        <v>0</v>
      </c>
      <c r="P1298" s="2">
        <f>IFERROR(__xludf.DUMMYFUNCTION("""COMPUTED_VALUE"""),16.0)</f>
        <v>16</v>
      </c>
      <c r="Q1298" s="2">
        <f>IFERROR(__xludf.DUMMYFUNCTION("""COMPUTED_VALUE"""),10.0)</f>
        <v>10</v>
      </c>
      <c r="R1298" s="2">
        <f>IFERROR(__xludf.DUMMYFUNCTION("""COMPUTED_VALUE"""),2025.0)</f>
        <v>2025</v>
      </c>
      <c r="S1298" s="2" t="str">
        <f>IFERROR(__xludf.DUMMYFUNCTION("""COMPUTED_VALUE"""),"Digizag")</f>
        <v>Digizag</v>
      </c>
      <c r="T1298" s="2" t="str">
        <f>IFERROR(__xludf.DUMMYFUNCTION("""COMPUTED_VALUE"""),"Digizag")</f>
        <v>Digizag</v>
      </c>
      <c r="U1298" s="5">
        <f>IFERROR(__xludf.DUMMYFUNCTION("""COMPUTED_VALUE"""),16.046759048280002)</f>
        <v>16.04675905</v>
      </c>
      <c r="V1298" s="2"/>
      <c r="W1298" s="2"/>
      <c r="X1298" s="2"/>
      <c r="Y1298" s="2"/>
      <c r="Z1298" s="2"/>
    </row>
    <row r="1299">
      <c r="A1299" s="6">
        <f>IFERROR(__xludf.DUMMYFUNCTION("""COMPUTED_VALUE"""),45946.31993055555)</f>
        <v>45946.31993</v>
      </c>
      <c r="B1299" s="2" t="str">
        <f>IFERROR(__xludf.DUMMYFUNCTION("""COMPUTED_VALUE"""),"October")</f>
        <v>October</v>
      </c>
      <c r="C1299" s="2">
        <f>IFERROR(__xludf.DUMMYFUNCTION("""COMPUTED_VALUE"""),30351.0)</f>
        <v>30351</v>
      </c>
      <c r="D1299" s="2" t="str">
        <f>IFERROR(__xludf.DUMMYFUNCTION("""COMPUTED_VALUE"""),"JM")</f>
        <v>JM</v>
      </c>
      <c r="E1299" s="2" t="str">
        <f>IFERROR(__xludf.DUMMYFUNCTION("""COMPUTED_VALUE"""),"Digizag")</f>
        <v>Digizag</v>
      </c>
      <c r="F1299" s="2" t="str">
        <f>IFERROR(__xludf.DUMMYFUNCTION("""COMPUTED_VALUE"""),"QGQ375446")</f>
        <v>QGQ375446</v>
      </c>
      <c r="G1299" s="2" t="str">
        <f>IFERROR(__xludf.DUMMYFUNCTION("""COMPUTED_VALUE"""),"Kuwait")</f>
        <v>Kuwait</v>
      </c>
      <c r="H1299" s="2">
        <f>IFERROR(__xludf.DUMMYFUNCTION("""COMPUTED_VALUE"""),44.9)</f>
        <v>44.9</v>
      </c>
      <c r="I1299" s="2">
        <f>IFERROR(__xludf.DUMMYFUNCTION("""COMPUTED_VALUE"""),0.0)</f>
        <v>0</v>
      </c>
      <c r="J1299" s="2">
        <f>IFERROR(__xludf.DUMMYFUNCTION("""COMPUTED_VALUE"""),4.49)</f>
        <v>4.49</v>
      </c>
      <c r="K1299" s="2"/>
      <c r="L1299" s="2" t="str">
        <f>IFERROR(__xludf.DUMMYFUNCTION("""COMPUTED_VALUE"""),"Delivered")</f>
        <v>Delivered</v>
      </c>
      <c r="M1299" s="2" t="str">
        <f>IFERROR(__xludf.DUMMYFUNCTION("""COMPUTED_VALUE"""),"KD")</f>
        <v>KD</v>
      </c>
      <c r="N1299" s="2" t="str">
        <f>IFERROR(__xludf.DUMMYFUNCTION("""COMPUTED_VALUE"""),"Credit, Debit, Knet")</f>
        <v>Credit, Debit, Knet</v>
      </c>
      <c r="O1299" s="2">
        <f>IFERROR(__xludf.DUMMYFUNCTION("""COMPUTED_VALUE"""),0.0)</f>
        <v>0</v>
      </c>
      <c r="P1299" s="2">
        <f>IFERROR(__xludf.DUMMYFUNCTION("""COMPUTED_VALUE"""),16.0)</f>
        <v>16</v>
      </c>
      <c r="Q1299" s="2">
        <f>IFERROR(__xludf.DUMMYFUNCTION("""COMPUTED_VALUE"""),10.0)</f>
        <v>10</v>
      </c>
      <c r="R1299" s="2">
        <f>IFERROR(__xludf.DUMMYFUNCTION("""COMPUTED_VALUE"""),2025.0)</f>
        <v>2025</v>
      </c>
      <c r="S1299" s="2" t="str">
        <f>IFERROR(__xludf.DUMMYFUNCTION("""COMPUTED_VALUE"""),"Digizag")</f>
        <v>Digizag</v>
      </c>
      <c r="T1299" s="2" t="str">
        <f>IFERROR(__xludf.DUMMYFUNCTION("""COMPUTED_VALUE"""),"Digizag")</f>
        <v>Digizag</v>
      </c>
      <c r="U1299" s="5">
        <f>IFERROR(__xludf.DUMMYFUNCTION("""COMPUTED_VALUE"""),146.401838)</f>
        <v>146.401838</v>
      </c>
      <c r="V1299" s="2"/>
      <c r="W1299" s="2"/>
      <c r="X1299" s="2"/>
      <c r="Y1299" s="2"/>
      <c r="Z1299" s="2"/>
    </row>
    <row r="1300">
      <c r="A1300" s="6">
        <f>IFERROR(__xludf.DUMMYFUNCTION("""COMPUTED_VALUE"""),45946.47238425926)</f>
        <v>45946.47238</v>
      </c>
      <c r="B1300" s="2" t="str">
        <f>IFERROR(__xludf.DUMMYFUNCTION("""COMPUTED_VALUE"""),"October")</f>
        <v>October</v>
      </c>
      <c r="C1300" s="2">
        <f>IFERROR(__xludf.DUMMYFUNCTION("""COMPUTED_VALUE"""),653514.0)</f>
        <v>653514</v>
      </c>
      <c r="D1300" s="2" t="str">
        <f>IFERROR(__xludf.DUMMYFUNCTION("""COMPUTED_VALUE"""),"DB7")</f>
        <v>DB7</v>
      </c>
      <c r="E1300" s="2" t="str">
        <f>IFERROR(__xludf.DUMMYFUNCTION("""COMPUTED_VALUE"""),"Digizag")</f>
        <v>Digizag</v>
      </c>
      <c r="F1300" s="2" t="str">
        <f>IFERROR(__xludf.DUMMYFUNCTION("""COMPUTED_VALUE"""),"YTW143578")</f>
        <v>YTW143578</v>
      </c>
      <c r="G1300" s="2" t="str">
        <f>IFERROR(__xludf.DUMMYFUNCTION("""COMPUTED_VALUE"""),"Kuwait")</f>
        <v>Kuwait</v>
      </c>
      <c r="H1300" s="2">
        <f>IFERROR(__xludf.DUMMYFUNCTION("""COMPUTED_VALUE"""),13.5)</f>
        <v>13.5</v>
      </c>
      <c r="I1300" s="2">
        <f>IFERROR(__xludf.DUMMYFUNCTION("""COMPUTED_VALUE"""),0.0)</f>
        <v>0</v>
      </c>
      <c r="J1300" s="2">
        <f>IFERROR(__xludf.DUMMYFUNCTION("""COMPUTED_VALUE"""),1.35)</f>
        <v>1.35</v>
      </c>
      <c r="K1300" s="2"/>
      <c r="L1300" s="2" t="str">
        <f>IFERROR(__xludf.DUMMYFUNCTION("""COMPUTED_VALUE"""),"Delivered")</f>
        <v>Delivered</v>
      </c>
      <c r="M1300" s="2" t="str">
        <f>IFERROR(__xludf.DUMMYFUNCTION("""COMPUTED_VALUE"""),"KD")</f>
        <v>KD</v>
      </c>
      <c r="N1300" s="2" t="str">
        <f>IFERROR(__xludf.DUMMYFUNCTION("""COMPUTED_VALUE"""),"Credit, Debit, Knet")</f>
        <v>Credit, Debit, Knet</v>
      </c>
      <c r="O1300" s="2">
        <f>IFERROR(__xludf.DUMMYFUNCTION("""COMPUTED_VALUE"""),0.0)</f>
        <v>0</v>
      </c>
      <c r="P1300" s="2">
        <f>IFERROR(__xludf.DUMMYFUNCTION("""COMPUTED_VALUE"""),16.0)</f>
        <v>16</v>
      </c>
      <c r="Q1300" s="2">
        <f>IFERROR(__xludf.DUMMYFUNCTION("""COMPUTED_VALUE"""),10.0)</f>
        <v>10</v>
      </c>
      <c r="R1300" s="2">
        <f>IFERROR(__xludf.DUMMYFUNCTION("""COMPUTED_VALUE"""),2025.0)</f>
        <v>2025</v>
      </c>
      <c r="S1300" s="2" t="str">
        <f>IFERROR(__xludf.DUMMYFUNCTION("""COMPUTED_VALUE"""),"Digizag")</f>
        <v>Digizag</v>
      </c>
      <c r="T1300" s="2" t="str">
        <f>IFERROR(__xludf.DUMMYFUNCTION("""COMPUTED_VALUE"""),"Digizag")</f>
        <v>Digizag</v>
      </c>
      <c r="U1300" s="5">
        <f>IFERROR(__xludf.DUMMYFUNCTION("""COMPUTED_VALUE"""),44.01837)</f>
        <v>44.01837</v>
      </c>
      <c r="V1300" s="2"/>
      <c r="W1300" s="2"/>
      <c r="X1300" s="2"/>
      <c r="Y1300" s="2"/>
      <c r="Z1300" s="2"/>
    </row>
    <row r="1301">
      <c r="A1301" s="6">
        <f>IFERROR(__xludf.DUMMYFUNCTION("""COMPUTED_VALUE"""),45946.53466435185)</f>
        <v>45946.53466</v>
      </c>
      <c r="B1301" s="2" t="str">
        <f>IFERROR(__xludf.DUMMYFUNCTION("""COMPUTED_VALUE"""),"October")</f>
        <v>October</v>
      </c>
      <c r="C1301" s="2">
        <f>IFERROR(__xludf.DUMMYFUNCTION("""COMPUTED_VALUE"""),402433.0)</f>
        <v>402433</v>
      </c>
      <c r="D1301" s="2" t="str">
        <f>IFERROR(__xludf.DUMMYFUNCTION("""COMPUTED_VALUE"""),"ZM22")</f>
        <v>ZM22</v>
      </c>
      <c r="E1301" s="2" t="str">
        <f>IFERROR(__xludf.DUMMYFUNCTION("""COMPUTED_VALUE"""),"Imported from file Digizag.xlsx")</f>
        <v>Imported from file Digizag.xlsx</v>
      </c>
      <c r="F1301" s="2" t="str">
        <f>IFERROR(__xludf.DUMMYFUNCTION("""COMPUTED_VALUE"""),"LNW842927")</f>
        <v>LNW842927</v>
      </c>
      <c r="G1301" s="2" t="str">
        <f>IFERROR(__xludf.DUMMYFUNCTION("""COMPUTED_VALUE"""),"UAE")</f>
        <v>UAE</v>
      </c>
      <c r="H1301" s="2">
        <f>IFERROR(__xludf.DUMMYFUNCTION("""COMPUTED_VALUE"""),228.0)</f>
        <v>228</v>
      </c>
      <c r="I1301" s="2">
        <f>IFERROR(__xludf.DUMMYFUNCTION("""COMPUTED_VALUE"""),0.0)</f>
        <v>0</v>
      </c>
      <c r="J1301" s="2">
        <f>IFERROR(__xludf.DUMMYFUNCTION("""COMPUTED_VALUE"""),22.8)</f>
        <v>22.8</v>
      </c>
      <c r="K1301" s="2"/>
      <c r="L1301" s="2" t="str">
        <f>IFERROR(__xludf.DUMMYFUNCTION("""COMPUTED_VALUE"""),"Delivered")</f>
        <v>Delivered</v>
      </c>
      <c r="M1301" s="2" t="str">
        <f>IFERROR(__xludf.DUMMYFUNCTION("""COMPUTED_VALUE"""),"")</f>
        <v></v>
      </c>
      <c r="N1301" s="2" t="str">
        <f>IFERROR(__xludf.DUMMYFUNCTION("""COMPUTED_VALUE"""),"Credit, Debit , Apple Pay")</f>
        <v>Credit, Debit , Apple Pay</v>
      </c>
      <c r="O1301" s="2">
        <f>IFERROR(__xludf.DUMMYFUNCTION("""COMPUTED_VALUE"""),0.0)</f>
        <v>0</v>
      </c>
      <c r="P1301" s="2">
        <f>IFERROR(__xludf.DUMMYFUNCTION("""COMPUTED_VALUE"""),16.0)</f>
        <v>16</v>
      </c>
      <c r="Q1301" s="2">
        <f>IFERROR(__xludf.DUMMYFUNCTION("""COMPUTED_VALUE"""),10.0)</f>
        <v>10</v>
      </c>
      <c r="R1301" s="2">
        <f>IFERROR(__xludf.DUMMYFUNCTION("""COMPUTED_VALUE"""),2025.0)</f>
        <v>2025</v>
      </c>
      <c r="S1301" s="2" t="str">
        <f>IFERROR(__xludf.DUMMYFUNCTION("""COMPUTED_VALUE"""),"Digizag")</f>
        <v>Digizag</v>
      </c>
      <c r="T1301" s="2" t="str">
        <f>IFERROR(__xludf.DUMMYFUNCTION("""COMPUTED_VALUE"""),"Digizag")</f>
        <v>Digizag</v>
      </c>
      <c r="U1301" s="5">
        <f>IFERROR(__xludf.DUMMYFUNCTION("""COMPUTED_VALUE"""),62.083049783999996)</f>
        <v>62.08304978</v>
      </c>
      <c r="V1301" s="2"/>
      <c r="W1301" s="2"/>
      <c r="X1301" s="2"/>
      <c r="Y1301" s="2"/>
      <c r="Z1301" s="2"/>
    </row>
    <row r="1302">
      <c r="A1302" s="6">
        <f>IFERROR(__xludf.DUMMYFUNCTION("""COMPUTED_VALUE"""),45946.565034722225)</f>
        <v>45946.56503</v>
      </c>
      <c r="B1302" s="2" t="str">
        <f>IFERROR(__xludf.DUMMYFUNCTION("""COMPUTED_VALUE"""),"October")</f>
        <v>October</v>
      </c>
      <c r="C1302" s="2">
        <f>IFERROR(__xludf.DUMMYFUNCTION("""COMPUTED_VALUE"""),449207.0)</f>
        <v>449207</v>
      </c>
      <c r="D1302" s="2" t="str">
        <f>IFERROR(__xludf.DUMMYFUNCTION("""COMPUTED_VALUE"""),"DB12")</f>
        <v>DB12</v>
      </c>
      <c r="E1302" s="2" t="str">
        <f>IFERROR(__xludf.DUMMYFUNCTION("""COMPUTED_VALUE"""),"Imported from file Digizag.xlsx")</f>
        <v>Imported from file Digizag.xlsx</v>
      </c>
      <c r="F1302" s="2" t="str">
        <f>IFERROR(__xludf.DUMMYFUNCTION("""COMPUTED_VALUE"""),"RJY127976")</f>
        <v>RJY127976</v>
      </c>
      <c r="G1302" s="2" t="str">
        <f>IFERROR(__xludf.DUMMYFUNCTION("""COMPUTED_VALUE"""),"Kingdom of Saudi Arabia")</f>
        <v>Kingdom of Saudi Arabia</v>
      </c>
      <c r="H1302" s="2">
        <f>IFERROR(__xludf.DUMMYFUNCTION("""COMPUTED_VALUE"""),67.96)</f>
        <v>67.96</v>
      </c>
      <c r="I1302" s="2">
        <f>IFERROR(__xludf.DUMMYFUNCTION("""COMPUTED_VALUE"""),1.0)</f>
        <v>1</v>
      </c>
      <c r="J1302" s="2">
        <f>IFERROR(__xludf.DUMMYFUNCTION("""COMPUTED_VALUE"""),16.99)</f>
        <v>16.99</v>
      </c>
      <c r="K1302" s="2"/>
      <c r="L1302" s="2" t="str">
        <f>IFERROR(__xludf.DUMMYFUNCTION("""COMPUTED_VALUE"""),"Cancelled")</f>
        <v>Cancelled</v>
      </c>
      <c r="M1302" s="2" t="str">
        <f>IFERROR(__xludf.DUMMYFUNCTION("""COMPUTED_VALUE"""),"")</f>
        <v></v>
      </c>
      <c r="N1302" s="2" t="str">
        <f>IFERROR(__xludf.DUMMYFUNCTION("""COMPUTED_VALUE"""),"Credit, Debit, Apple Pay")</f>
        <v>Credit, Debit, Apple Pay</v>
      </c>
      <c r="O1302" s="2">
        <f>IFERROR(__xludf.DUMMYFUNCTION("""COMPUTED_VALUE"""),50.97)</f>
        <v>50.97</v>
      </c>
      <c r="P1302" s="2">
        <f>IFERROR(__xludf.DUMMYFUNCTION("""COMPUTED_VALUE"""),16.0)</f>
        <v>16</v>
      </c>
      <c r="Q1302" s="2">
        <f>IFERROR(__xludf.DUMMYFUNCTION("""COMPUTED_VALUE"""),10.0)</f>
        <v>10</v>
      </c>
      <c r="R1302" s="2">
        <f>IFERROR(__xludf.DUMMYFUNCTION("""COMPUTED_VALUE"""),2025.0)</f>
        <v>2025</v>
      </c>
      <c r="S1302" s="2" t="str">
        <f>IFERROR(__xludf.DUMMYFUNCTION("""COMPUTED_VALUE"""),"Digizag")</f>
        <v>Digizag</v>
      </c>
      <c r="T1302" s="2" t="str">
        <f>IFERROR(__xludf.DUMMYFUNCTION("""COMPUTED_VALUE"""),"Digizag")</f>
        <v>Digizag</v>
      </c>
      <c r="U1302" s="5">
        <f>IFERROR(__xludf.DUMMYFUNCTION("""COMPUTED_VALUE"""),18.12126528616)</f>
        <v>18.12126529</v>
      </c>
      <c r="V1302" s="2"/>
      <c r="W1302" s="2"/>
      <c r="X1302" s="2"/>
      <c r="Y1302" s="2"/>
      <c r="Z1302" s="2"/>
    </row>
    <row r="1303">
      <c r="A1303" s="6">
        <f>IFERROR(__xludf.DUMMYFUNCTION("""COMPUTED_VALUE"""),45946.570752314816)</f>
        <v>45946.57075</v>
      </c>
      <c r="B1303" s="2" t="str">
        <f>IFERROR(__xludf.DUMMYFUNCTION("""COMPUTED_VALUE"""),"October")</f>
        <v>October</v>
      </c>
      <c r="C1303" s="2">
        <f>IFERROR(__xludf.DUMMYFUNCTION("""COMPUTED_VALUE"""),817674.0)</f>
        <v>817674</v>
      </c>
      <c r="D1303" s="2" t="str">
        <f>IFERROR(__xludf.DUMMYFUNCTION("""COMPUTED_VALUE"""),"ZM22")</f>
        <v>ZM22</v>
      </c>
      <c r="E1303" s="2" t="str">
        <f>IFERROR(__xludf.DUMMYFUNCTION("""COMPUTED_VALUE"""),"Imported from file Digizag.xlsx")</f>
        <v>Imported from file Digizag.xlsx</v>
      </c>
      <c r="F1303" s="2" t="str">
        <f>IFERROR(__xludf.DUMMYFUNCTION("""COMPUTED_VALUE"""),"LCG543426")</f>
        <v>LCG543426</v>
      </c>
      <c r="G1303" s="2" t="str">
        <f>IFERROR(__xludf.DUMMYFUNCTION("""COMPUTED_VALUE"""),"Kingdom of Saudi Arabia")</f>
        <v>Kingdom of Saudi Arabia</v>
      </c>
      <c r="H1303" s="2">
        <f>IFERROR(__xludf.DUMMYFUNCTION("""COMPUTED_VALUE"""),96.17)</f>
        <v>96.17</v>
      </c>
      <c r="I1303" s="2">
        <f>IFERROR(__xludf.DUMMYFUNCTION("""COMPUTED_VALUE"""),0.0)</f>
        <v>0</v>
      </c>
      <c r="J1303" s="2">
        <f>IFERROR(__xludf.DUMMYFUNCTION("""COMPUTED_VALUE"""),24.04)</f>
        <v>24.04</v>
      </c>
      <c r="K1303" s="2"/>
      <c r="L1303" s="2" t="str">
        <f>IFERROR(__xludf.DUMMYFUNCTION("""COMPUTED_VALUE"""),"Delivered")</f>
        <v>Delivered</v>
      </c>
      <c r="M1303" s="2" t="str">
        <f>IFERROR(__xludf.DUMMYFUNCTION("""COMPUTED_VALUE"""),"")</f>
        <v></v>
      </c>
      <c r="N1303" s="2" t="str">
        <f>IFERROR(__xludf.DUMMYFUNCTION("""COMPUTED_VALUE"""),"Credit, Debit, Apple Pay")</f>
        <v>Credit, Debit, Apple Pay</v>
      </c>
      <c r="O1303" s="2">
        <f>IFERROR(__xludf.DUMMYFUNCTION("""COMPUTED_VALUE"""),0.0)</f>
        <v>0</v>
      </c>
      <c r="P1303" s="2">
        <f>IFERROR(__xludf.DUMMYFUNCTION("""COMPUTED_VALUE"""),16.0)</f>
        <v>16</v>
      </c>
      <c r="Q1303" s="2">
        <f>IFERROR(__xludf.DUMMYFUNCTION("""COMPUTED_VALUE"""),10.0)</f>
        <v>10</v>
      </c>
      <c r="R1303" s="2">
        <f>IFERROR(__xludf.DUMMYFUNCTION("""COMPUTED_VALUE"""),2025.0)</f>
        <v>2025</v>
      </c>
      <c r="S1303" s="2" t="str">
        <f>IFERROR(__xludf.DUMMYFUNCTION("""COMPUTED_VALUE"""),"Digizag")</f>
        <v>Digizag</v>
      </c>
      <c r="T1303" s="2" t="str">
        <f>IFERROR(__xludf.DUMMYFUNCTION("""COMPUTED_VALUE"""),"Digizag")</f>
        <v>Digizag</v>
      </c>
      <c r="U1303" s="5">
        <f>IFERROR(__xludf.DUMMYFUNCTION("""COMPUTED_VALUE"""),25.643350243820002)</f>
        <v>25.64335024</v>
      </c>
      <c r="V1303" s="2"/>
      <c r="W1303" s="2"/>
      <c r="X1303" s="2"/>
      <c r="Y1303" s="2"/>
      <c r="Z1303" s="2"/>
    </row>
    <row r="1304">
      <c r="A1304" s="6">
        <f>IFERROR(__xludf.DUMMYFUNCTION("""COMPUTED_VALUE"""),45946.68714120371)</f>
        <v>45946.68714</v>
      </c>
      <c r="B1304" s="2" t="str">
        <f>IFERROR(__xludf.DUMMYFUNCTION("""COMPUTED_VALUE"""),"October")</f>
        <v>October</v>
      </c>
      <c r="C1304" s="2">
        <f>IFERROR(__xludf.DUMMYFUNCTION("""COMPUTED_VALUE"""),40279.0)</f>
        <v>40279</v>
      </c>
      <c r="D1304" s="2" t="str">
        <f>IFERROR(__xludf.DUMMYFUNCTION("""COMPUTED_VALUE"""),"CC22")</f>
        <v>CC22</v>
      </c>
      <c r="E1304" s="2" t="str">
        <f>IFERROR(__xludf.DUMMYFUNCTION("""COMPUTED_VALUE"""),"Imported from file Digizag.xlsx")</f>
        <v>Imported from file Digizag.xlsx</v>
      </c>
      <c r="F1304" s="2" t="str">
        <f>IFERROR(__xludf.DUMMYFUNCTION("""COMPUTED_VALUE"""),"GMB865740")</f>
        <v>GMB865740</v>
      </c>
      <c r="G1304" s="2" t="str">
        <f>IFERROR(__xludf.DUMMYFUNCTION("""COMPUTED_VALUE"""),"Kingdom of Saudi Arabia")</f>
        <v>Kingdom of Saudi Arabia</v>
      </c>
      <c r="H1304" s="2">
        <f>IFERROR(__xludf.DUMMYFUNCTION("""COMPUTED_VALUE"""),189.13)</f>
        <v>189.13</v>
      </c>
      <c r="I1304" s="2">
        <f>IFERROR(__xludf.DUMMYFUNCTION("""COMPUTED_VALUE"""),0.0)</f>
        <v>0</v>
      </c>
      <c r="J1304" s="2">
        <f>IFERROR(__xludf.DUMMYFUNCTION("""COMPUTED_VALUE"""),30.0)</f>
        <v>30</v>
      </c>
      <c r="K1304" s="2"/>
      <c r="L1304" s="2" t="str">
        <f>IFERROR(__xludf.DUMMYFUNCTION("""COMPUTED_VALUE"""),"Delivered")</f>
        <v>Delivered</v>
      </c>
      <c r="M1304" s="2" t="str">
        <f>IFERROR(__xludf.DUMMYFUNCTION("""COMPUTED_VALUE"""),"")</f>
        <v></v>
      </c>
      <c r="N1304" s="2" t="str">
        <f>IFERROR(__xludf.DUMMYFUNCTION("""COMPUTED_VALUE"""),"Pay in 4. No interest, no fees")</f>
        <v>Pay in 4. No interest, no fees</v>
      </c>
      <c r="O1304" s="2">
        <f>IFERROR(__xludf.DUMMYFUNCTION("""COMPUTED_VALUE"""),0.0)</f>
        <v>0</v>
      </c>
      <c r="P1304" s="2">
        <f>IFERROR(__xludf.DUMMYFUNCTION("""COMPUTED_VALUE"""),16.0)</f>
        <v>16</v>
      </c>
      <c r="Q1304" s="2">
        <f>IFERROR(__xludf.DUMMYFUNCTION("""COMPUTED_VALUE"""),10.0)</f>
        <v>10</v>
      </c>
      <c r="R1304" s="2">
        <f>IFERROR(__xludf.DUMMYFUNCTION("""COMPUTED_VALUE"""),2025.0)</f>
        <v>2025</v>
      </c>
      <c r="S1304" s="2" t="str">
        <f>IFERROR(__xludf.DUMMYFUNCTION("""COMPUTED_VALUE"""),"Digizag")</f>
        <v>Digizag</v>
      </c>
      <c r="T1304" s="2" t="str">
        <f>IFERROR(__xludf.DUMMYFUNCTION("""COMPUTED_VALUE"""),"Digizag")</f>
        <v>Digizag</v>
      </c>
      <c r="U1304" s="5">
        <f>IFERROR(__xludf.DUMMYFUNCTION("""COMPUTED_VALUE"""),50.43076667998)</f>
        <v>50.43076668</v>
      </c>
      <c r="V1304" s="2"/>
      <c r="W1304" s="2"/>
      <c r="X1304" s="2"/>
      <c r="Y1304" s="2"/>
      <c r="Z1304" s="2"/>
    </row>
    <row r="1305">
      <c r="A1305" s="6">
        <f>IFERROR(__xludf.DUMMYFUNCTION("""COMPUTED_VALUE"""),45946.70984953704)</f>
        <v>45946.70985</v>
      </c>
      <c r="B1305" s="2" t="str">
        <f>IFERROR(__xludf.DUMMYFUNCTION("""COMPUTED_VALUE"""),"October")</f>
        <v>October</v>
      </c>
      <c r="C1305" s="2">
        <f>IFERROR(__xludf.DUMMYFUNCTION("""COMPUTED_VALUE"""),154118.0)</f>
        <v>154118</v>
      </c>
      <c r="D1305" s="2" t="str">
        <f>IFERROR(__xludf.DUMMYFUNCTION("""COMPUTED_VALUE"""),"82WP58")</f>
        <v>82WP58</v>
      </c>
      <c r="E1305" s="2" t="str">
        <f>IFERROR(__xludf.DUMMYFUNCTION("""COMPUTED_VALUE"""),"Imported from file DigiZag Bidding Codes.xlsx")</f>
        <v>Imported from file DigiZag Bidding Codes.xlsx</v>
      </c>
      <c r="F1305" s="2" t="str">
        <f>IFERROR(__xludf.DUMMYFUNCTION("""COMPUTED_VALUE"""),"ALJ562203")</f>
        <v>ALJ562203</v>
      </c>
      <c r="G1305" s="2" t="str">
        <f>IFERROR(__xludf.DUMMYFUNCTION("""COMPUTED_VALUE"""),"Kingdom of Saudi Arabia")</f>
        <v>Kingdom of Saudi Arabia</v>
      </c>
      <c r="H1305" s="2">
        <f>IFERROR(__xludf.DUMMYFUNCTION("""COMPUTED_VALUE"""),100.0)</f>
        <v>100</v>
      </c>
      <c r="I1305" s="2">
        <f>IFERROR(__xludf.DUMMYFUNCTION("""COMPUTED_VALUE"""),0.0)</f>
        <v>0</v>
      </c>
      <c r="J1305" s="2">
        <f>IFERROR(__xludf.DUMMYFUNCTION("""COMPUTED_VALUE"""),25.0)</f>
        <v>25</v>
      </c>
      <c r="K1305" s="2"/>
      <c r="L1305" s="2" t="str">
        <f>IFERROR(__xludf.DUMMYFUNCTION("""COMPUTED_VALUE"""),"Delivered")</f>
        <v>Delivered</v>
      </c>
      <c r="M1305" s="2" t="str">
        <f>IFERROR(__xludf.DUMMYFUNCTION("""COMPUTED_VALUE"""),"")</f>
        <v></v>
      </c>
      <c r="N1305" s="2" t="str">
        <f>IFERROR(__xludf.DUMMYFUNCTION("""COMPUTED_VALUE"""),"Credit, Debit, Apple Pay")</f>
        <v>Credit, Debit, Apple Pay</v>
      </c>
      <c r="O1305" s="2">
        <f>IFERROR(__xludf.DUMMYFUNCTION("""COMPUTED_VALUE"""),0.0)</f>
        <v>0</v>
      </c>
      <c r="P1305" s="2">
        <f>IFERROR(__xludf.DUMMYFUNCTION("""COMPUTED_VALUE"""),16.0)</f>
        <v>16</v>
      </c>
      <c r="Q1305" s="2">
        <f>IFERROR(__xludf.DUMMYFUNCTION("""COMPUTED_VALUE"""),10.0)</f>
        <v>10</v>
      </c>
      <c r="R1305" s="2">
        <f>IFERROR(__xludf.DUMMYFUNCTION("""COMPUTED_VALUE"""),2025.0)</f>
        <v>2025</v>
      </c>
      <c r="S1305" s="2" t="str">
        <f>IFERROR(__xludf.DUMMYFUNCTION("""COMPUTED_VALUE"""),"Digizag")</f>
        <v>Digizag</v>
      </c>
      <c r="T1305" s="2" t="str">
        <f>IFERROR(__xludf.DUMMYFUNCTION("""COMPUTED_VALUE"""),"Digizag")</f>
        <v>Digizag</v>
      </c>
      <c r="U1305" s="5">
        <f>IFERROR(__xludf.DUMMYFUNCTION("""COMPUTED_VALUE"""),26.664604600000004)</f>
        <v>26.6646046</v>
      </c>
      <c r="V1305" s="2"/>
      <c r="W1305" s="2"/>
      <c r="X1305" s="2"/>
      <c r="Y1305" s="2"/>
      <c r="Z1305" s="2"/>
    </row>
    <row r="1306">
      <c r="A1306" s="6">
        <f>IFERROR(__xludf.DUMMYFUNCTION("""COMPUTED_VALUE"""),45947.054143518515)</f>
        <v>45947.05414</v>
      </c>
      <c r="B1306" s="2" t="str">
        <f>IFERROR(__xludf.DUMMYFUNCTION("""COMPUTED_VALUE"""),"October")</f>
        <v>October</v>
      </c>
      <c r="C1306" s="2">
        <f>IFERROR(__xludf.DUMMYFUNCTION("""COMPUTED_VALUE"""),818011.0)</f>
        <v>818011</v>
      </c>
      <c r="D1306" s="2" t="str">
        <f>IFERROR(__xludf.DUMMYFUNCTION("""COMPUTED_VALUE"""),"DB12")</f>
        <v>DB12</v>
      </c>
      <c r="E1306" s="2" t="str">
        <f>IFERROR(__xludf.DUMMYFUNCTION("""COMPUTED_VALUE"""),"Imported from file Digizag.xlsx")</f>
        <v>Imported from file Digizag.xlsx</v>
      </c>
      <c r="F1306" s="2" t="str">
        <f>IFERROR(__xludf.DUMMYFUNCTION("""COMPUTED_VALUE"""),"RHP539397")</f>
        <v>RHP539397</v>
      </c>
      <c r="G1306" s="2" t="str">
        <f>IFERROR(__xludf.DUMMYFUNCTION("""COMPUTED_VALUE"""),"Kingdom of Saudi Arabia")</f>
        <v>Kingdom of Saudi Arabia</v>
      </c>
      <c r="H1306" s="2">
        <f>IFERROR(__xludf.DUMMYFUNCTION("""COMPUTED_VALUE"""),99.0)</f>
        <v>99</v>
      </c>
      <c r="I1306" s="2">
        <f>IFERROR(__xludf.DUMMYFUNCTION("""COMPUTED_VALUE"""),0.0)</f>
        <v>0</v>
      </c>
      <c r="J1306" s="2">
        <f>IFERROR(__xludf.DUMMYFUNCTION("""COMPUTED_VALUE"""),24.75)</f>
        <v>24.75</v>
      </c>
      <c r="K1306" s="2"/>
      <c r="L1306" s="2" t="str">
        <f>IFERROR(__xludf.DUMMYFUNCTION("""COMPUTED_VALUE"""),"Delivered")</f>
        <v>Delivered</v>
      </c>
      <c r="M1306" s="2" t="str">
        <f>IFERROR(__xludf.DUMMYFUNCTION("""COMPUTED_VALUE"""),"")</f>
        <v></v>
      </c>
      <c r="N1306" s="2" t="str">
        <f>IFERROR(__xludf.DUMMYFUNCTION("""COMPUTED_VALUE"""),"Credit, Debit, Apple Pay")</f>
        <v>Credit, Debit, Apple Pay</v>
      </c>
      <c r="O1306" s="2">
        <f>IFERROR(__xludf.DUMMYFUNCTION("""COMPUTED_VALUE"""),0.0)</f>
        <v>0</v>
      </c>
      <c r="P1306" s="2">
        <f>IFERROR(__xludf.DUMMYFUNCTION("""COMPUTED_VALUE"""),17.0)</f>
        <v>17</v>
      </c>
      <c r="Q1306" s="2">
        <f>IFERROR(__xludf.DUMMYFUNCTION("""COMPUTED_VALUE"""),10.0)</f>
        <v>10</v>
      </c>
      <c r="R1306" s="2">
        <f>IFERROR(__xludf.DUMMYFUNCTION("""COMPUTED_VALUE"""),2025.0)</f>
        <v>2025</v>
      </c>
      <c r="S1306" s="2" t="str">
        <f>IFERROR(__xludf.DUMMYFUNCTION("""COMPUTED_VALUE"""),"Digizag")</f>
        <v>Digizag</v>
      </c>
      <c r="T1306" s="2" t="str">
        <f>IFERROR(__xludf.DUMMYFUNCTION("""COMPUTED_VALUE"""),"Digizag")</f>
        <v>Digizag</v>
      </c>
      <c r="U1306" s="5">
        <f>IFERROR(__xludf.DUMMYFUNCTION("""COMPUTED_VALUE"""),26.397958554000002)</f>
        <v>26.39795855</v>
      </c>
      <c r="V1306" s="2"/>
      <c r="W1306" s="2"/>
      <c r="X1306" s="2"/>
      <c r="Y1306" s="2"/>
      <c r="Z1306" s="2"/>
    </row>
    <row r="1307">
      <c r="A1307" s="6">
        <f>IFERROR(__xludf.DUMMYFUNCTION("""COMPUTED_VALUE"""),45947.342673611114)</f>
        <v>45947.34267</v>
      </c>
      <c r="B1307" s="2" t="str">
        <f>IFERROR(__xludf.DUMMYFUNCTION("""COMPUTED_VALUE"""),"October")</f>
        <v>October</v>
      </c>
      <c r="C1307" s="2">
        <f>IFERROR(__xludf.DUMMYFUNCTION("""COMPUTED_VALUE"""),249463.0)</f>
        <v>249463</v>
      </c>
      <c r="D1307" s="2" t="str">
        <f>IFERROR(__xludf.DUMMYFUNCTION("""COMPUTED_VALUE"""),"82WP58")</f>
        <v>82WP58</v>
      </c>
      <c r="E1307" s="2" t="str">
        <f>IFERROR(__xludf.DUMMYFUNCTION("""COMPUTED_VALUE"""),"Imported from file DigiZag Bidding Codes.xlsx")</f>
        <v>Imported from file DigiZag Bidding Codes.xlsx</v>
      </c>
      <c r="F1307" s="2" t="str">
        <f>IFERROR(__xludf.DUMMYFUNCTION("""COMPUTED_VALUE"""),"JVJ638546")</f>
        <v>JVJ638546</v>
      </c>
      <c r="G1307" s="2" t="str">
        <f>IFERROR(__xludf.DUMMYFUNCTION("""COMPUTED_VALUE"""),"Kingdom of Saudi Arabia")</f>
        <v>Kingdom of Saudi Arabia</v>
      </c>
      <c r="H1307" s="2">
        <f>IFERROR(__xludf.DUMMYFUNCTION("""COMPUTED_VALUE"""),241.74)</f>
        <v>241.74</v>
      </c>
      <c r="I1307" s="2">
        <f>IFERROR(__xludf.DUMMYFUNCTION("""COMPUTED_VALUE"""),0.0)</f>
        <v>0</v>
      </c>
      <c r="J1307" s="2">
        <f>IFERROR(__xludf.DUMMYFUNCTION("""COMPUTED_VALUE"""),30.0)</f>
        <v>30</v>
      </c>
      <c r="K1307" s="2"/>
      <c r="L1307" s="2" t="str">
        <f>IFERROR(__xludf.DUMMYFUNCTION("""COMPUTED_VALUE"""),"Delivered")</f>
        <v>Delivered</v>
      </c>
      <c r="M1307" s="2" t="str">
        <f>IFERROR(__xludf.DUMMYFUNCTION("""COMPUTED_VALUE"""),"")</f>
        <v></v>
      </c>
      <c r="N1307" s="2" t="str">
        <f>IFERROR(__xludf.DUMMYFUNCTION("""COMPUTED_VALUE"""),"Credit, Debit, Apple Pay")</f>
        <v>Credit, Debit, Apple Pay</v>
      </c>
      <c r="O1307" s="2">
        <f>IFERROR(__xludf.DUMMYFUNCTION("""COMPUTED_VALUE"""),0.0)</f>
        <v>0</v>
      </c>
      <c r="P1307" s="2">
        <f>IFERROR(__xludf.DUMMYFUNCTION("""COMPUTED_VALUE"""),17.0)</f>
        <v>17</v>
      </c>
      <c r="Q1307" s="2">
        <f>IFERROR(__xludf.DUMMYFUNCTION("""COMPUTED_VALUE"""),10.0)</f>
        <v>10</v>
      </c>
      <c r="R1307" s="2">
        <f>IFERROR(__xludf.DUMMYFUNCTION("""COMPUTED_VALUE"""),2025.0)</f>
        <v>2025</v>
      </c>
      <c r="S1307" s="2" t="str">
        <f>IFERROR(__xludf.DUMMYFUNCTION("""COMPUTED_VALUE"""),"Digizag")</f>
        <v>Digizag</v>
      </c>
      <c r="T1307" s="2" t="str">
        <f>IFERROR(__xludf.DUMMYFUNCTION("""COMPUTED_VALUE"""),"Digizag")</f>
        <v>Digizag</v>
      </c>
      <c r="U1307" s="5">
        <f>IFERROR(__xludf.DUMMYFUNCTION("""COMPUTED_VALUE"""),64.45901516004001)</f>
        <v>64.45901516</v>
      </c>
      <c r="V1307" s="2"/>
      <c r="W1307" s="2"/>
      <c r="X1307" s="2"/>
      <c r="Y1307" s="2"/>
      <c r="Z1307" s="2"/>
    </row>
    <row r="1308">
      <c r="A1308" s="6">
        <f>IFERROR(__xludf.DUMMYFUNCTION("""COMPUTED_VALUE"""),45947.4640625)</f>
        <v>45947.46406</v>
      </c>
      <c r="B1308" s="2" t="str">
        <f>IFERROR(__xludf.DUMMYFUNCTION("""COMPUTED_VALUE"""),"October")</f>
        <v>October</v>
      </c>
      <c r="C1308" s="2">
        <f>IFERROR(__xludf.DUMMYFUNCTION("""COMPUTED_VALUE"""),131403.0)</f>
        <v>131403</v>
      </c>
      <c r="D1308" s="2" t="str">
        <f>IFERROR(__xludf.DUMMYFUNCTION("""COMPUTED_VALUE"""),"82WP58")</f>
        <v>82WP58</v>
      </c>
      <c r="E1308" s="2" t="str">
        <f>IFERROR(__xludf.DUMMYFUNCTION("""COMPUTED_VALUE"""),"Imported from file DigiZag Bidding Codes.xlsx")</f>
        <v>Imported from file DigiZag Bidding Codes.xlsx</v>
      </c>
      <c r="F1308" s="2" t="str">
        <f>IFERROR(__xludf.DUMMYFUNCTION("""COMPUTED_VALUE"""),"LXV945965")</f>
        <v>LXV945965</v>
      </c>
      <c r="G1308" s="2" t="str">
        <f>IFERROR(__xludf.DUMMYFUNCTION("""COMPUTED_VALUE"""),"Kingdom of Saudi Arabia")</f>
        <v>Kingdom of Saudi Arabia</v>
      </c>
      <c r="H1308" s="2">
        <f>IFERROR(__xludf.DUMMYFUNCTION("""COMPUTED_VALUE"""),286.9)</f>
        <v>286.9</v>
      </c>
      <c r="I1308" s="2">
        <f>IFERROR(__xludf.DUMMYFUNCTION("""COMPUTED_VALUE"""),0.0)</f>
        <v>0</v>
      </c>
      <c r="J1308" s="2">
        <f>IFERROR(__xludf.DUMMYFUNCTION("""COMPUTED_VALUE"""),30.0)</f>
        <v>30</v>
      </c>
      <c r="K1308" s="2"/>
      <c r="L1308" s="2" t="str">
        <f>IFERROR(__xludf.DUMMYFUNCTION("""COMPUTED_VALUE"""),"Delivered")</f>
        <v>Delivered</v>
      </c>
      <c r="M1308" s="2" t="str">
        <f>IFERROR(__xludf.DUMMYFUNCTION("""COMPUTED_VALUE"""),"")</f>
        <v></v>
      </c>
      <c r="N1308" s="2" t="str">
        <f>IFERROR(__xludf.DUMMYFUNCTION("""COMPUTED_VALUE"""),"Credit, Debit, Apple Pay")</f>
        <v>Credit, Debit, Apple Pay</v>
      </c>
      <c r="O1308" s="2">
        <f>IFERROR(__xludf.DUMMYFUNCTION("""COMPUTED_VALUE"""),0.0)</f>
        <v>0</v>
      </c>
      <c r="P1308" s="2">
        <f>IFERROR(__xludf.DUMMYFUNCTION("""COMPUTED_VALUE"""),17.0)</f>
        <v>17</v>
      </c>
      <c r="Q1308" s="2">
        <f>IFERROR(__xludf.DUMMYFUNCTION("""COMPUTED_VALUE"""),10.0)</f>
        <v>10</v>
      </c>
      <c r="R1308" s="2">
        <f>IFERROR(__xludf.DUMMYFUNCTION("""COMPUTED_VALUE"""),2025.0)</f>
        <v>2025</v>
      </c>
      <c r="S1308" s="2" t="str">
        <f>IFERROR(__xludf.DUMMYFUNCTION("""COMPUTED_VALUE"""),"Digizag")</f>
        <v>Digizag</v>
      </c>
      <c r="T1308" s="2" t="str">
        <f>IFERROR(__xludf.DUMMYFUNCTION("""COMPUTED_VALUE"""),"Digizag")</f>
        <v>Digizag</v>
      </c>
      <c r="U1308" s="5">
        <f>IFERROR(__xludf.DUMMYFUNCTION("""COMPUTED_VALUE"""),76.5007505974)</f>
        <v>76.5007506</v>
      </c>
      <c r="V1308" s="2"/>
      <c r="W1308" s="2"/>
      <c r="X1308" s="2"/>
      <c r="Y1308" s="2"/>
      <c r="Z1308" s="2"/>
    </row>
    <row r="1309">
      <c r="A1309" s="6">
        <f>IFERROR(__xludf.DUMMYFUNCTION("""COMPUTED_VALUE"""),45947.4715625)</f>
        <v>45947.47156</v>
      </c>
      <c r="B1309" s="2" t="str">
        <f>IFERROR(__xludf.DUMMYFUNCTION("""COMPUTED_VALUE"""),"October")</f>
        <v>October</v>
      </c>
      <c r="C1309" s="2">
        <f>IFERROR(__xludf.DUMMYFUNCTION("""COMPUTED_VALUE"""),818221.0)</f>
        <v>818221</v>
      </c>
      <c r="D1309" s="2" t="str">
        <f>IFERROR(__xludf.DUMMYFUNCTION("""COMPUTED_VALUE"""),"DB6")</f>
        <v>DB6</v>
      </c>
      <c r="E1309" s="2" t="str">
        <f>IFERROR(__xludf.DUMMYFUNCTION("""COMPUTED_VALUE"""),"Digizag")</f>
        <v>Digizag</v>
      </c>
      <c r="F1309" s="2" t="str">
        <f>IFERROR(__xludf.DUMMYFUNCTION("""COMPUTED_VALUE"""),"QGL601181")</f>
        <v>QGL601181</v>
      </c>
      <c r="G1309" s="2" t="str">
        <f>IFERROR(__xludf.DUMMYFUNCTION("""COMPUTED_VALUE"""),"Kingdom of Saudi Arabia")</f>
        <v>Kingdom of Saudi Arabia</v>
      </c>
      <c r="H1309" s="2">
        <f>IFERROR(__xludf.DUMMYFUNCTION("""COMPUTED_VALUE"""),160.91)</f>
        <v>160.91</v>
      </c>
      <c r="I1309" s="2">
        <f>IFERROR(__xludf.DUMMYFUNCTION("""COMPUTED_VALUE"""),0.0)</f>
        <v>0</v>
      </c>
      <c r="J1309" s="2">
        <f>IFERROR(__xludf.DUMMYFUNCTION("""COMPUTED_VALUE"""),30.0)</f>
        <v>30</v>
      </c>
      <c r="K1309" s="2"/>
      <c r="L1309" s="2" t="str">
        <f>IFERROR(__xludf.DUMMYFUNCTION("""COMPUTED_VALUE"""),"Delivered")</f>
        <v>Delivered</v>
      </c>
      <c r="M1309" s="2" t="str">
        <f>IFERROR(__xludf.DUMMYFUNCTION("""COMPUTED_VALUE"""),"")</f>
        <v></v>
      </c>
      <c r="N1309" s="2" t="str">
        <f>IFERROR(__xludf.DUMMYFUNCTION("""COMPUTED_VALUE"""),"Credit, Debit, Apple Pay")</f>
        <v>Credit, Debit, Apple Pay</v>
      </c>
      <c r="O1309" s="2">
        <f>IFERROR(__xludf.DUMMYFUNCTION("""COMPUTED_VALUE"""),0.0)</f>
        <v>0</v>
      </c>
      <c r="P1309" s="2">
        <f>IFERROR(__xludf.DUMMYFUNCTION("""COMPUTED_VALUE"""),17.0)</f>
        <v>17</v>
      </c>
      <c r="Q1309" s="2">
        <f>IFERROR(__xludf.DUMMYFUNCTION("""COMPUTED_VALUE"""),10.0)</f>
        <v>10</v>
      </c>
      <c r="R1309" s="2">
        <f>IFERROR(__xludf.DUMMYFUNCTION("""COMPUTED_VALUE"""),2025.0)</f>
        <v>2025</v>
      </c>
      <c r="S1309" s="2" t="str">
        <f>IFERROR(__xludf.DUMMYFUNCTION("""COMPUTED_VALUE"""),"Digizag")</f>
        <v>Digizag</v>
      </c>
      <c r="T1309" s="2" t="str">
        <f>IFERROR(__xludf.DUMMYFUNCTION("""COMPUTED_VALUE"""),"Digizag")</f>
        <v>Digizag</v>
      </c>
      <c r="U1309" s="5">
        <f>IFERROR(__xludf.DUMMYFUNCTION("""COMPUTED_VALUE"""),42.906015261860006)</f>
        <v>42.90601526</v>
      </c>
      <c r="V1309" s="2"/>
      <c r="W1309" s="2"/>
      <c r="X1309" s="2"/>
      <c r="Y1309" s="2"/>
      <c r="Z1309" s="2"/>
    </row>
    <row r="1310">
      <c r="A1310" s="6">
        <f>IFERROR(__xludf.DUMMYFUNCTION("""COMPUTED_VALUE"""),45947.504791666666)</f>
        <v>45947.50479</v>
      </c>
      <c r="B1310" s="2" t="str">
        <f>IFERROR(__xludf.DUMMYFUNCTION("""COMPUTED_VALUE"""),"October")</f>
        <v>October</v>
      </c>
      <c r="C1310" s="2">
        <f>IFERROR(__xludf.DUMMYFUNCTION("""COMPUTED_VALUE"""),695878.0)</f>
        <v>695878</v>
      </c>
      <c r="D1310" s="2" t="str">
        <f>IFERROR(__xludf.DUMMYFUNCTION("""COMPUTED_VALUE"""),"DB3")</f>
        <v>DB3</v>
      </c>
      <c r="E1310" s="2" t="str">
        <f>IFERROR(__xludf.DUMMYFUNCTION("""COMPUTED_VALUE"""),"Imported from file Digizag.xlsx")</f>
        <v>Imported from file Digizag.xlsx</v>
      </c>
      <c r="F1310" s="2" t="str">
        <f>IFERROR(__xludf.DUMMYFUNCTION("""COMPUTED_VALUE"""),"TZH281953")</f>
        <v>TZH281953</v>
      </c>
      <c r="G1310" s="2" t="str">
        <f>IFERROR(__xludf.DUMMYFUNCTION("""COMPUTED_VALUE"""),"Kuwait")</f>
        <v>Kuwait</v>
      </c>
      <c r="H1310" s="2">
        <f>IFERROR(__xludf.DUMMYFUNCTION("""COMPUTED_VALUE"""),6.5)</f>
        <v>6.5</v>
      </c>
      <c r="I1310" s="2">
        <f>IFERROR(__xludf.DUMMYFUNCTION("""COMPUTED_VALUE"""),0.0)</f>
        <v>0</v>
      </c>
      <c r="J1310" s="2">
        <f>IFERROR(__xludf.DUMMYFUNCTION("""COMPUTED_VALUE"""),0.65)</f>
        <v>0.65</v>
      </c>
      <c r="K1310" s="2"/>
      <c r="L1310" s="2" t="str">
        <f>IFERROR(__xludf.DUMMYFUNCTION("""COMPUTED_VALUE"""),"Delivered")</f>
        <v>Delivered</v>
      </c>
      <c r="M1310" s="2" t="str">
        <f>IFERROR(__xludf.DUMMYFUNCTION("""COMPUTED_VALUE"""),"KD")</f>
        <v>KD</v>
      </c>
      <c r="N1310" s="2" t="str">
        <f>IFERROR(__xludf.DUMMYFUNCTION("""COMPUTED_VALUE"""),"Credit, Debit, Knet")</f>
        <v>Credit, Debit, Knet</v>
      </c>
      <c r="O1310" s="2">
        <f>IFERROR(__xludf.DUMMYFUNCTION("""COMPUTED_VALUE"""),0.0)</f>
        <v>0</v>
      </c>
      <c r="P1310" s="2">
        <f>IFERROR(__xludf.DUMMYFUNCTION("""COMPUTED_VALUE"""),17.0)</f>
        <v>17</v>
      </c>
      <c r="Q1310" s="2">
        <f>IFERROR(__xludf.DUMMYFUNCTION("""COMPUTED_VALUE"""),10.0)</f>
        <v>10</v>
      </c>
      <c r="R1310" s="2">
        <f>IFERROR(__xludf.DUMMYFUNCTION("""COMPUTED_VALUE"""),2025.0)</f>
        <v>2025</v>
      </c>
      <c r="S1310" s="2" t="str">
        <f>IFERROR(__xludf.DUMMYFUNCTION("""COMPUTED_VALUE"""),"Digizag")</f>
        <v>Digizag</v>
      </c>
      <c r="T1310" s="2" t="str">
        <f>IFERROR(__xludf.DUMMYFUNCTION("""COMPUTED_VALUE"""),"Digizag")</f>
        <v>Digizag</v>
      </c>
      <c r="U1310" s="5">
        <f>IFERROR(__xludf.DUMMYFUNCTION("""COMPUTED_VALUE"""),21.194029999999998)</f>
        <v>21.19403</v>
      </c>
      <c r="V1310" s="2"/>
      <c r="W1310" s="2"/>
      <c r="X1310" s="2"/>
      <c r="Y1310" s="2"/>
      <c r="Z1310" s="2"/>
    </row>
    <row r="1311">
      <c r="A1311" s="6">
        <f>IFERROR(__xludf.DUMMYFUNCTION("""COMPUTED_VALUE"""),45947.512766203705)</f>
        <v>45947.51277</v>
      </c>
      <c r="B1311" s="2" t="str">
        <f>IFERROR(__xludf.DUMMYFUNCTION("""COMPUTED_VALUE"""),"October")</f>
        <v>October</v>
      </c>
      <c r="C1311" s="2">
        <f>IFERROR(__xludf.DUMMYFUNCTION("""COMPUTED_VALUE"""),408346.0)</f>
        <v>408346</v>
      </c>
      <c r="D1311" s="2" t="str">
        <f>IFERROR(__xludf.DUMMYFUNCTION("""COMPUTED_VALUE"""),"ZM22")</f>
        <v>ZM22</v>
      </c>
      <c r="E1311" s="2" t="str">
        <f>IFERROR(__xludf.DUMMYFUNCTION("""COMPUTED_VALUE"""),"Imported from file Digizag.xlsx")</f>
        <v>Imported from file Digizag.xlsx</v>
      </c>
      <c r="F1311" s="2" t="str">
        <f>IFERROR(__xludf.DUMMYFUNCTION("""COMPUTED_VALUE"""),"EHJ795826")</f>
        <v>EHJ795826</v>
      </c>
      <c r="G1311" s="2" t="str">
        <f>IFERROR(__xludf.DUMMYFUNCTION("""COMPUTED_VALUE"""),"Kingdom of Saudi Arabia")</f>
        <v>Kingdom of Saudi Arabia</v>
      </c>
      <c r="H1311" s="2">
        <f>IFERROR(__xludf.DUMMYFUNCTION("""COMPUTED_VALUE"""),56.57)</f>
        <v>56.57</v>
      </c>
      <c r="I1311" s="2">
        <f>IFERROR(__xludf.DUMMYFUNCTION("""COMPUTED_VALUE"""),0.0)</f>
        <v>0</v>
      </c>
      <c r="J1311" s="2">
        <f>IFERROR(__xludf.DUMMYFUNCTION("""COMPUTED_VALUE"""),14.14)</f>
        <v>14.14</v>
      </c>
      <c r="K1311" s="2"/>
      <c r="L1311" s="2" t="str">
        <f>IFERROR(__xludf.DUMMYFUNCTION("""COMPUTED_VALUE"""),"Delivered")</f>
        <v>Delivered</v>
      </c>
      <c r="M1311" s="2" t="str">
        <f>IFERROR(__xludf.DUMMYFUNCTION("""COMPUTED_VALUE"""),"")</f>
        <v></v>
      </c>
      <c r="N1311" s="2" t="str">
        <f>IFERROR(__xludf.DUMMYFUNCTION("""COMPUTED_VALUE"""),"Pay in 4. No interest, no fees")</f>
        <v>Pay in 4. No interest, no fees</v>
      </c>
      <c r="O1311" s="2">
        <f>IFERROR(__xludf.DUMMYFUNCTION("""COMPUTED_VALUE"""),0.0)</f>
        <v>0</v>
      </c>
      <c r="P1311" s="2">
        <f>IFERROR(__xludf.DUMMYFUNCTION("""COMPUTED_VALUE"""),17.0)</f>
        <v>17</v>
      </c>
      <c r="Q1311" s="2">
        <f>IFERROR(__xludf.DUMMYFUNCTION("""COMPUTED_VALUE"""),10.0)</f>
        <v>10</v>
      </c>
      <c r="R1311" s="2">
        <f>IFERROR(__xludf.DUMMYFUNCTION("""COMPUTED_VALUE"""),2025.0)</f>
        <v>2025</v>
      </c>
      <c r="S1311" s="2" t="str">
        <f>IFERROR(__xludf.DUMMYFUNCTION("""COMPUTED_VALUE"""),"Digizag")</f>
        <v>Digizag</v>
      </c>
      <c r="T1311" s="2" t="str">
        <f>IFERROR(__xludf.DUMMYFUNCTION("""COMPUTED_VALUE"""),"Digizag")</f>
        <v>Digizag</v>
      </c>
      <c r="U1311" s="5">
        <f>IFERROR(__xludf.DUMMYFUNCTION("""COMPUTED_VALUE"""),15.084166822220002)</f>
        <v>15.08416682</v>
      </c>
      <c r="V1311" s="2"/>
      <c r="W1311" s="2"/>
      <c r="X1311" s="2"/>
      <c r="Y1311" s="2"/>
      <c r="Z1311" s="2"/>
    </row>
    <row r="1312">
      <c r="A1312" s="6">
        <f>IFERROR(__xludf.DUMMYFUNCTION("""COMPUTED_VALUE"""),45947.52162037037)</f>
        <v>45947.52162</v>
      </c>
      <c r="B1312" s="2" t="str">
        <f>IFERROR(__xludf.DUMMYFUNCTION("""COMPUTED_VALUE"""),"October")</f>
        <v>October</v>
      </c>
      <c r="C1312" s="2">
        <f>IFERROR(__xludf.DUMMYFUNCTION("""COMPUTED_VALUE"""),408346.0)</f>
        <v>408346</v>
      </c>
      <c r="D1312" s="2" t="str">
        <f>IFERROR(__xludf.DUMMYFUNCTION("""COMPUTED_VALUE"""),"ZM22")</f>
        <v>ZM22</v>
      </c>
      <c r="E1312" s="2" t="str">
        <f>IFERROR(__xludf.DUMMYFUNCTION("""COMPUTED_VALUE"""),"Imported from file Digizag.xlsx")</f>
        <v>Imported from file Digizag.xlsx</v>
      </c>
      <c r="F1312" s="2" t="str">
        <f>IFERROR(__xludf.DUMMYFUNCTION("""COMPUTED_VALUE"""),"PVT117320")</f>
        <v>PVT117320</v>
      </c>
      <c r="G1312" s="2" t="str">
        <f>IFERROR(__xludf.DUMMYFUNCTION("""COMPUTED_VALUE"""),"Kingdom of Saudi Arabia")</f>
        <v>Kingdom of Saudi Arabia</v>
      </c>
      <c r="H1312" s="2">
        <f>IFERROR(__xludf.DUMMYFUNCTION("""COMPUTED_VALUE"""),48.61)</f>
        <v>48.61</v>
      </c>
      <c r="I1312" s="2">
        <f>IFERROR(__xludf.DUMMYFUNCTION("""COMPUTED_VALUE"""),0.0)</f>
        <v>0</v>
      </c>
      <c r="J1312" s="2">
        <f>IFERROR(__xludf.DUMMYFUNCTION("""COMPUTED_VALUE"""),12.15)</f>
        <v>12.15</v>
      </c>
      <c r="K1312" s="2"/>
      <c r="L1312" s="2" t="str">
        <f>IFERROR(__xludf.DUMMYFUNCTION("""COMPUTED_VALUE"""),"Delivered")</f>
        <v>Delivered</v>
      </c>
      <c r="M1312" s="2" t="str">
        <f>IFERROR(__xludf.DUMMYFUNCTION("""COMPUTED_VALUE"""),"")</f>
        <v></v>
      </c>
      <c r="N1312" s="2" t="str">
        <f>IFERROR(__xludf.DUMMYFUNCTION("""COMPUTED_VALUE"""),"Pay in 4. No interest, no fees")</f>
        <v>Pay in 4. No interest, no fees</v>
      </c>
      <c r="O1312" s="2">
        <f>IFERROR(__xludf.DUMMYFUNCTION("""COMPUTED_VALUE"""),0.0)</f>
        <v>0</v>
      </c>
      <c r="P1312" s="2">
        <f>IFERROR(__xludf.DUMMYFUNCTION("""COMPUTED_VALUE"""),17.0)</f>
        <v>17</v>
      </c>
      <c r="Q1312" s="2">
        <f>IFERROR(__xludf.DUMMYFUNCTION("""COMPUTED_VALUE"""),10.0)</f>
        <v>10</v>
      </c>
      <c r="R1312" s="2">
        <f>IFERROR(__xludf.DUMMYFUNCTION("""COMPUTED_VALUE"""),2025.0)</f>
        <v>2025</v>
      </c>
      <c r="S1312" s="2" t="str">
        <f>IFERROR(__xludf.DUMMYFUNCTION("""COMPUTED_VALUE"""),"Digizag")</f>
        <v>Digizag</v>
      </c>
      <c r="T1312" s="2" t="str">
        <f>IFERROR(__xludf.DUMMYFUNCTION("""COMPUTED_VALUE"""),"Digizag")</f>
        <v>Digizag</v>
      </c>
      <c r="U1312" s="5">
        <f>IFERROR(__xludf.DUMMYFUNCTION("""COMPUTED_VALUE"""),12.96166429606)</f>
        <v>12.9616643</v>
      </c>
      <c r="V1312" s="2"/>
      <c r="W1312" s="2"/>
      <c r="X1312" s="2"/>
      <c r="Y1312" s="2"/>
      <c r="Z1312" s="2"/>
    </row>
    <row r="1313">
      <c r="A1313" s="6">
        <f>IFERROR(__xludf.DUMMYFUNCTION("""COMPUTED_VALUE"""),45947.537777777776)</f>
        <v>45947.53778</v>
      </c>
      <c r="B1313" s="2" t="str">
        <f>IFERROR(__xludf.DUMMYFUNCTION("""COMPUTED_VALUE"""),"October")</f>
        <v>October</v>
      </c>
      <c r="C1313" s="2">
        <f>IFERROR(__xludf.DUMMYFUNCTION("""COMPUTED_VALUE"""),82017.0)</f>
        <v>82017</v>
      </c>
      <c r="D1313" s="2" t="str">
        <f>IFERROR(__xludf.DUMMYFUNCTION("""COMPUTED_VALUE"""),"CC22")</f>
        <v>CC22</v>
      </c>
      <c r="E1313" s="2" t="str">
        <f>IFERROR(__xludf.DUMMYFUNCTION("""COMPUTED_VALUE"""),"Imported from file Digizag.xlsx")</f>
        <v>Imported from file Digizag.xlsx</v>
      </c>
      <c r="F1313" s="2" t="str">
        <f>IFERROR(__xludf.DUMMYFUNCTION("""COMPUTED_VALUE"""),"HNX348616")</f>
        <v>HNX348616</v>
      </c>
      <c r="G1313" s="2" t="str">
        <f>IFERROR(__xludf.DUMMYFUNCTION("""COMPUTED_VALUE"""),"Kuwait")</f>
        <v>Kuwait</v>
      </c>
      <c r="H1313" s="2">
        <f>IFERROR(__xludf.DUMMYFUNCTION("""COMPUTED_VALUE"""),9.95)</f>
        <v>9.95</v>
      </c>
      <c r="I1313" s="2">
        <f>IFERROR(__xludf.DUMMYFUNCTION("""COMPUTED_VALUE"""),0.0)</f>
        <v>0</v>
      </c>
      <c r="J1313" s="2">
        <f>IFERROR(__xludf.DUMMYFUNCTION("""COMPUTED_VALUE"""),0.995)</f>
        <v>0.995</v>
      </c>
      <c r="K1313" s="2"/>
      <c r="L1313" s="2" t="str">
        <f>IFERROR(__xludf.DUMMYFUNCTION("""COMPUTED_VALUE"""),"Delivered")</f>
        <v>Delivered</v>
      </c>
      <c r="M1313" s="2" t="str">
        <f>IFERROR(__xludf.DUMMYFUNCTION("""COMPUTED_VALUE"""),"KD")</f>
        <v>KD</v>
      </c>
      <c r="N1313" s="2" t="str">
        <f>IFERROR(__xludf.DUMMYFUNCTION("""COMPUTED_VALUE"""),"Credit, Debit, Knet")</f>
        <v>Credit, Debit, Knet</v>
      </c>
      <c r="O1313" s="2">
        <f>IFERROR(__xludf.DUMMYFUNCTION("""COMPUTED_VALUE"""),0.0)</f>
        <v>0</v>
      </c>
      <c r="P1313" s="2">
        <f>IFERROR(__xludf.DUMMYFUNCTION("""COMPUTED_VALUE"""),17.0)</f>
        <v>17</v>
      </c>
      <c r="Q1313" s="2">
        <f>IFERROR(__xludf.DUMMYFUNCTION("""COMPUTED_VALUE"""),10.0)</f>
        <v>10</v>
      </c>
      <c r="R1313" s="2">
        <f>IFERROR(__xludf.DUMMYFUNCTION("""COMPUTED_VALUE"""),2025.0)</f>
        <v>2025</v>
      </c>
      <c r="S1313" s="2" t="str">
        <f>IFERROR(__xludf.DUMMYFUNCTION("""COMPUTED_VALUE"""),"Digizag")</f>
        <v>Digizag</v>
      </c>
      <c r="T1313" s="2" t="str">
        <f>IFERROR(__xludf.DUMMYFUNCTION("""COMPUTED_VALUE"""),"Digizag")</f>
        <v>Digizag</v>
      </c>
      <c r="U1313" s="5">
        <f>IFERROR(__xludf.DUMMYFUNCTION("""COMPUTED_VALUE"""),32.443169)</f>
        <v>32.443169</v>
      </c>
      <c r="V1313" s="2"/>
      <c r="W1313" s="2"/>
      <c r="X1313" s="2"/>
      <c r="Y1313" s="2"/>
      <c r="Z1313" s="2"/>
    </row>
    <row r="1314">
      <c r="A1314" s="6">
        <f>IFERROR(__xludf.DUMMYFUNCTION("""COMPUTED_VALUE"""),45947.55804398148)</f>
        <v>45947.55804</v>
      </c>
      <c r="B1314" s="2" t="str">
        <f>IFERROR(__xludf.DUMMYFUNCTION("""COMPUTED_VALUE"""),"October")</f>
        <v>October</v>
      </c>
      <c r="C1314" s="2">
        <f>IFERROR(__xludf.DUMMYFUNCTION("""COMPUTED_VALUE"""),818294.0)</f>
        <v>818294</v>
      </c>
      <c r="D1314" s="2" t="str">
        <f>IFERROR(__xludf.DUMMYFUNCTION("""COMPUTED_VALUE"""),"DB6")</f>
        <v>DB6</v>
      </c>
      <c r="E1314" s="2" t="str">
        <f>IFERROR(__xludf.DUMMYFUNCTION("""COMPUTED_VALUE"""),"Digizag")</f>
        <v>Digizag</v>
      </c>
      <c r="F1314" s="2" t="str">
        <f>IFERROR(__xludf.DUMMYFUNCTION("""COMPUTED_VALUE"""),"ULM265273")</f>
        <v>ULM265273</v>
      </c>
      <c r="G1314" s="2" t="str">
        <f>IFERROR(__xludf.DUMMYFUNCTION("""COMPUTED_VALUE"""),"Kingdom of Saudi Arabia")</f>
        <v>Kingdom of Saudi Arabia</v>
      </c>
      <c r="H1314" s="2">
        <f>IFERROR(__xludf.DUMMYFUNCTION("""COMPUTED_VALUE"""),94.3)</f>
        <v>94.3</v>
      </c>
      <c r="I1314" s="2">
        <f>IFERROR(__xludf.DUMMYFUNCTION("""COMPUTED_VALUE"""),1.0)</f>
        <v>1</v>
      </c>
      <c r="J1314" s="2">
        <f>IFERROR(__xludf.DUMMYFUNCTION("""COMPUTED_VALUE"""),23.57)</f>
        <v>23.57</v>
      </c>
      <c r="K1314" s="2"/>
      <c r="L1314" s="2" t="str">
        <f>IFERROR(__xludf.DUMMYFUNCTION("""COMPUTED_VALUE"""),"Cancelled")</f>
        <v>Cancelled</v>
      </c>
      <c r="M1314" s="2" t="str">
        <f>IFERROR(__xludf.DUMMYFUNCTION("""COMPUTED_VALUE"""),"")</f>
        <v></v>
      </c>
      <c r="N1314" s="2" t="str">
        <f>IFERROR(__xludf.DUMMYFUNCTION("""COMPUTED_VALUE"""),"Credit, Debit, Apple Pay")</f>
        <v>Credit, Debit, Apple Pay</v>
      </c>
      <c r="O1314" s="2">
        <f>IFERROR(__xludf.DUMMYFUNCTION("""COMPUTED_VALUE"""),70.73)</f>
        <v>70.73</v>
      </c>
      <c r="P1314" s="2">
        <f>IFERROR(__xludf.DUMMYFUNCTION("""COMPUTED_VALUE"""),17.0)</f>
        <v>17</v>
      </c>
      <c r="Q1314" s="2">
        <f>IFERROR(__xludf.DUMMYFUNCTION("""COMPUTED_VALUE"""),10.0)</f>
        <v>10</v>
      </c>
      <c r="R1314" s="2">
        <f>IFERROR(__xludf.DUMMYFUNCTION("""COMPUTED_VALUE"""),2025.0)</f>
        <v>2025</v>
      </c>
      <c r="S1314" s="2" t="str">
        <f>IFERROR(__xludf.DUMMYFUNCTION("""COMPUTED_VALUE"""),"Digizag")</f>
        <v>Digizag</v>
      </c>
      <c r="T1314" s="2" t="str">
        <f>IFERROR(__xludf.DUMMYFUNCTION("""COMPUTED_VALUE"""),"Digizag")</f>
        <v>Digizag</v>
      </c>
      <c r="U1314" s="5">
        <f>IFERROR(__xludf.DUMMYFUNCTION("""COMPUTED_VALUE"""),25.144722137800002)</f>
        <v>25.14472214</v>
      </c>
      <c r="V1314" s="2"/>
      <c r="W1314" s="2"/>
      <c r="X1314" s="2"/>
      <c r="Y1314" s="2"/>
      <c r="Z1314" s="2"/>
    </row>
    <row r="1315">
      <c r="A1315" s="6">
        <f>IFERROR(__xludf.DUMMYFUNCTION("""COMPUTED_VALUE"""),45947.56570601852)</f>
        <v>45947.56571</v>
      </c>
      <c r="B1315" s="2" t="str">
        <f>IFERROR(__xludf.DUMMYFUNCTION("""COMPUTED_VALUE"""),"October")</f>
        <v>October</v>
      </c>
      <c r="C1315" s="2">
        <f>IFERROR(__xludf.DUMMYFUNCTION("""COMPUTED_VALUE"""),69645.0)</f>
        <v>69645</v>
      </c>
      <c r="D1315" s="2" t="str">
        <f>IFERROR(__xludf.DUMMYFUNCTION("""COMPUTED_VALUE"""),"DB3")</f>
        <v>DB3</v>
      </c>
      <c r="E1315" s="2" t="str">
        <f>IFERROR(__xludf.DUMMYFUNCTION("""COMPUTED_VALUE"""),"Imported from file Digizag.xlsx")</f>
        <v>Imported from file Digizag.xlsx</v>
      </c>
      <c r="F1315" s="2" t="str">
        <f>IFERROR(__xludf.DUMMYFUNCTION("""COMPUTED_VALUE"""),"ZYN302418")</f>
        <v>ZYN302418</v>
      </c>
      <c r="G1315" s="2" t="str">
        <f>IFERROR(__xludf.DUMMYFUNCTION("""COMPUTED_VALUE"""),"Kingdom of Saudi Arabia")</f>
        <v>Kingdom of Saudi Arabia</v>
      </c>
      <c r="H1315" s="2">
        <f>IFERROR(__xludf.DUMMYFUNCTION("""COMPUTED_VALUE"""),117.26)</f>
        <v>117.26</v>
      </c>
      <c r="I1315" s="2">
        <f>IFERROR(__xludf.DUMMYFUNCTION("""COMPUTED_VALUE"""),0.0)</f>
        <v>0</v>
      </c>
      <c r="J1315" s="2">
        <f>IFERROR(__xludf.DUMMYFUNCTION("""COMPUTED_VALUE"""),29.3)</f>
        <v>29.3</v>
      </c>
      <c r="K1315" s="2"/>
      <c r="L1315" s="2" t="str">
        <f>IFERROR(__xludf.DUMMYFUNCTION("""COMPUTED_VALUE"""),"Delivered")</f>
        <v>Delivered</v>
      </c>
      <c r="M1315" s="2" t="str">
        <f>IFERROR(__xludf.DUMMYFUNCTION("""COMPUTED_VALUE"""),"")</f>
        <v></v>
      </c>
      <c r="N1315" s="2" t="str">
        <f>IFERROR(__xludf.DUMMYFUNCTION("""COMPUTED_VALUE"""),"Pay in 4. No interest, no fees")</f>
        <v>Pay in 4. No interest, no fees</v>
      </c>
      <c r="O1315" s="2">
        <f>IFERROR(__xludf.DUMMYFUNCTION("""COMPUTED_VALUE"""),0.0)</f>
        <v>0</v>
      </c>
      <c r="P1315" s="2">
        <f>IFERROR(__xludf.DUMMYFUNCTION("""COMPUTED_VALUE"""),17.0)</f>
        <v>17</v>
      </c>
      <c r="Q1315" s="2">
        <f>IFERROR(__xludf.DUMMYFUNCTION("""COMPUTED_VALUE"""),10.0)</f>
        <v>10</v>
      </c>
      <c r="R1315" s="2">
        <f>IFERROR(__xludf.DUMMYFUNCTION("""COMPUTED_VALUE"""),2025.0)</f>
        <v>2025</v>
      </c>
      <c r="S1315" s="2" t="str">
        <f>IFERROR(__xludf.DUMMYFUNCTION("""COMPUTED_VALUE"""),"Digizag")</f>
        <v>Digizag</v>
      </c>
      <c r="T1315" s="2" t="str">
        <f>IFERROR(__xludf.DUMMYFUNCTION("""COMPUTED_VALUE"""),"Digizag")</f>
        <v>Digizag</v>
      </c>
      <c r="U1315" s="5">
        <f>IFERROR(__xludf.DUMMYFUNCTION("""COMPUTED_VALUE"""),31.266915353960005)</f>
        <v>31.26691535</v>
      </c>
      <c r="V1315" s="2"/>
      <c r="W1315" s="2"/>
      <c r="X1315" s="2"/>
      <c r="Y1315" s="2"/>
      <c r="Z1315" s="2"/>
    </row>
    <row r="1316">
      <c r="A1316" s="6">
        <f>IFERROR(__xludf.DUMMYFUNCTION("""COMPUTED_VALUE"""),45947.575150462966)</f>
        <v>45947.57515</v>
      </c>
      <c r="B1316" s="2" t="str">
        <f>IFERROR(__xludf.DUMMYFUNCTION("""COMPUTED_VALUE"""),"October")</f>
        <v>October</v>
      </c>
      <c r="C1316" s="2">
        <f>IFERROR(__xludf.DUMMYFUNCTION("""COMPUTED_VALUE"""),27136.0)</f>
        <v>27136</v>
      </c>
      <c r="D1316" s="2" t="str">
        <f>IFERROR(__xludf.DUMMYFUNCTION("""COMPUTED_VALUE"""),"ZM22")</f>
        <v>ZM22</v>
      </c>
      <c r="E1316" s="2" t="str">
        <f>IFERROR(__xludf.DUMMYFUNCTION("""COMPUTED_VALUE"""),"Imported from file Digizag.xlsx")</f>
        <v>Imported from file Digizag.xlsx</v>
      </c>
      <c r="F1316" s="2" t="str">
        <f>IFERROR(__xludf.DUMMYFUNCTION("""COMPUTED_VALUE"""),"VXK718407")</f>
        <v>VXK718407</v>
      </c>
      <c r="G1316" s="2" t="str">
        <f>IFERROR(__xludf.DUMMYFUNCTION("""COMPUTED_VALUE"""),"Kuwait")</f>
        <v>Kuwait</v>
      </c>
      <c r="H1316" s="2">
        <f>IFERROR(__xludf.DUMMYFUNCTION("""COMPUTED_VALUE"""),30.15)</f>
        <v>30.15</v>
      </c>
      <c r="I1316" s="2">
        <f>IFERROR(__xludf.DUMMYFUNCTION("""COMPUTED_VALUE"""),0.0)</f>
        <v>0</v>
      </c>
      <c r="J1316" s="2">
        <f>IFERROR(__xludf.DUMMYFUNCTION("""COMPUTED_VALUE"""),3.015)</f>
        <v>3.015</v>
      </c>
      <c r="K1316" s="2"/>
      <c r="L1316" s="2" t="str">
        <f>IFERROR(__xludf.DUMMYFUNCTION("""COMPUTED_VALUE"""),"Delivered")</f>
        <v>Delivered</v>
      </c>
      <c r="M1316" s="2" t="str">
        <f>IFERROR(__xludf.DUMMYFUNCTION("""COMPUTED_VALUE"""),"KD")</f>
        <v>KD</v>
      </c>
      <c r="N1316" s="2" t="str">
        <f>IFERROR(__xludf.DUMMYFUNCTION("""COMPUTED_VALUE"""),"Credit, Debit, Knet")</f>
        <v>Credit, Debit, Knet</v>
      </c>
      <c r="O1316" s="2">
        <f>IFERROR(__xludf.DUMMYFUNCTION("""COMPUTED_VALUE"""),0.0)</f>
        <v>0</v>
      </c>
      <c r="P1316" s="2">
        <f>IFERROR(__xludf.DUMMYFUNCTION("""COMPUTED_VALUE"""),17.0)</f>
        <v>17</v>
      </c>
      <c r="Q1316" s="2">
        <f>IFERROR(__xludf.DUMMYFUNCTION("""COMPUTED_VALUE"""),10.0)</f>
        <v>10</v>
      </c>
      <c r="R1316" s="2">
        <f>IFERROR(__xludf.DUMMYFUNCTION("""COMPUTED_VALUE"""),2025.0)</f>
        <v>2025</v>
      </c>
      <c r="S1316" s="2" t="str">
        <f>IFERROR(__xludf.DUMMYFUNCTION("""COMPUTED_VALUE"""),"Digizag")</f>
        <v>Digizag</v>
      </c>
      <c r="T1316" s="2" t="str">
        <f>IFERROR(__xludf.DUMMYFUNCTION("""COMPUTED_VALUE"""),"Digizag")</f>
        <v>Digizag</v>
      </c>
      <c r="U1316" s="5">
        <f>IFERROR(__xludf.DUMMYFUNCTION("""COMPUTED_VALUE"""),98.30769299999999)</f>
        <v>98.307693</v>
      </c>
      <c r="V1316" s="2"/>
      <c r="W1316" s="2"/>
      <c r="X1316" s="2"/>
      <c r="Y1316" s="2"/>
      <c r="Z1316" s="2"/>
    </row>
    <row r="1317">
      <c r="A1317" s="6">
        <f>IFERROR(__xludf.DUMMYFUNCTION("""COMPUTED_VALUE"""),45947.59105324074)</f>
        <v>45947.59105</v>
      </c>
      <c r="B1317" s="2" t="str">
        <f>IFERROR(__xludf.DUMMYFUNCTION("""COMPUTED_VALUE"""),"October")</f>
        <v>October</v>
      </c>
      <c r="C1317" s="2">
        <f>IFERROR(__xludf.DUMMYFUNCTION("""COMPUTED_VALUE"""),735099.0)</f>
        <v>735099</v>
      </c>
      <c r="D1317" s="2" t="str">
        <f>IFERROR(__xludf.DUMMYFUNCTION("""COMPUTED_VALUE"""),"DB3")</f>
        <v>DB3</v>
      </c>
      <c r="E1317" s="2" t="str">
        <f>IFERROR(__xludf.DUMMYFUNCTION("""COMPUTED_VALUE"""),"Imported from file Digizag.xlsx")</f>
        <v>Imported from file Digizag.xlsx</v>
      </c>
      <c r="F1317" s="2" t="str">
        <f>IFERROR(__xludf.DUMMYFUNCTION("""COMPUTED_VALUE"""),"ENT891937")</f>
        <v>ENT891937</v>
      </c>
      <c r="G1317" s="2" t="str">
        <f>IFERROR(__xludf.DUMMYFUNCTION("""COMPUTED_VALUE"""),"Kingdom of Saudi Arabia")</f>
        <v>Kingdom of Saudi Arabia</v>
      </c>
      <c r="H1317" s="2">
        <f>IFERROR(__xludf.DUMMYFUNCTION("""COMPUTED_VALUE"""),146.82)</f>
        <v>146.82</v>
      </c>
      <c r="I1317" s="2">
        <f>IFERROR(__xludf.DUMMYFUNCTION("""COMPUTED_VALUE"""),0.0)</f>
        <v>0</v>
      </c>
      <c r="J1317" s="2">
        <f>IFERROR(__xludf.DUMMYFUNCTION("""COMPUTED_VALUE"""),30.0)</f>
        <v>30</v>
      </c>
      <c r="K1317" s="2"/>
      <c r="L1317" s="2" t="str">
        <f>IFERROR(__xludf.DUMMYFUNCTION("""COMPUTED_VALUE"""),"Delivered")</f>
        <v>Delivered</v>
      </c>
      <c r="M1317" s="2" t="str">
        <f>IFERROR(__xludf.DUMMYFUNCTION("""COMPUTED_VALUE"""),"")</f>
        <v></v>
      </c>
      <c r="N1317" s="2" t="str">
        <f>IFERROR(__xludf.DUMMYFUNCTION("""COMPUTED_VALUE"""),"Credit, Debit, Apple Pay")</f>
        <v>Credit, Debit, Apple Pay</v>
      </c>
      <c r="O1317" s="2">
        <f>IFERROR(__xludf.DUMMYFUNCTION("""COMPUTED_VALUE"""),0.0)</f>
        <v>0</v>
      </c>
      <c r="P1317" s="2">
        <f>IFERROR(__xludf.DUMMYFUNCTION("""COMPUTED_VALUE"""),17.0)</f>
        <v>17</v>
      </c>
      <c r="Q1317" s="2">
        <f>IFERROR(__xludf.DUMMYFUNCTION("""COMPUTED_VALUE"""),10.0)</f>
        <v>10</v>
      </c>
      <c r="R1317" s="2">
        <f>IFERROR(__xludf.DUMMYFUNCTION("""COMPUTED_VALUE"""),2025.0)</f>
        <v>2025</v>
      </c>
      <c r="S1317" s="2" t="str">
        <f>IFERROR(__xludf.DUMMYFUNCTION("""COMPUTED_VALUE"""),"Digizag")</f>
        <v>Digizag</v>
      </c>
      <c r="T1317" s="2" t="str">
        <f>IFERROR(__xludf.DUMMYFUNCTION("""COMPUTED_VALUE"""),"Digizag")</f>
        <v>Digizag</v>
      </c>
      <c r="U1317" s="5">
        <f>IFERROR(__xludf.DUMMYFUNCTION("""COMPUTED_VALUE"""),39.14897247372)</f>
        <v>39.14897247</v>
      </c>
      <c r="V1317" s="2"/>
      <c r="W1317" s="2"/>
      <c r="X1317" s="2"/>
      <c r="Y1317" s="2"/>
      <c r="Z1317" s="2"/>
    </row>
    <row r="1318">
      <c r="A1318" s="6">
        <f>IFERROR(__xludf.DUMMYFUNCTION("""COMPUTED_VALUE"""),45947.61052083333)</f>
        <v>45947.61052</v>
      </c>
      <c r="B1318" s="2" t="str">
        <f>IFERROR(__xludf.DUMMYFUNCTION("""COMPUTED_VALUE"""),"October")</f>
        <v>October</v>
      </c>
      <c r="C1318" s="2">
        <f>IFERROR(__xludf.DUMMYFUNCTION("""COMPUTED_VALUE"""),182863.0)</f>
        <v>182863</v>
      </c>
      <c r="D1318" s="2" t="str">
        <f>IFERROR(__xludf.DUMMYFUNCTION("""COMPUTED_VALUE"""),"DB7")</f>
        <v>DB7</v>
      </c>
      <c r="E1318" s="2" t="str">
        <f>IFERROR(__xludf.DUMMYFUNCTION("""COMPUTED_VALUE"""),"Digizag")</f>
        <v>Digizag</v>
      </c>
      <c r="F1318" s="2" t="str">
        <f>IFERROR(__xludf.DUMMYFUNCTION("""COMPUTED_VALUE"""),"EUC830388")</f>
        <v>EUC830388</v>
      </c>
      <c r="G1318" s="2" t="str">
        <f>IFERROR(__xludf.DUMMYFUNCTION("""COMPUTED_VALUE"""),"Kingdom of Saudi Arabia")</f>
        <v>Kingdom of Saudi Arabia</v>
      </c>
      <c r="H1318" s="2">
        <f>IFERROR(__xludf.DUMMYFUNCTION("""COMPUTED_VALUE"""),300.0)</f>
        <v>300</v>
      </c>
      <c r="I1318" s="2">
        <f>IFERROR(__xludf.DUMMYFUNCTION("""COMPUTED_VALUE"""),0.0)</f>
        <v>0</v>
      </c>
      <c r="J1318" s="2">
        <f>IFERROR(__xludf.DUMMYFUNCTION("""COMPUTED_VALUE"""),30.0)</f>
        <v>30</v>
      </c>
      <c r="K1318" s="2"/>
      <c r="L1318" s="2" t="str">
        <f>IFERROR(__xludf.DUMMYFUNCTION("""COMPUTED_VALUE"""),"Delivered")</f>
        <v>Delivered</v>
      </c>
      <c r="M1318" s="2" t="str">
        <f>IFERROR(__xludf.DUMMYFUNCTION("""COMPUTED_VALUE"""),"")</f>
        <v></v>
      </c>
      <c r="N1318" s="2" t="str">
        <f>IFERROR(__xludf.DUMMYFUNCTION("""COMPUTED_VALUE"""),"Credit, Debit, Apple Pay")</f>
        <v>Credit, Debit, Apple Pay</v>
      </c>
      <c r="O1318" s="2">
        <f>IFERROR(__xludf.DUMMYFUNCTION("""COMPUTED_VALUE"""),0.0)</f>
        <v>0</v>
      </c>
      <c r="P1318" s="2">
        <f>IFERROR(__xludf.DUMMYFUNCTION("""COMPUTED_VALUE"""),17.0)</f>
        <v>17</v>
      </c>
      <c r="Q1318" s="2">
        <f>IFERROR(__xludf.DUMMYFUNCTION("""COMPUTED_VALUE"""),10.0)</f>
        <v>10</v>
      </c>
      <c r="R1318" s="2">
        <f>IFERROR(__xludf.DUMMYFUNCTION("""COMPUTED_VALUE"""),2025.0)</f>
        <v>2025</v>
      </c>
      <c r="S1318" s="2" t="str">
        <f>IFERROR(__xludf.DUMMYFUNCTION("""COMPUTED_VALUE"""),"Digizag")</f>
        <v>Digizag</v>
      </c>
      <c r="T1318" s="2" t="str">
        <f>IFERROR(__xludf.DUMMYFUNCTION("""COMPUTED_VALUE"""),"Digizag")</f>
        <v>Digizag</v>
      </c>
      <c r="U1318" s="5">
        <f>IFERROR(__xludf.DUMMYFUNCTION("""COMPUTED_VALUE"""),79.99381380000001)</f>
        <v>79.9938138</v>
      </c>
      <c r="V1318" s="2"/>
      <c r="W1318" s="2"/>
      <c r="X1318" s="2"/>
      <c r="Y1318" s="2"/>
      <c r="Z1318" s="2"/>
    </row>
    <row r="1319">
      <c r="A1319" s="6">
        <f>IFERROR(__xludf.DUMMYFUNCTION("""COMPUTED_VALUE"""),45947.6746412037)</f>
        <v>45947.67464</v>
      </c>
      <c r="B1319" s="2" t="str">
        <f>IFERROR(__xludf.DUMMYFUNCTION("""COMPUTED_VALUE"""),"October")</f>
        <v>October</v>
      </c>
      <c r="C1319" s="2">
        <f>IFERROR(__xludf.DUMMYFUNCTION("""COMPUTED_VALUE"""),122481.0)</f>
        <v>122481</v>
      </c>
      <c r="D1319" s="2" t="str">
        <f>IFERROR(__xludf.DUMMYFUNCTION("""COMPUTED_VALUE"""),"DB12")</f>
        <v>DB12</v>
      </c>
      <c r="E1319" s="2" t="str">
        <f>IFERROR(__xludf.DUMMYFUNCTION("""COMPUTED_VALUE"""),"Imported from file Digizag.xlsx")</f>
        <v>Imported from file Digizag.xlsx</v>
      </c>
      <c r="F1319" s="2" t="str">
        <f>IFERROR(__xludf.DUMMYFUNCTION("""COMPUTED_VALUE"""),"PYS873889")</f>
        <v>PYS873889</v>
      </c>
      <c r="G1319" s="2" t="str">
        <f>IFERROR(__xludf.DUMMYFUNCTION("""COMPUTED_VALUE"""),"UAE")</f>
        <v>UAE</v>
      </c>
      <c r="H1319" s="2">
        <f>IFERROR(__xludf.DUMMYFUNCTION("""COMPUTED_VALUE"""),169.0)</f>
        <v>169</v>
      </c>
      <c r="I1319" s="2">
        <f>IFERROR(__xludf.DUMMYFUNCTION("""COMPUTED_VALUE"""),0.0)</f>
        <v>0</v>
      </c>
      <c r="J1319" s="2">
        <f>IFERROR(__xludf.DUMMYFUNCTION("""COMPUTED_VALUE"""),16.9)</f>
        <v>16.9</v>
      </c>
      <c r="K1319" s="2"/>
      <c r="L1319" s="2" t="str">
        <f>IFERROR(__xludf.DUMMYFUNCTION("""COMPUTED_VALUE"""),"Delivered")</f>
        <v>Delivered</v>
      </c>
      <c r="M1319" s="2" t="str">
        <f>IFERROR(__xludf.DUMMYFUNCTION("""COMPUTED_VALUE"""),"")</f>
        <v></v>
      </c>
      <c r="N1319" s="2" t="str">
        <f>IFERROR(__xludf.DUMMYFUNCTION("""COMPUTED_VALUE"""),"Credit, Debit , Apple Pay")</f>
        <v>Credit, Debit , Apple Pay</v>
      </c>
      <c r="O1319" s="2">
        <f>IFERROR(__xludf.DUMMYFUNCTION("""COMPUTED_VALUE"""),0.0)</f>
        <v>0</v>
      </c>
      <c r="P1319" s="2">
        <f>IFERROR(__xludf.DUMMYFUNCTION("""COMPUTED_VALUE"""),17.0)</f>
        <v>17</v>
      </c>
      <c r="Q1319" s="2">
        <f>IFERROR(__xludf.DUMMYFUNCTION("""COMPUTED_VALUE"""),10.0)</f>
        <v>10</v>
      </c>
      <c r="R1319" s="2">
        <f>IFERROR(__xludf.DUMMYFUNCTION("""COMPUTED_VALUE"""),2025.0)</f>
        <v>2025</v>
      </c>
      <c r="S1319" s="2" t="str">
        <f>IFERROR(__xludf.DUMMYFUNCTION("""COMPUTED_VALUE"""),"Digizag")</f>
        <v>Digizag</v>
      </c>
      <c r="T1319" s="2" t="str">
        <f>IFERROR(__xludf.DUMMYFUNCTION("""COMPUTED_VALUE"""),"Digizag")</f>
        <v>Digizag</v>
      </c>
      <c r="U1319" s="5">
        <f>IFERROR(__xludf.DUMMYFUNCTION("""COMPUTED_VALUE"""),46.017699182)</f>
        <v>46.01769918</v>
      </c>
      <c r="V1319" s="2"/>
      <c r="W1319" s="2"/>
      <c r="X1319" s="2"/>
      <c r="Y1319" s="2"/>
      <c r="Z1319" s="2"/>
    </row>
    <row r="1320">
      <c r="A1320" s="6">
        <f>IFERROR(__xludf.DUMMYFUNCTION("""COMPUTED_VALUE"""),45947.69835648148)</f>
        <v>45947.69836</v>
      </c>
      <c r="B1320" s="2" t="str">
        <f>IFERROR(__xludf.DUMMYFUNCTION("""COMPUTED_VALUE"""),"October")</f>
        <v>October</v>
      </c>
      <c r="C1320" s="2">
        <f>IFERROR(__xludf.DUMMYFUNCTION("""COMPUTED_VALUE"""),119627.0)</f>
        <v>119627</v>
      </c>
      <c r="D1320" s="2" t="str">
        <f>IFERROR(__xludf.DUMMYFUNCTION("""COMPUTED_VALUE"""),"82WP58")</f>
        <v>82WP58</v>
      </c>
      <c r="E1320" s="2" t="str">
        <f>IFERROR(__xludf.DUMMYFUNCTION("""COMPUTED_VALUE"""),"Imported from file DigiZag Bidding Codes.xlsx")</f>
        <v>Imported from file DigiZag Bidding Codes.xlsx</v>
      </c>
      <c r="F1320" s="2" t="str">
        <f>IFERROR(__xludf.DUMMYFUNCTION("""COMPUTED_VALUE"""),"UZP215544")</f>
        <v>UZP215544</v>
      </c>
      <c r="G1320" s="2" t="str">
        <f>IFERROR(__xludf.DUMMYFUNCTION("""COMPUTED_VALUE"""),"Kingdom of Saudi Arabia")</f>
        <v>Kingdom of Saudi Arabia</v>
      </c>
      <c r="H1320" s="2">
        <f>IFERROR(__xludf.DUMMYFUNCTION("""COMPUTED_VALUE"""),231.6)</f>
        <v>231.6</v>
      </c>
      <c r="I1320" s="2">
        <f>IFERROR(__xludf.DUMMYFUNCTION("""COMPUTED_VALUE"""),0.0)</f>
        <v>0</v>
      </c>
      <c r="J1320" s="2">
        <f>IFERROR(__xludf.DUMMYFUNCTION("""COMPUTED_VALUE"""),30.0)</f>
        <v>30</v>
      </c>
      <c r="K1320" s="2"/>
      <c r="L1320" s="2" t="str">
        <f>IFERROR(__xludf.DUMMYFUNCTION("""COMPUTED_VALUE"""),"Delivered")</f>
        <v>Delivered</v>
      </c>
      <c r="M1320" s="2" t="str">
        <f>IFERROR(__xludf.DUMMYFUNCTION("""COMPUTED_VALUE"""),"")</f>
        <v></v>
      </c>
      <c r="N1320" s="2" t="str">
        <f>IFERROR(__xludf.DUMMYFUNCTION("""COMPUTED_VALUE"""),"Credit, Debit, Apple Pay")</f>
        <v>Credit, Debit, Apple Pay</v>
      </c>
      <c r="O1320" s="2">
        <f>IFERROR(__xludf.DUMMYFUNCTION("""COMPUTED_VALUE"""),0.0)</f>
        <v>0</v>
      </c>
      <c r="P1320" s="2">
        <f>IFERROR(__xludf.DUMMYFUNCTION("""COMPUTED_VALUE"""),17.0)</f>
        <v>17</v>
      </c>
      <c r="Q1320" s="2">
        <f>IFERROR(__xludf.DUMMYFUNCTION("""COMPUTED_VALUE"""),10.0)</f>
        <v>10</v>
      </c>
      <c r="R1320" s="2">
        <f>IFERROR(__xludf.DUMMYFUNCTION("""COMPUTED_VALUE"""),2025.0)</f>
        <v>2025</v>
      </c>
      <c r="S1320" s="2" t="str">
        <f>IFERROR(__xludf.DUMMYFUNCTION("""COMPUTED_VALUE"""),"Digizag")</f>
        <v>Digizag</v>
      </c>
      <c r="T1320" s="2" t="str">
        <f>IFERROR(__xludf.DUMMYFUNCTION("""COMPUTED_VALUE"""),"Digizag")</f>
        <v>Digizag</v>
      </c>
      <c r="U1320" s="5">
        <f>IFERROR(__xludf.DUMMYFUNCTION("""COMPUTED_VALUE"""),61.755224253600005)</f>
        <v>61.75522425</v>
      </c>
      <c r="V1320" s="2"/>
      <c r="W1320" s="2"/>
      <c r="X1320" s="2"/>
      <c r="Y1320" s="2"/>
      <c r="Z1320" s="2"/>
    </row>
    <row r="1321">
      <c r="A1321" s="6">
        <f>IFERROR(__xludf.DUMMYFUNCTION("""COMPUTED_VALUE"""),45947.70265046296)</f>
        <v>45947.70265</v>
      </c>
      <c r="B1321" s="2" t="str">
        <f>IFERROR(__xludf.DUMMYFUNCTION("""COMPUTED_VALUE"""),"October")</f>
        <v>October</v>
      </c>
      <c r="C1321" s="2">
        <f>IFERROR(__xludf.DUMMYFUNCTION("""COMPUTED_VALUE"""),818138.0)</f>
        <v>818138</v>
      </c>
      <c r="D1321" s="2" t="str">
        <f>IFERROR(__xludf.DUMMYFUNCTION("""COMPUTED_VALUE"""),"DB3")</f>
        <v>DB3</v>
      </c>
      <c r="E1321" s="2" t="str">
        <f>IFERROR(__xludf.DUMMYFUNCTION("""COMPUTED_VALUE"""),"Imported from file Digizag.xlsx")</f>
        <v>Imported from file Digizag.xlsx</v>
      </c>
      <c r="F1321" s="2" t="str">
        <f>IFERROR(__xludf.DUMMYFUNCTION("""COMPUTED_VALUE"""),"JHZ679394")</f>
        <v>JHZ679394</v>
      </c>
      <c r="G1321" s="2" t="str">
        <f>IFERROR(__xludf.DUMMYFUNCTION("""COMPUTED_VALUE"""),"Kingdom of Saudi Arabia")</f>
        <v>Kingdom of Saudi Arabia</v>
      </c>
      <c r="H1321" s="2">
        <f>IFERROR(__xludf.DUMMYFUNCTION("""COMPUTED_VALUE"""),80.0)</f>
        <v>80</v>
      </c>
      <c r="I1321" s="2">
        <f>IFERROR(__xludf.DUMMYFUNCTION("""COMPUTED_VALUE"""),0.0)</f>
        <v>0</v>
      </c>
      <c r="J1321" s="2">
        <f>IFERROR(__xludf.DUMMYFUNCTION("""COMPUTED_VALUE"""),20.0)</f>
        <v>20</v>
      </c>
      <c r="K1321" s="2"/>
      <c r="L1321" s="2" t="str">
        <f>IFERROR(__xludf.DUMMYFUNCTION("""COMPUTED_VALUE"""),"Delivered")</f>
        <v>Delivered</v>
      </c>
      <c r="M1321" s="2" t="str">
        <f>IFERROR(__xludf.DUMMYFUNCTION("""COMPUTED_VALUE"""),"")</f>
        <v></v>
      </c>
      <c r="N1321" s="2" t="str">
        <f>IFERROR(__xludf.DUMMYFUNCTION("""COMPUTED_VALUE"""),"Credit, Debit, Apple Pay")</f>
        <v>Credit, Debit, Apple Pay</v>
      </c>
      <c r="O1321" s="2">
        <f>IFERROR(__xludf.DUMMYFUNCTION("""COMPUTED_VALUE"""),0.0)</f>
        <v>0</v>
      </c>
      <c r="P1321" s="2">
        <f>IFERROR(__xludf.DUMMYFUNCTION("""COMPUTED_VALUE"""),17.0)</f>
        <v>17</v>
      </c>
      <c r="Q1321" s="2">
        <f>IFERROR(__xludf.DUMMYFUNCTION("""COMPUTED_VALUE"""),10.0)</f>
        <v>10</v>
      </c>
      <c r="R1321" s="2">
        <f>IFERROR(__xludf.DUMMYFUNCTION("""COMPUTED_VALUE"""),2025.0)</f>
        <v>2025</v>
      </c>
      <c r="S1321" s="2" t="str">
        <f>IFERROR(__xludf.DUMMYFUNCTION("""COMPUTED_VALUE"""),"Digizag")</f>
        <v>Digizag</v>
      </c>
      <c r="T1321" s="2" t="str">
        <f>IFERROR(__xludf.DUMMYFUNCTION("""COMPUTED_VALUE"""),"Digizag")</f>
        <v>Digizag</v>
      </c>
      <c r="U1321" s="5">
        <f>IFERROR(__xludf.DUMMYFUNCTION("""COMPUTED_VALUE"""),21.33168368)</f>
        <v>21.33168368</v>
      </c>
      <c r="V1321" s="2"/>
      <c r="W1321" s="2"/>
      <c r="X1321" s="2"/>
      <c r="Y1321" s="2"/>
      <c r="Z1321" s="2"/>
    </row>
    <row r="1322">
      <c r="A1322" s="6">
        <f>IFERROR(__xludf.DUMMYFUNCTION("""COMPUTED_VALUE"""),45948.14376157407)</f>
        <v>45948.14376</v>
      </c>
      <c r="B1322" s="2" t="str">
        <f>IFERROR(__xludf.DUMMYFUNCTION("""COMPUTED_VALUE"""),"October")</f>
        <v>October</v>
      </c>
      <c r="C1322" s="2">
        <f>IFERROR(__xludf.DUMMYFUNCTION("""COMPUTED_VALUE"""),692273.0)</f>
        <v>692273</v>
      </c>
      <c r="D1322" s="2" t="str">
        <f>IFERROR(__xludf.DUMMYFUNCTION("""COMPUTED_VALUE"""),"DB7")</f>
        <v>DB7</v>
      </c>
      <c r="E1322" s="2" t="str">
        <f>IFERROR(__xludf.DUMMYFUNCTION("""COMPUTED_VALUE"""),"Digizag")</f>
        <v>Digizag</v>
      </c>
      <c r="F1322" s="2" t="str">
        <f>IFERROR(__xludf.DUMMYFUNCTION("""COMPUTED_VALUE"""),"UWU759681")</f>
        <v>UWU759681</v>
      </c>
      <c r="G1322" s="2" t="str">
        <f>IFERROR(__xludf.DUMMYFUNCTION("""COMPUTED_VALUE"""),"Kuwait")</f>
        <v>Kuwait</v>
      </c>
      <c r="H1322" s="2">
        <f>IFERROR(__xludf.DUMMYFUNCTION("""COMPUTED_VALUE"""),11.85)</f>
        <v>11.85</v>
      </c>
      <c r="I1322" s="2">
        <f>IFERROR(__xludf.DUMMYFUNCTION("""COMPUTED_VALUE"""),0.0)</f>
        <v>0</v>
      </c>
      <c r="J1322" s="2">
        <f>IFERROR(__xludf.DUMMYFUNCTION("""COMPUTED_VALUE"""),1.185)</f>
        <v>1.185</v>
      </c>
      <c r="K1322" s="2"/>
      <c r="L1322" s="2" t="str">
        <f>IFERROR(__xludf.DUMMYFUNCTION("""COMPUTED_VALUE"""),"Delivered")</f>
        <v>Delivered</v>
      </c>
      <c r="M1322" s="2" t="str">
        <f>IFERROR(__xludf.DUMMYFUNCTION("""COMPUTED_VALUE"""),"KD")</f>
        <v>KD</v>
      </c>
      <c r="N1322" s="2" t="str">
        <f>IFERROR(__xludf.DUMMYFUNCTION("""COMPUTED_VALUE"""),"Credit, Debit, Knet")</f>
        <v>Credit, Debit, Knet</v>
      </c>
      <c r="O1322" s="2">
        <f>IFERROR(__xludf.DUMMYFUNCTION("""COMPUTED_VALUE"""),0.0)</f>
        <v>0</v>
      </c>
      <c r="P1322" s="2">
        <f>IFERROR(__xludf.DUMMYFUNCTION("""COMPUTED_VALUE"""),18.0)</f>
        <v>18</v>
      </c>
      <c r="Q1322" s="2">
        <f>IFERROR(__xludf.DUMMYFUNCTION("""COMPUTED_VALUE"""),10.0)</f>
        <v>10</v>
      </c>
      <c r="R1322" s="2">
        <f>IFERROR(__xludf.DUMMYFUNCTION("""COMPUTED_VALUE"""),2025.0)</f>
        <v>2025</v>
      </c>
      <c r="S1322" s="2" t="str">
        <f>IFERROR(__xludf.DUMMYFUNCTION("""COMPUTED_VALUE"""),"Digizag")</f>
        <v>Digizag</v>
      </c>
      <c r="T1322" s="2" t="str">
        <f>IFERROR(__xludf.DUMMYFUNCTION("""COMPUTED_VALUE"""),"Digizag")</f>
        <v>Digizag</v>
      </c>
      <c r="U1322" s="5">
        <f>IFERROR(__xludf.DUMMYFUNCTION("""COMPUTED_VALUE"""),38.638346999999996)</f>
        <v>38.638347</v>
      </c>
      <c r="V1322" s="2"/>
      <c r="W1322" s="2"/>
      <c r="X1322" s="2"/>
      <c r="Y1322" s="2"/>
      <c r="Z1322" s="2"/>
    </row>
    <row r="1323">
      <c r="A1323" s="6">
        <f>IFERROR(__xludf.DUMMYFUNCTION("""COMPUTED_VALUE"""),45948.37403935185)</f>
        <v>45948.37404</v>
      </c>
      <c r="B1323" s="2" t="str">
        <f>IFERROR(__xludf.DUMMYFUNCTION("""COMPUTED_VALUE"""),"October")</f>
        <v>October</v>
      </c>
      <c r="C1323" s="2">
        <f>IFERROR(__xludf.DUMMYFUNCTION("""COMPUTED_VALUE"""),181778.0)</f>
        <v>181778</v>
      </c>
      <c r="D1323" s="2" t="str">
        <f>IFERROR(__xludf.DUMMYFUNCTION("""COMPUTED_VALUE"""),"CC22")</f>
        <v>CC22</v>
      </c>
      <c r="E1323" s="2" t="str">
        <f>IFERROR(__xludf.DUMMYFUNCTION("""COMPUTED_VALUE"""),"Imported from file Digizag.xlsx")</f>
        <v>Imported from file Digizag.xlsx</v>
      </c>
      <c r="F1323" s="2" t="str">
        <f>IFERROR(__xludf.DUMMYFUNCTION("""COMPUTED_VALUE"""),"CPM289159")</f>
        <v>CPM289159</v>
      </c>
      <c r="G1323" s="2" t="str">
        <f>IFERROR(__xludf.DUMMYFUNCTION("""COMPUTED_VALUE"""),"UAE")</f>
        <v>UAE</v>
      </c>
      <c r="H1323" s="2">
        <f>IFERROR(__xludf.DUMMYFUNCTION("""COMPUTED_VALUE"""),69.0)</f>
        <v>69</v>
      </c>
      <c r="I1323" s="2">
        <f>IFERROR(__xludf.DUMMYFUNCTION("""COMPUTED_VALUE"""),0.0)</f>
        <v>0</v>
      </c>
      <c r="J1323" s="2">
        <f>IFERROR(__xludf.DUMMYFUNCTION("""COMPUTED_VALUE"""),6.9)</f>
        <v>6.9</v>
      </c>
      <c r="K1323" s="2"/>
      <c r="L1323" s="2" t="str">
        <f>IFERROR(__xludf.DUMMYFUNCTION("""COMPUTED_VALUE"""),"Delivered")</f>
        <v>Delivered</v>
      </c>
      <c r="M1323" s="2" t="str">
        <f>IFERROR(__xludf.DUMMYFUNCTION("""COMPUTED_VALUE"""),"")</f>
        <v></v>
      </c>
      <c r="N1323" s="2" t="str">
        <f>IFERROR(__xludf.DUMMYFUNCTION("""COMPUTED_VALUE"""),"Credit, Debit , Apple Pay")</f>
        <v>Credit, Debit , Apple Pay</v>
      </c>
      <c r="O1323" s="2">
        <f>IFERROR(__xludf.DUMMYFUNCTION("""COMPUTED_VALUE"""),0.0)</f>
        <v>0</v>
      </c>
      <c r="P1323" s="2">
        <f>IFERROR(__xludf.DUMMYFUNCTION("""COMPUTED_VALUE"""),18.0)</f>
        <v>18</v>
      </c>
      <c r="Q1323" s="2">
        <f>IFERROR(__xludf.DUMMYFUNCTION("""COMPUTED_VALUE"""),10.0)</f>
        <v>10</v>
      </c>
      <c r="R1323" s="2">
        <f>IFERROR(__xludf.DUMMYFUNCTION("""COMPUTED_VALUE"""),2025.0)</f>
        <v>2025</v>
      </c>
      <c r="S1323" s="2" t="str">
        <f>IFERROR(__xludf.DUMMYFUNCTION("""COMPUTED_VALUE"""),"Digizag")</f>
        <v>Digizag</v>
      </c>
      <c r="T1323" s="2" t="str">
        <f>IFERROR(__xludf.DUMMYFUNCTION("""COMPUTED_VALUE"""),"Digizag")</f>
        <v>Digizag</v>
      </c>
      <c r="U1323" s="5">
        <f>IFERROR(__xludf.DUMMYFUNCTION("""COMPUTED_VALUE"""),18.788291382)</f>
        <v>18.78829138</v>
      </c>
      <c r="V1323" s="2"/>
      <c r="W1323" s="2"/>
      <c r="X1323" s="2"/>
      <c r="Y1323" s="2"/>
      <c r="Z1323" s="2"/>
    </row>
    <row r="1324">
      <c r="A1324" s="6">
        <f>IFERROR(__xludf.DUMMYFUNCTION("""COMPUTED_VALUE"""),45948.43017361111)</f>
        <v>45948.43017</v>
      </c>
      <c r="B1324" s="2" t="str">
        <f>IFERROR(__xludf.DUMMYFUNCTION("""COMPUTED_VALUE"""),"October")</f>
        <v>October</v>
      </c>
      <c r="C1324" s="2">
        <f>IFERROR(__xludf.DUMMYFUNCTION("""COMPUTED_VALUE"""),57825.0)</f>
        <v>57825</v>
      </c>
      <c r="D1324" s="2" t="str">
        <f>IFERROR(__xludf.DUMMYFUNCTION("""COMPUTED_VALUE"""),"DB7")</f>
        <v>DB7</v>
      </c>
      <c r="E1324" s="2" t="str">
        <f>IFERROR(__xludf.DUMMYFUNCTION("""COMPUTED_VALUE"""),"Digizag")</f>
        <v>Digizag</v>
      </c>
      <c r="F1324" s="2" t="str">
        <f>IFERROR(__xludf.DUMMYFUNCTION("""COMPUTED_VALUE"""),"BEX767084")</f>
        <v>BEX767084</v>
      </c>
      <c r="G1324" s="2" t="str">
        <f>IFERROR(__xludf.DUMMYFUNCTION("""COMPUTED_VALUE"""),"Kingdom of Saudi Arabia")</f>
        <v>Kingdom of Saudi Arabia</v>
      </c>
      <c r="H1324" s="2">
        <f>IFERROR(__xludf.DUMMYFUNCTION("""COMPUTED_VALUE"""),345.4)</f>
        <v>345.4</v>
      </c>
      <c r="I1324" s="2">
        <f>IFERROR(__xludf.DUMMYFUNCTION("""COMPUTED_VALUE"""),0.0)</f>
        <v>0</v>
      </c>
      <c r="J1324" s="2">
        <f>IFERROR(__xludf.DUMMYFUNCTION("""COMPUTED_VALUE"""),30.0)</f>
        <v>30</v>
      </c>
      <c r="K1324" s="2"/>
      <c r="L1324" s="2" t="str">
        <f>IFERROR(__xludf.DUMMYFUNCTION("""COMPUTED_VALUE"""),"Delivered")</f>
        <v>Delivered</v>
      </c>
      <c r="M1324" s="2" t="str">
        <f>IFERROR(__xludf.DUMMYFUNCTION("""COMPUTED_VALUE"""),"")</f>
        <v></v>
      </c>
      <c r="N1324" s="2" t="str">
        <f>IFERROR(__xludf.DUMMYFUNCTION("""COMPUTED_VALUE"""),"Credit, Debit, Apple Pay")</f>
        <v>Credit, Debit, Apple Pay</v>
      </c>
      <c r="O1324" s="2">
        <f>IFERROR(__xludf.DUMMYFUNCTION("""COMPUTED_VALUE"""),0.0)</f>
        <v>0</v>
      </c>
      <c r="P1324" s="2">
        <f>IFERROR(__xludf.DUMMYFUNCTION("""COMPUTED_VALUE"""),18.0)</f>
        <v>18</v>
      </c>
      <c r="Q1324" s="2">
        <f>IFERROR(__xludf.DUMMYFUNCTION("""COMPUTED_VALUE"""),10.0)</f>
        <v>10</v>
      </c>
      <c r="R1324" s="2">
        <f>IFERROR(__xludf.DUMMYFUNCTION("""COMPUTED_VALUE"""),2025.0)</f>
        <v>2025</v>
      </c>
      <c r="S1324" s="2" t="str">
        <f>IFERROR(__xludf.DUMMYFUNCTION("""COMPUTED_VALUE"""),"Digizag")</f>
        <v>Digizag</v>
      </c>
      <c r="T1324" s="2" t="str">
        <f>IFERROR(__xludf.DUMMYFUNCTION("""COMPUTED_VALUE"""),"Digizag")</f>
        <v>Digizag</v>
      </c>
      <c r="U1324" s="5">
        <f>IFERROR(__xludf.DUMMYFUNCTION("""COMPUTED_VALUE"""),92.0995442884)</f>
        <v>92.09954429</v>
      </c>
      <c r="V1324" s="2"/>
      <c r="W1324" s="2"/>
      <c r="X1324" s="2"/>
      <c r="Y1324" s="2"/>
      <c r="Z1324" s="2"/>
    </row>
    <row r="1325">
      <c r="A1325" s="6">
        <f>IFERROR(__xludf.DUMMYFUNCTION("""COMPUTED_VALUE"""),45948.43400462963)</f>
        <v>45948.434</v>
      </c>
      <c r="B1325" s="2" t="str">
        <f>IFERROR(__xludf.DUMMYFUNCTION("""COMPUTED_VALUE"""),"October")</f>
        <v>October</v>
      </c>
      <c r="C1325" s="2">
        <f>IFERROR(__xludf.DUMMYFUNCTION("""COMPUTED_VALUE"""),328480.0)</f>
        <v>328480</v>
      </c>
      <c r="D1325" s="2" t="str">
        <f>IFERROR(__xludf.DUMMYFUNCTION("""COMPUTED_VALUE"""),"CC22")</f>
        <v>CC22</v>
      </c>
      <c r="E1325" s="2" t="str">
        <f>IFERROR(__xludf.DUMMYFUNCTION("""COMPUTED_VALUE"""),"Imported from file Digizag.xlsx")</f>
        <v>Imported from file Digizag.xlsx</v>
      </c>
      <c r="F1325" s="2" t="str">
        <f>IFERROR(__xludf.DUMMYFUNCTION("""COMPUTED_VALUE"""),"EKA918230")</f>
        <v>EKA918230</v>
      </c>
      <c r="G1325" s="2" t="str">
        <f>IFERROR(__xludf.DUMMYFUNCTION("""COMPUTED_VALUE"""),"Kingdom of Saudi Arabia")</f>
        <v>Kingdom of Saudi Arabia</v>
      </c>
      <c r="H1325" s="2">
        <f>IFERROR(__xludf.DUMMYFUNCTION("""COMPUTED_VALUE"""),260.0)</f>
        <v>260</v>
      </c>
      <c r="I1325" s="2">
        <f>IFERROR(__xludf.DUMMYFUNCTION("""COMPUTED_VALUE"""),0.0)</f>
        <v>0</v>
      </c>
      <c r="J1325" s="2">
        <f>IFERROR(__xludf.DUMMYFUNCTION("""COMPUTED_VALUE"""),30.0)</f>
        <v>30</v>
      </c>
      <c r="K1325" s="2"/>
      <c r="L1325" s="2" t="str">
        <f>IFERROR(__xludf.DUMMYFUNCTION("""COMPUTED_VALUE"""),"Delivered")</f>
        <v>Delivered</v>
      </c>
      <c r="M1325" s="2" t="str">
        <f>IFERROR(__xludf.DUMMYFUNCTION("""COMPUTED_VALUE"""),"")</f>
        <v></v>
      </c>
      <c r="N1325" s="2" t="str">
        <f>IFERROR(__xludf.DUMMYFUNCTION("""COMPUTED_VALUE"""),"Credit, Debit, Apple Pay")</f>
        <v>Credit, Debit, Apple Pay</v>
      </c>
      <c r="O1325" s="2">
        <f>IFERROR(__xludf.DUMMYFUNCTION("""COMPUTED_VALUE"""),0.0)</f>
        <v>0</v>
      </c>
      <c r="P1325" s="2">
        <f>IFERROR(__xludf.DUMMYFUNCTION("""COMPUTED_VALUE"""),18.0)</f>
        <v>18</v>
      </c>
      <c r="Q1325" s="2">
        <f>IFERROR(__xludf.DUMMYFUNCTION("""COMPUTED_VALUE"""),10.0)</f>
        <v>10</v>
      </c>
      <c r="R1325" s="2">
        <f>IFERROR(__xludf.DUMMYFUNCTION("""COMPUTED_VALUE"""),2025.0)</f>
        <v>2025</v>
      </c>
      <c r="S1325" s="2" t="str">
        <f>IFERROR(__xludf.DUMMYFUNCTION("""COMPUTED_VALUE"""),"Digizag")</f>
        <v>Digizag</v>
      </c>
      <c r="T1325" s="2" t="str">
        <f>IFERROR(__xludf.DUMMYFUNCTION("""COMPUTED_VALUE"""),"Digizag")</f>
        <v>Digizag</v>
      </c>
      <c r="U1325" s="5">
        <f>IFERROR(__xludf.DUMMYFUNCTION("""COMPUTED_VALUE"""),69.32797196000001)</f>
        <v>69.32797196</v>
      </c>
      <c r="V1325" s="2"/>
      <c r="W1325" s="2"/>
      <c r="X1325" s="2"/>
      <c r="Y1325" s="2"/>
      <c r="Z1325" s="2"/>
    </row>
    <row r="1326">
      <c r="A1326" s="6">
        <f>IFERROR(__xludf.DUMMYFUNCTION("""COMPUTED_VALUE"""),45948.47769675926)</f>
        <v>45948.4777</v>
      </c>
      <c r="B1326" s="2" t="str">
        <f>IFERROR(__xludf.DUMMYFUNCTION("""COMPUTED_VALUE"""),"October")</f>
        <v>October</v>
      </c>
      <c r="C1326" s="2">
        <f>IFERROR(__xludf.DUMMYFUNCTION("""COMPUTED_VALUE"""),20174.0)</f>
        <v>20174</v>
      </c>
      <c r="D1326" s="2" t="str">
        <f>IFERROR(__xludf.DUMMYFUNCTION("""COMPUTED_VALUE"""),"DB7")</f>
        <v>DB7</v>
      </c>
      <c r="E1326" s="2" t="str">
        <f>IFERROR(__xludf.DUMMYFUNCTION("""COMPUTED_VALUE"""),"Digizag")</f>
        <v>Digizag</v>
      </c>
      <c r="F1326" s="2" t="str">
        <f>IFERROR(__xludf.DUMMYFUNCTION("""COMPUTED_VALUE"""),"GBV556588")</f>
        <v>GBV556588</v>
      </c>
      <c r="G1326" s="2" t="str">
        <f>IFERROR(__xludf.DUMMYFUNCTION("""COMPUTED_VALUE"""),"Bahrain")</f>
        <v>Bahrain</v>
      </c>
      <c r="H1326" s="2">
        <f>IFERROR(__xludf.DUMMYFUNCTION("""COMPUTED_VALUE"""),15.36)</f>
        <v>15.36</v>
      </c>
      <c r="I1326" s="2">
        <f>IFERROR(__xludf.DUMMYFUNCTION("""COMPUTED_VALUE"""),0.0)</f>
        <v>0</v>
      </c>
      <c r="J1326" s="2">
        <f>IFERROR(__xludf.DUMMYFUNCTION("""COMPUTED_VALUE"""),1.53)</f>
        <v>1.53</v>
      </c>
      <c r="K1326" s="2"/>
      <c r="L1326" s="2" t="str">
        <f>IFERROR(__xludf.DUMMYFUNCTION("""COMPUTED_VALUE"""),"Delivered")</f>
        <v>Delivered</v>
      </c>
      <c r="M1326" s="2" t="str">
        <f>IFERROR(__xludf.DUMMYFUNCTION("""COMPUTED_VALUE"""),"BHD")</f>
        <v>BHD</v>
      </c>
      <c r="N1326" s="2" t="str">
        <f>IFERROR(__xludf.DUMMYFUNCTION("""COMPUTED_VALUE"""),"Credit, Debit")</f>
        <v>Credit, Debit</v>
      </c>
      <c r="O1326" s="2">
        <f>IFERROR(__xludf.DUMMYFUNCTION("""COMPUTED_VALUE"""),0.0)</f>
        <v>0</v>
      </c>
      <c r="P1326" s="2">
        <f>IFERROR(__xludf.DUMMYFUNCTION("""COMPUTED_VALUE"""),18.0)</f>
        <v>18</v>
      </c>
      <c r="Q1326" s="2">
        <f>IFERROR(__xludf.DUMMYFUNCTION("""COMPUTED_VALUE"""),10.0)</f>
        <v>10</v>
      </c>
      <c r="R1326" s="2">
        <f>IFERROR(__xludf.DUMMYFUNCTION("""COMPUTED_VALUE"""),2025.0)</f>
        <v>2025</v>
      </c>
      <c r="S1326" s="2" t="str">
        <f>IFERROR(__xludf.DUMMYFUNCTION("""COMPUTED_VALUE"""),"Digizag")</f>
        <v>Digizag</v>
      </c>
      <c r="T1326" s="2" t="str">
        <f>IFERROR(__xludf.DUMMYFUNCTION("""COMPUTED_VALUE"""),"Digizag")</f>
        <v>Digizag</v>
      </c>
      <c r="U1326" s="5">
        <f>IFERROR(__xludf.DUMMYFUNCTION("""COMPUTED_VALUE"""),40.74880512)</f>
        <v>40.74880512</v>
      </c>
      <c r="V1326" s="2"/>
      <c r="W1326" s="2"/>
      <c r="X1326" s="2"/>
      <c r="Y1326" s="2"/>
      <c r="Z1326" s="2"/>
    </row>
    <row r="1327">
      <c r="A1327" s="6">
        <f>IFERROR(__xludf.DUMMYFUNCTION("""COMPUTED_VALUE"""),45948.54875)</f>
        <v>45948.54875</v>
      </c>
      <c r="B1327" s="2" t="str">
        <f>IFERROR(__xludf.DUMMYFUNCTION("""COMPUTED_VALUE"""),"October")</f>
        <v>October</v>
      </c>
      <c r="C1327" s="2">
        <f>IFERROR(__xludf.DUMMYFUNCTION("""COMPUTED_VALUE"""),82801.0)</f>
        <v>82801</v>
      </c>
      <c r="D1327" s="2" t="str">
        <f>IFERROR(__xludf.DUMMYFUNCTION("""COMPUTED_VALUE"""),"ZM22")</f>
        <v>ZM22</v>
      </c>
      <c r="E1327" s="2" t="str">
        <f>IFERROR(__xludf.DUMMYFUNCTION("""COMPUTED_VALUE"""),"Imported from file Digizag.xlsx")</f>
        <v>Imported from file Digizag.xlsx</v>
      </c>
      <c r="F1327" s="2" t="str">
        <f>IFERROR(__xludf.DUMMYFUNCTION("""COMPUTED_VALUE"""),"QZG901037")</f>
        <v>QZG901037</v>
      </c>
      <c r="G1327" s="2" t="str">
        <f>IFERROR(__xludf.DUMMYFUNCTION("""COMPUTED_VALUE"""),"Kingdom of Saudi Arabia")</f>
        <v>Kingdom of Saudi Arabia</v>
      </c>
      <c r="H1327" s="2">
        <f>IFERROR(__xludf.DUMMYFUNCTION("""COMPUTED_VALUE"""),103.0)</f>
        <v>103</v>
      </c>
      <c r="I1327" s="2">
        <f>IFERROR(__xludf.DUMMYFUNCTION("""COMPUTED_VALUE"""),0.0)</f>
        <v>0</v>
      </c>
      <c r="J1327" s="2">
        <f>IFERROR(__xludf.DUMMYFUNCTION("""COMPUTED_VALUE"""),25.75)</f>
        <v>25.75</v>
      </c>
      <c r="K1327" s="2"/>
      <c r="L1327" s="2" t="str">
        <f>IFERROR(__xludf.DUMMYFUNCTION("""COMPUTED_VALUE"""),"Processing")</f>
        <v>Processing</v>
      </c>
      <c r="M1327" s="2" t="str">
        <f>IFERROR(__xludf.DUMMYFUNCTION("""COMPUTED_VALUE"""),"")</f>
        <v></v>
      </c>
      <c r="N1327" s="2" t="str">
        <f>IFERROR(__xludf.DUMMYFUNCTION("""COMPUTED_VALUE"""),"Credit, Debit, Apple Pay")</f>
        <v>Credit, Debit, Apple Pay</v>
      </c>
      <c r="O1327" s="2">
        <f>IFERROR(__xludf.DUMMYFUNCTION("""COMPUTED_VALUE"""),0.0)</f>
        <v>0</v>
      </c>
      <c r="P1327" s="2">
        <f>IFERROR(__xludf.DUMMYFUNCTION("""COMPUTED_VALUE"""),18.0)</f>
        <v>18</v>
      </c>
      <c r="Q1327" s="2">
        <f>IFERROR(__xludf.DUMMYFUNCTION("""COMPUTED_VALUE"""),10.0)</f>
        <v>10</v>
      </c>
      <c r="R1327" s="2">
        <f>IFERROR(__xludf.DUMMYFUNCTION("""COMPUTED_VALUE"""),2025.0)</f>
        <v>2025</v>
      </c>
      <c r="S1327" s="2" t="str">
        <f>IFERROR(__xludf.DUMMYFUNCTION("""COMPUTED_VALUE"""),"Digizag")</f>
        <v>Digizag</v>
      </c>
      <c r="T1327" s="2" t="str">
        <f>IFERROR(__xludf.DUMMYFUNCTION("""COMPUTED_VALUE"""),"Digizag")</f>
        <v>Digizag</v>
      </c>
      <c r="U1327" s="5">
        <f>IFERROR(__xludf.DUMMYFUNCTION("""COMPUTED_VALUE"""),27.464542738000002)</f>
        <v>27.46454274</v>
      </c>
      <c r="V1327" s="2"/>
      <c r="W1327" s="2"/>
      <c r="X1327" s="2"/>
      <c r="Y1327" s="2"/>
      <c r="Z1327" s="2"/>
    </row>
    <row r="1328">
      <c r="A1328" s="6">
        <f>IFERROR(__xludf.DUMMYFUNCTION("""COMPUTED_VALUE"""),45948.57908564815)</f>
        <v>45948.57909</v>
      </c>
      <c r="B1328" s="2" t="str">
        <f>IFERROR(__xludf.DUMMYFUNCTION("""COMPUTED_VALUE"""),"October")</f>
        <v>October</v>
      </c>
      <c r="C1328" s="2">
        <f>IFERROR(__xludf.DUMMYFUNCTION("""COMPUTED_VALUE"""),66260.0)</f>
        <v>66260</v>
      </c>
      <c r="D1328" s="2" t="str">
        <f>IFERROR(__xludf.DUMMYFUNCTION("""COMPUTED_VALUE"""),"DB6")</f>
        <v>DB6</v>
      </c>
      <c r="E1328" s="2" t="str">
        <f>IFERROR(__xludf.DUMMYFUNCTION("""COMPUTED_VALUE"""),"Digizag")</f>
        <v>Digizag</v>
      </c>
      <c r="F1328" s="2" t="str">
        <f>IFERROR(__xludf.DUMMYFUNCTION("""COMPUTED_VALUE"""),"WPS180058")</f>
        <v>WPS180058</v>
      </c>
      <c r="G1328" s="2" t="str">
        <f>IFERROR(__xludf.DUMMYFUNCTION("""COMPUTED_VALUE"""),"Kuwait")</f>
        <v>Kuwait</v>
      </c>
      <c r="H1328" s="2">
        <f>IFERROR(__xludf.DUMMYFUNCTION("""COMPUTED_VALUE"""),11.21)</f>
        <v>11.21</v>
      </c>
      <c r="I1328" s="2">
        <f>IFERROR(__xludf.DUMMYFUNCTION("""COMPUTED_VALUE"""),0.0)</f>
        <v>0</v>
      </c>
      <c r="J1328" s="2">
        <f>IFERROR(__xludf.DUMMYFUNCTION("""COMPUTED_VALUE"""),1.121)</f>
        <v>1.121</v>
      </c>
      <c r="K1328" s="2"/>
      <c r="L1328" s="2" t="str">
        <f>IFERROR(__xludf.DUMMYFUNCTION("""COMPUTED_VALUE"""),"Delivered")</f>
        <v>Delivered</v>
      </c>
      <c r="M1328" s="2" t="str">
        <f>IFERROR(__xludf.DUMMYFUNCTION("""COMPUTED_VALUE"""),"KD")</f>
        <v>KD</v>
      </c>
      <c r="N1328" s="2" t="str">
        <f>IFERROR(__xludf.DUMMYFUNCTION("""COMPUTED_VALUE"""),"Cash")</f>
        <v>Cash</v>
      </c>
      <c r="O1328" s="2">
        <f>IFERROR(__xludf.DUMMYFUNCTION("""COMPUTED_VALUE"""),0.0)</f>
        <v>0</v>
      </c>
      <c r="P1328" s="2">
        <f>IFERROR(__xludf.DUMMYFUNCTION("""COMPUTED_VALUE"""),18.0)</f>
        <v>18</v>
      </c>
      <c r="Q1328" s="2">
        <f>IFERROR(__xludf.DUMMYFUNCTION("""COMPUTED_VALUE"""),10.0)</f>
        <v>10</v>
      </c>
      <c r="R1328" s="2">
        <f>IFERROR(__xludf.DUMMYFUNCTION("""COMPUTED_VALUE"""),2025.0)</f>
        <v>2025</v>
      </c>
      <c r="S1328" s="2" t="str">
        <f>IFERROR(__xludf.DUMMYFUNCTION("""COMPUTED_VALUE"""),"Digizag")</f>
        <v>Digizag</v>
      </c>
      <c r="T1328" s="2" t="str">
        <f>IFERROR(__xludf.DUMMYFUNCTION("""COMPUTED_VALUE"""),"Digizag")</f>
        <v>Digizag</v>
      </c>
      <c r="U1328" s="5">
        <f>IFERROR(__xludf.DUMMYFUNCTION("""COMPUTED_VALUE"""),36.5515502)</f>
        <v>36.5515502</v>
      </c>
      <c r="V1328" s="2"/>
      <c r="W1328" s="2"/>
      <c r="X1328" s="2"/>
      <c r="Y1328" s="2"/>
      <c r="Z1328" s="2"/>
    </row>
    <row r="1329">
      <c r="A1329" s="6">
        <f>IFERROR(__xludf.DUMMYFUNCTION("""COMPUTED_VALUE"""),45948.584814814814)</f>
        <v>45948.58481</v>
      </c>
      <c r="B1329" s="2" t="str">
        <f>IFERROR(__xludf.DUMMYFUNCTION("""COMPUTED_VALUE"""),"October")</f>
        <v>October</v>
      </c>
      <c r="C1329" s="2">
        <f>IFERROR(__xludf.DUMMYFUNCTION("""COMPUTED_VALUE"""),727871.0)</f>
        <v>727871</v>
      </c>
      <c r="D1329" s="2" t="str">
        <f>IFERROR(__xludf.DUMMYFUNCTION("""COMPUTED_VALUE"""),"DB7")</f>
        <v>DB7</v>
      </c>
      <c r="E1329" s="2" t="str">
        <f>IFERROR(__xludf.DUMMYFUNCTION("""COMPUTED_VALUE"""),"Digizag")</f>
        <v>Digizag</v>
      </c>
      <c r="F1329" s="2" t="str">
        <f>IFERROR(__xludf.DUMMYFUNCTION("""COMPUTED_VALUE"""),"BQV858659")</f>
        <v>BQV858659</v>
      </c>
      <c r="G1329" s="2" t="str">
        <f>IFERROR(__xludf.DUMMYFUNCTION("""COMPUTED_VALUE"""),"Kingdom of Saudi Arabia")</f>
        <v>Kingdom of Saudi Arabia</v>
      </c>
      <c r="H1329" s="2">
        <f>IFERROR(__xludf.DUMMYFUNCTION("""COMPUTED_VALUE"""),1295.99)</f>
        <v>1295.99</v>
      </c>
      <c r="I1329" s="2">
        <f>IFERROR(__xludf.DUMMYFUNCTION("""COMPUTED_VALUE"""),0.0)</f>
        <v>0</v>
      </c>
      <c r="J1329" s="2">
        <f>IFERROR(__xludf.DUMMYFUNCTION("""COMPUTED_VALUE"""),30.0)</f>
        <v>30</v>
      </c>
      <c r="K1329" s="2"/>
      <c r="L1329" s="2" t="str">
        <f>IFERROR(__xludf.DUMMYFUNCTION("""COMPUTED_VALUE"""),"Delivered")</f>
        <v>Delivered</v>
      </c>
      <c r="M1329" s="2" t="str">
        <f>IFERROR(__xludf.DUMMYFUNCTION("""COMPUTED_VALUE"""),"")</f>
        <v></v>
      </c>
      <c r="N1329" s="2" t="str">
        <f>IFERROR(__xludf.DUMMYFUNCTION("""COMPUTED_VALUE"""),"Credit, Debit, Apple Pay")</f>
        <v>Credit, Debit, Apple Pay</v>
      </c>
      <c r="O1329" s="2">
        <f>IFERROR(__xludf.DUMMYFUNCTION("""COMPUTED_VALUE"""),0.0)</f>
        <v>0</v>
      </c>
      <c r="P1329" s="2">
        <f>IFERROR(__xludf.DUMMYFUNCTION("""COMPUTED_VALUE"""),18.0)</f>
        <v>18</v>
      </c>
      <c r="Q1329" s="2">
        <f>IFERROR(__xludf.DUMMYFUNCTION("""COMPUTED_VALUE"""),10.0)</f>
        <v>10</v>
      </c>
      <c r="R1329" s="2">
        <f>IFERROR(__xludf.DUMMYFUNCTION("""COMPUTED_VALUE"""),2025.0)</f>
        <v>2025</v>
      </c>
      <c r="S1329" s="2" t="str">
        <f>IFERROR(__xludf.DUMMYFUNCTION("""COMPUTED_VALUE"""),"Digizag")</f>
        <v>Digizag</v>
      </c>
      <c r="T1329" s="2" t="str">
        <f>IFERROR(__xludf.DUMMYFUNCTION("""COMPUTED_VALUE"""),"Digizag")</f>
        <v>Digizag</v>
      </c>
      <c r="U1329" s="5">
        <f>IFERROR(__xludf.DUMMYFUNCTION("""COMPUTED_VALUE"""),345.57060915554)</f>
        <v>345.5706092</v>
      </c>
      <c r="V1329" s="2"/>
      <c r="W1329" s="2"/>
      <c r="X1329" s="2"/>
      <c r="Y1329" s="2"/>
      <c r="Z1329" s="2"/>
    </row>
    <row r="1330">
      <c r="A1330" s="6">
        <f>IFERROR(__xludf.DUMMYFUNCTION("""COMPUTED_VALUE"""),45948.587118055555)</f>
        <v>45948.58712</v>
      </c>
      <c r="B1330" s="2" t="str">
        <f>IFERROR(__xludf.DUMMYFUNCTION("""COMPUTED_VALUE"""),"October")</f>
        <v>October</v>
      </c>
      <c r="C1330" s="2">
        <f>IFERROR(__xludf.DUMMYFUNCTION("""COMPUTED_VALUE"""),6497.0)</f>
        <v>6497</v>
      </c>
      <c r="D1330" s="2" t="str">
        <f>IFERROR(__xludf.DUMMYFUNCTION("""COMPUTED_VALUE"""),"82WP58")</f>
        <v>82WP58</v>
      </c>
      <c r="E1330" s="2" t="str">
        <f>IFERROR(__xludf.DUMMYFUNCTION("""COMPUTED_VALUE"""),"Imported from file DigiZag Bidding Codes.xlsx")</f>
        <v>Imported from file DigiZag Bidding Codes.xlsx</v>
      </c>
      <c r="F1330" s="2" t="str">
        <f>IFERROR(__xludf.DUMMYFUNCTION("""COMPUTED_VALUE"""),"EAZ410207")</f>
        <v>EAZ410207</v>
      </c>
      <c r="G1330" s="2" t="str">
        <f>IFERROR(__xludf.DUMMYFUNCTION("""COMPUTED_VALUE"""),"Kingdom of Saudi Arabia")</f>
        <v>Kingdom of Saudi Arabia</v>
      </c>
      <c r="H1330" s="2">
        <f>IFERROR(__xludf.DUMMYFUNCTION("""COMPUTED_VALUE"""),285.3)</f>
        <v>285.3</v>
      </c>
      <c r="I1330" s="2">
        <f>IFERROR(__xludf.DUMMYFUNCTION("""COMPUTED_VALUE"""),1.0)</f>
        <v>1</v>
      </c>
      <c r="J1330" s="2">
        <f>IFERROR(__xludf.DUMMYFUNCTION("""COMPUTED_VALUE"""),30.0)</f>
        <v>30</v>
      </c>
      <c r="K1330" s="2"/>
      <c r="L1330" s="2" t="str">
        <f>IFERROR(__xludf.DUMMYFUNCTION("""COMPUTED_VALUE"""),"Cancelled")</f>
        <v>Cancelled</v>
      </c>
      <c r="M1330" s="2" t="str">
        <f>IFERROR(__xludf.DUMMYFUNCTION("""COMPUTED_VALUE"""),"")</f>
        <v></v>
      </c>
      <c r="N1330" s="2" t="str">
        <f>IFERROR(__xludf.DUMMYFUNCTION("""COMPUTED_VALUE"""),"Pay in 4. No interest, no fees")</f>
        <v>Pay in 4. No interest, no fees</v>
      </c>
      <c r="O1330" s="2">
        <f>IFERROR(__xludf.DUMMYFUNCTION("""COMPUTED_VALUE"""),255.3)</f>
        <v>255.3</v>
      </c>
      <c r="P1330" s="2">
        <f>IFERROR(__xludf.DUMMYFUNCTION("""COMPUTED_VALUE"""),18.0)</f>
        <v>18</v>
      </c>
      <c r="Q1330" s="2">
        <f>IFERROR(__xludf.DUMMYFUNCTION("""COMPUTED_VALUE"""),10.0)</f>
        <v>10</v>
      </c>
      <c r="R1330" s="2">
        <f>IFERROR(__xludf.DUMMYFUNCTION("""COMPUTED_VALUE"""),2025.0)</f>
        <v>2025</v>
      </c>
      <c r="S1330" s="2" t="str">
        <f>IFERROR(__xludf.DUMMYFUNCTION("""COMPUTED_VALUE"""),"Digizag")</f>
        <v>Digizag</v>
      </c>
      <c r="T1330" s="2" t="str">
        <f>IFERROR(__xludf.DUMMYFUNCTION("""COMPUTED_VALUE"""),"Digizag")</f>
        <v>Digizag</v>
      </c>
      <c r="U1330" s="5">
        <f>IFERROR(__xludf.DUMMYFUNCTION("""COMPUTED_VALUE"""),76.0741169238)</f>
        <v>76.07411692</v>
      </c>
      <c r="V1330" s="2"/>
      <c r="W1330" s="2"/>
      <c r="X1330" s="2"/>
      <c r="Y1330" s="2"/>
      <c r="Z1330" s="2"/>
    </row>
    <row r="1331">
      <c r="A1331" s="6">
        <f>IFERROR(__xludf.DUMMYFUNCTION("""COMPUTED_VALUE"""),45948.62372685185)</f>
        <v>45948.62373</v>
      </c>
      <c r="B1331" s="2" t="str">
        <f>IFERROR(__xludf.DUMMYFUNCTION("""COMPUTED_VALUE"""),"October")</f>
        <v>October</v>
      </c>
      <c r="C1331" s="2">
        <f>IFERROR(__xludf.DUMMYFUNCTION("""COMPUTED_VALUE"""),818838.0)</f>
        <v>818838</v>
      </c>
      <c r="D1331" s="2" t="str">
        <f>IFERROR(__xludf.DUMMYFUNCTION("""COMPUTED_VALUE"""),"DB12")</f>
        <v>DB12</v>
      </c>
      <c r="E1331" s="2" t="str">
        <f>IFERROR(__xludf.DUMMYFUNCTION("""COMPUTED_VALUE"""),"Imported from file Digizag.xlsx")</f>
        <v>Imported from file Digizag.xlsx</v>
      </c>
      <c r="F1331" s="2" t="str">
        <f>IFERROR(__xludf.DUMMYFUNCTION("""COMPUTED_VALUE"""),"YXU685677")</f>
        <v>YXU685677</v>
      </c>
      <c r="G1331" s="2" t="str">
        <f>IFERROR(__xludf.DUMMYFUNCTION("""COMPUTED_VALUE"""),"Kingdom of Saudi Arabia")</f>
        <v>Kingdom of Saudi Arabia</v>
      </c>
      <c r="H1331" s="2">
        <f>IFERROR(__xludf.DUMMYFUNCTION("""COMPUTED_VALUE"""),94.87)</f>
        <v>94.87</v>
      </c>
      <c r="I1331" s="2">
        <f>IFERROR(__xludf.DUMMYFUNCTION("""COMPUTED_VALUE"""),0.0)</f>
        <v>0</v>
      </c>
      <c r="J1331" s="2">
        <f>IFERROR(__xludf.DUMMYFUNCTION("""COMPUTED_VALUE"""),23.71)</f>
        <v>23.71</v>
      </c>
      <c r="K1331" s="2"/>
      <c r="L1331" s="2" t="str">
        <f>IFERROR(__xludf.DUMMYFUNCTION("""COMPUTED_VALUE"""),"Delivered")</f>
        <v>Delivered</v>
      </c>
      <c r="M1331" s="2" t="str">
        <f>IFERROR(__xludf.DUMMYFUNCTION("""COMPUTED_VALUE"""),"")</f>
        <v></v>
      </c>
      <c r="N1331" s="2" t="str">
        <f>IFERROR(__xludf.DUMMYFUNCTION("""COMPUTED_VALUE"""),"Credit, Debit, Apple Pay")</f>
        <v>Credit, Debit, Apple Pay</v>
      </c>
      <c r="O1331" s="2">
        <f>IFERROR(__xludf.DUMMYFUNCTION("""COMPUTED_VALUE"""),0.0)</f>
        <v>0</v>
      </c>
      <c r="P1331" s="2">
        <f>IFERROR(__xludf.DUMMYFUNCTION("""COMPUTED_VALUE"""),18.0)</f>
        <v>18</v>
      </c>
      <c r="Q1331" s="2">
        <f>IFERROR(__xludf.DUMMYFUNCTION("""COMPUTED_VALUE"""),10.0)</f>
        <v>10</v>
      </c>
      <c r="R1331" s="2">
        <f>IFERROR(__xludf.DUMMYFUNCTION("""COMPUTED_VALUE"""),2025.0)</f>
        <v>2025</v>
      </c>
      <c r="S1331" s="2" t="str">
        <f>IFERROR(__xludf.DUMMYFUNCTION("""COMPUTED_VALUE"""),"Digizag")</f>
        <v>Digizag</v>
      </c>
      <c r="T1331" s="2" t="str">
        <f>IFERROR(__xludf.DUMMYFUNCTION("""COMPUTED_VALUE"""),"Digizag")</f>
        <v>Digizag</v>
      </c>
      <c r="U1331" s="5">
        <f>IFERROR(__xludf.DUMMYFUNCTION("""COMPUTED_VALUE"""),25.296710384020002)</f>
        <v>25.29671038</v>
      </c>
      <c r="V1331" s="2"/>
      <c r="W1331" s="2"/>
      <c r="X1331" s="2"/>
      <c r="Y1331" s="2"/>
      <c r="Z1331" s="2"/>
    </row>
    <row r="1332">
      <c r="A1332" s="6">
        <f>IFERROR(__xludf.DUMMYFUNCTION("""COMPUTED_VALUE"""),45948.65803240741)</f>
        <v>45948.65803</v>
      </c>
      <c r="B1332" s="2" t="str">
        <f>IFERROR(__xludf.DUMMYFUNCTION("""COMPUTED_VALUE"""),"October")</f>
        <v>October</v>
      </c>
      <c r="C1332" s="2">
        <f>IFERROR(__xludf.DUMMYFUNCTION("""COMPUTED_VALUE"""),100378.0)</f>
        <v>100378</v>
      </c>
      <c r="D1332" s="2" t="str">
        <f>IFERROR(__xludf.DUMMYFUNCTION("""COMPUTED_VALUE"""),"82WP58")</f>
        <v>82WP58</v>
      </c>
      <c r="E1332" s="2" t="str">
        <f>IFERROR(__xludf.DUMMYFUNCTION("""COMPUTED_VALUE"""),"Imported from file DigiZag Bidding Codes.xlsx")</f>
        <v>Imported from file DigiZag Bidding Codes.xlsx</v>
      </c>
      <c r="F1332" s="2" t="str">
        <f>IFERROR(__xludf.DUMMYFUNCTION("""COMPUTED_VALUE"""),"KRV631580")</f>
        <v>KRV631580</v>
      </c>
      <c r="G1332" s="2" t="str">
        <f>IFERROR(__xludf.DUMMYFUNCTION("""COMPUTED_VALUE"""),"Kingdom of Saudi Arabia")</f>
        <v>Kingdom of Saudi Arabia</v>
      </c>
      <c r="H1332" s="2">
        <f>IFERROR(__xludf.DUMMYFUNCTION("""COMPUTED_VALUE"""),120.9)</f>
        <v>120.9</v>
      </c>
      <c r="I1332" s="2">
        <f>IFERROR(__xludf.DUMMYFUNCTION("""COMPUTED_VALUE"""),0.0)</f>
        <v>0</v>
      </c>
      <c r="J1332" s="2">
        <f>IFERROR(__xludf.DUMMYFUNCTION("""COMPUTED_VALUE"""),30.0)</f>
        <v>30</v>
      </c>
      <c r="K1332" s="2"/>
      <c r="L1332" s="2" t="str">
        <f>IFERROR(__xludf.DUMMYFUNCTION("""COMPUTED_VALUE"""),"Delivered")</f>
        <v>Delivered</v>
      </c>
      <c r="M1332" s="2" t="str">
        <f>IFERROR(__xludf.DUMMYFUNCTION("""COMPUTED_VALUE"""),"")</f>
        <v></v>
      </c>
      <c r="N1332" s="2" t="str">
        <f>IFERROR(__xludf.DUMMYFUNCTION("""COMPUTED_VALUE"""),"Credit, Debit, Apple Pay")</f>
        <v>Credit, Debit, Apple Pay</v>
      </c>
      <c r="O1332" s="2">
        <f>IFERROR(__xludf.DUMMYFUNCTION("""COMPUTED_VALUE"""),0.0)</f>
        <v>0</v>
      </c>
      <c r="P1332" s="2">
        <f>IFERROR(__xludf.DUMMYFUNCTION("""COMPUTED_VALUE"""),18.0)</f>
        <v>18</v>
      </c>
      <c r="Q1332" s="2">
        <f>IFERROR(__xludf.DUMMYFUNCTION("""COMPUTED_VALUE"""),10.0)</f>
        <v>10</v>
      </c>
      <c r="R1332" s="2">
        <f>IFERROR(__xludf.DUMMYFUNCTION("""COMPUTED_VALUE"""),2025.0)</f>
        <v>2025</v>
      </c>
      <c r="S1332" s="2" t="str">
        <f>IFERROR(__xludf.DUMMYFUNCTION("""COMPUTED_VALUE"""),"Digizag")</f>
        <v>Digizag</v>
      </c>
      <c r="T1332" s="2" t="str">
        <f>IFERROR(__xludf.DUMMYFUNCTION("""COMPUTED_VALUE"""),"Digizag")</f>
        <v>Digizag</v>
      </c>
      <c r="U1332" s="5">
        <f>IFERROR(__xludf.DUMMYFUNCTION("""COMPUTED_VALUE"""),32.2375069614)</f>
        <v>32.23750696</v>
      </c>
      <c r="V1332" s="2"/>
      <c r="W1332" s="2"/>
      <c r="X1332" s="2"/>
      <c r="Y1332" s="2"/>
      <c r="Z1332" s="2"/>
    </row>
    <row r="1333">
      <c r="A1333" s="6">
        <f>IFERROR(__xludf.DUMMYFUNCTION("""COMPUTED_VALUE"""),45948.69364583334)</f>
        <v>45948.69365</v>
      </c>
      <c r="B1333" s="2" t="str">
        <f>IFERROR(__xludf.DUMMYFUNCTION("""COMPUTED_VALUE"""),"October")</f>
        <v>October</v>
      </c>
      <c r="C1333" s="2">
        <f>IFERROR(__xludf.DUMMYFUNCTION("""COMPUTED_VALUE"""),174418.0)</f>
        <v>174418</v>
      </c>
      <c r="D1333" s="2" t="str">
        <f>IFERROR(__xludf.DUMMYFUNCTION("""COMPUTED_VALUE"""),"82WP58")</f>
        <v>82WP58</v>
      </c>
      <c r="E1333" s="2" t="str">
        <f>IFERROR(__xludf.DUMMYFUNCTION("""COMPUTED_VALUE"""),"Imported from file DigiZag Bidding Codes.xlsx")</f>
        <v>Imported from file DigiZag Bidding Codes.xlsx</v>
      </c>
      <c r="F1333" s="2" t="str">
        <f>IFERROR(__xludf.DUMMYFUNCTION("""COMPUTED_VALUE"""),"SGS420426")</f>
        <v>SGS420426</v>
      </c>
      <c r="G1333" s="2" t="str">
        <f>IFERROR(__xludf.DUMMYFUNCTION("""COMPUTED_VALUE"""),"Kingdom of Saudi Arabia")</f>
        <v>Kingdom of Saudi Arabia</v>
      </c>
      <c r="H1333" s="2">
        <f>IFERROR(__xludf.DUMMYFUNCTION("""COMPUTED_VALUE"""),219.06)</f>
        <v>219.06</v>
      </c>
      <c r="I1333" s="2">
        <f>IFERROR(__xludf.DUMMYFUNCTION("""COMPUTED_VALUE"""),0.0)</f>
        <v>0</v>
      </c>
      <c r="J1333" s="2">
        <f>IFERROR(__xludf.DUMMYFUNCTION("""COMPUTED_VALUE"""),30.0)</f>
        <v>30</v>
      </c>
      <c r="K1333" s="2"/>
      <c r="L1333" s="2" t="str">
        <f>IFERROR(__xludf.DUMMYFUNCTION("""COMPUTED_VALUE"""),"Processing")</f>
        <v>Processing</v>
      </c>
      <c r="M1333" s="2" t="str">
        <f>IFERROR(__xludf.DUMMYFUNCTION("""COMPUTED_VALUE"""),"")</f>
        <v></v>
      </c>
      <c r="N1333" s="2" t="str">
        <f>IFERROR(__xludf.DUMMYFUNCTION("""COMPUTED_VALUE"""),"Cash")</f>
        <v>Cash</v>
      </c>
      <c r="O1333" s="2">
        <f>IFERROR(__xludf.DUMMYFUNCTION("""COMPUTED_VALUE"""),0.0)</f>
        <v>0</v>
      </c>
      <c r="P1333" s="2">
        <f>IFERROR(__xludf.DUMMYFUNCTION("""COMPUTED_VALUE"""),18.0)</f>
        <v>18</v>
      </c>
      <c r="Q1333" s="2">
        <f>IFERROR(__xludf.DUMMYFUNCTION("""COMPUTED_VALUE"""),10.0)</f>
        <v>10</v>
      </c>
      <c r="R1333" s="2">
        <f>IFERROR(__xludf.DUMMYFUNCTION("""COMPUTED_VALUE"""),2025.0)</f>
        <v>2025</v>
      </c>
      <c r="S1333" s="2" t="str">
        <f>IFERROR(__xludf.DUMMYFUNCTION("""COMPUTED_VALUE"""),"Digizag")</f>
        <v>Digizag</v>
      </c>
      <c r="T1333" s="2" t="str">
        <f>IFERROR(__xludf.DUMMYFUNCTION("""COMPUTED_VALUE"""),"Digizag")</f>
        <v>Digizag</v>
      </c>
      <c r="U1333" s="5">
        <f>IFERROR(__xludf.DUMMYFUNCTION("""COMPUTED_VALUE"""),58.41148283676001)</f>
        <v>58.41148284</v>
      </c>
      <c r="V1333" s="2"/>
      <c r="W1333" s="2"/>
      <c r="X1333" s="2"/>
      <c r="Y1333" s="2"/>
      <c r="Z1333" s="2"/>
    </row>
    <row r="1334">
      <c r="A1334" s="6">
        <f>IFERROR(__xludf.DUMMYFUNCTION("""COMPUTED_VALUE"""),45948.80962962963)</f>
        <v>45948.80963</v>
      </c>
      <c r="B1334" s="2" t="str">
        <f>IFERROR(__xludf.DUMMYFUNCTION("""COMPUTED_VALUE"""),"October")</f>
        <v>October</v>
      </c>
      <c r="C1334" s="2">
        <f>IFERROR(__xludf.DUMMYFUNCTION("""COMPUTED_VALUE"""),818970.0)</f>
        <v>818970</v>
      </c>
      <c r="D1334" s="2" t="str">
        <f>IFERROR(__xludf.DUMMYFUNCTION("""COMPUTED_VALUE"""),"ZM22")</f>
        <v>ZM22</v>
      </c>
      <c r="E1334" s="2" t="str">
        <f>IFERROR(__xludf.DUMMYFUNCTION("""COMPUTED_VALUE"""),"Imported from file Digizag.xlsx")</f>
        <v>Imported from file Digizag.xlsx</v>
      </c>
      <c r="F1334" s="2" t="str">
        <f>IFERROR(__xludf.DUMMYFUNCTION("""COMPUTED_VALUE"""),"QGA257165")</f>
        <v>QGA257165</v>
      </c>
      <c r="G1334" s="2" t="str">
        <f>IFERROR(__xludf.DUMMYFUNCTION("""COMPUTED_VALUE"""),"Kingdom of Saudi Arabia")</f>
        <v>Kingdom of Saudi Arabia</v>
      </c>
      <c r="H1334" s="2">
        <f>IFERROR(__xludf.DUMMYFUNCTION("""COMPUTED_VALUE"""),95.86)</f>
        <v>95.86</v>
      </c>
      <c r="I1334" s="2">
        <f>IFERROR(__xludf.DUMMYFUNCTION("""COMPUTED_VALUE"""),0.0)</f>
        <v>0</v>
      </c>
      <c r="J1334" s="2">
        <f>IFERROR(__xludf.DUMMYFUNCTION("""COMPUTED_VALUE"""),23.96)</f>
        <v>23.96</v>
      </c>
      <c r="K1334" s="2"/>
      <c r="L1334" s="2" t="str">
        <f>IFERROR(__xludf.DUMMYFUNCTION("""COMPUTED_VALUE"""),"Delivered")</f>
        <v>Delivered</v>
      </c>
      <c r="M1334" s="2" t="str">
        <f>IFERROR(__xludf.DUMMYFUNCTION("""COMPUTED_VALUE"""),"")</f>
        <v></v>
      </c>
      <c r="N1334" s="2" t="str">
        <f>IFERROR(__xludf.DUMMYFUNCTION("""COMPUTED_VALUE"""),"Pay in 4. No interest, no fees")</f>
        <v>Pay in 4. No interest, no fees</v>
      </c>
      <c r="O1334" s="2">
        <f>IFERROR(__xludf.DUMMYFUNCTION("""COMPUTED_VALUE"""),0.0)</f>
        <v>0</v>
      </c>
      <c r="P1334" s="2">
        <f>IFERROR(__xludf.DUMMYFUNCTION("""COMPUTED_VALUE"""),18.0)</f>
        <v>18</v>
      </c>
      <c r="Q1334" s="2">
        <f>IFERROR(__xludf.DUMMYFUNCTION("""COMPUTED_VALUE"""),10.0)</f>
        <v>10</v>
      </c>
      <c r="R1334" s="2">
        <f>IFERROR(__xludf.DUMMYFUNCTION("""COMPUTED_VALUE"""),2025.0)</f>
        <v>2025</v>
      </c>
      <c r="S1334" s="2" t="str">
        <f>IFERROR(__xludf.DUMMYFUNCTION("""COMPUTED_VALUE"""),"Digizag")</f>
        <v>Digizag</v>
      </c>
      <c r="T1334" s="2" t="str">
        <f>IFERROR(__xludf.DUMMYFUNCTION("""COMPUTED_VALUE"""),"Digizag")</f>
        <v>Digizag</v>
      </c>
      <c r="U1334" s="5">
        <f>IFERROR(__xludf.DUMMYFUNCTION("""COMPUTED_VALUE"""),25.560689969560002)</f>
        <v>25.56068997</v>
      </c>
      <c r="V1334" s="2"/>
      <c r="W1334" s="2"/>
      <c r="X1334" s="2"/>
      <c r="Y1334" s="2"/>
      <c r="Z1334" s="2"/>
    </row>
    <row r="1335">
      <c r="A1335" s="6">
        <f>IFERROR(__xludf.DUMMYFUNCTION("""COMPUTED_VALUE"""),45948.848541666666)</f>
        <v>45948.84854</v>
      </c>
      <c r="B1335" s="2" t="str">
        <f>IFERROR(__xludf.DUMMYFUNCTION("""COMPUTED_VALUE"""),"October")</f>
        <v>October</v>
      </c>
      <c r="C1335" s="2">
        <f>IFERROR(__xludf.DUMMYFUNCTION("""COMPUTED_VALUE"""),330676.0)</f>
        <v>330676</v>
      </c>
      <c r="D1335" s="2" t="str">
        <f>IFERROR(__xludf.DUMMYFUNCTION("""COMPUTED_VALUE"""),"MNN27")</f>
        <v>MNN27</v>
      </c>
      <c r="E1335" s="2" t="str">
        <f>IFERROR(__xludf.DUMMYFUNCTION("""COMPUTED_VALUE"""),"Imported from file DigiZag Codes 25Feb25.xlsx")</f>
        <v>Imported from file DigiZag Codes 25Feb25.xlsx</v>
      </c>
      <c r="F1335" s="2" t="str">
        <f>IFERROR(__xludf.DUMMYFUNCTION("""COMPUTED_VALUE"""),"CNH278166")</f>
        <v>CNH278166</v>
      </c>
      <c r="G1335" s="2" t="str">
        <f>IFERROR(__xludf.DUMMYFUNCTION("""COMPUTED_VALUE"""),"Bahrain")</f>
        <v>Bahrain</v>
      </c>
      <c r="H1335" s="2">
        <f>IFERROR(__xludf.DUMMYFUNCTION("""COMPUTED_VALUE"""),11.82)</f>
        <v>11.82</v>
      </c>
      <c r="I1335" s="2">
        <f>IFERROR(__xludf.DUMMYFUNCTION("""COMPUTED_VALUE"""),0.0)</f>
        <v>0</v>
      </c>
      <c r="J1335" s="2">
        <f>IFERROR(__xludf.DUMMYFUNCTION("""COMPUTED_VALUE"""),1.18)</f>
        <v>1.18</v>
      </c>
      <c r="K1335" s="2"/>
      <c r="L1335" s="2" t="str">
        <f>IFERROR(__xludf.DUMMYFUNCTION("""COMPUTED_VALUE"""),"Delivered")</f>
        <v>Delivered</v>
      </c>
      <c r="M1335" s="2" t="str">
        <f>IFERROR(__xludf.DUMMYFUNCTION("""COMPUTED_VALUE"""),"BHD")</f>
        <v>BHD</v>
      </c>
      <c r="N1335" s="2" t="str">
        <f>IFERROR(__xludf.DUMMYFUNCTION("""COMPUTED_VALUE"""),"Credit, Debit")</f>
        <v>Credit, Debit</v>
      </c>
      <c r="O1335" s="2">
        <f>IFERROR(__xludf.DUMMYFUNCTION("""COMPUTED_VALUE"""),0.0)</f>
        <v>0</v>
      </c>
      <c r="P1335" s="2">
        <f>IFERROR(__xludf.DUMMYFUNCTION("""COMPUTED_VALUE"""),18.0)</f>
        <v>18</v>
      </c>
      <c r="Q1335" s="2">
        <f>IFERROR(__xludf.DUMMYFUNCTION("""COMPUTED_VALUE"""),10.0)</f>
        <v>10</v>
      </c>
      <c r="R1335" s="2">
        <f>IFERROR(__xludf.DUMMYFUNCTION("""COMPUTED_VALUE"""),2025.0)</f>
        <v>2025</v>
      </c>
      <c r="S1335" s="2" t="str">
        <f>IFERROR(__xludf.DUMMYFUNCTION("""COMPUTED_VALUE"""),"Digizag")</f>
        <v>Digizag</v>
      </c>
      <c r="T1335" s="2" t="str">
        <f>IFERROR(__xludf.DUMMYFUNCTION("""COMPUTED_VALUE"""),"Digizag")</f>
        <v>Digizag</v>
      </c>
      <c r="U1335" s="5">
        <f>IFERROR(__xludf.DUMMYFUNCTION("""COMPUTED_VALUE"""),31.35747894)</f>
        <v>31.35747894</v>
      </c>
      <c r="V1335" s="2"/>
      <c r="W1335" s="2"/>
      <c r="X1335" s="2"/>
      <c r="Y1335" s="2"/>
      <c r="Z1335" s="2"/>
    </row>
    <row r="1336">
      <c r="A1336" s="6">
        <f>IFERROR(__xludf.DUMMYFUNCTION("""COMPUTED_VALUE"""),45949.348761574074)</f>
        <v>45949.34876</v>
      </c>
      <c r="B1336" s="2" t="str">
        <f>IFERROR(__xludf.DUMMYFUNCTION("""COMPUTED_VALUE"""),"October")</f>
        <v>October</v>
      </c>
      <c r="C1336" s="2">
        <f>IFERROR(__xludf.DUMMYFUNCTION("""COMPUTED_VALUE"""),154118.0)</f>
        <v>154118</v>
      </c>
      <c r="D1336" s="2" t="str">
        <f>IFERROR(__xludf.DUMMYFUNCTION("""COMPUTED_VALUE"""),"82WP58")</f>
        <v>82WP58</v>
      </c>
      <c r="E1336" s="2" t="str">
        <f>IFERROR(__xludf.DUMMYFUNCTION("""COMPUTED_VALUE"""),"Imported from file DigiZag Bidding Codes.xlsx")</f>
        <v>Imported from file DigiZag Bidding Codes.xlsx</v>
      </c>
      <c r="F1336" s="2" t="str">
        <f>IFERROR(__xludf.DUMMYFUNCTION("""COMPUTED_VALUE"""),"AMC735799")</f>
        <v>AMC735799</v>
      </c>
      <c r="G1336" s="2" t="str">
        <f>IFERROR(__xludf.DUMMYFUNCTION("""COMPUTED_VALUE"""),"Kingdom of Saudi Arabia")</f>
        <v>Kingdom of Saudi Arabia</v>
      </c>
      <c r="H1336" s="2">
        <f>IFERROR(__xludf.DUMMYFUNCTION("""COMPUTED_VALUE"""),400.0)</f>
        <v>400</v>
      </c>
      <c r="I1336" s="2">
        <f>IFERROR(__xludf.DUMMYFUNCTION("""COMPUTED_VALUE"""),0.0)</f>
        <v>0</v>
      </c>
      <c r="J1336" s="2">
        <f>IFERROR(__xludf.DUMMYFUNCTION("""COMPUTED_VALUE"""),30.0)</f>
        <v>30</v>
      </c>
      <c r="K1336" s="2"/>
      <c r="L1336" s="2" t="str">
        <f>IFERROR(__xludf.DUMMYFUNCTION("""COMPUTED_VALUE"""),"Delivered")</f>
        <v>Delivered</v>
      </c>
      <c r="M1336" s="2" t="str">
        <f>IFERROR(__xludf.DUMMYFUNCTION("""COMPUTED_VALUE"""),"")</f>
        <v></v>
      </c>
      <c r="N1336" s="2" t="str">
        <f>IFERROR(__xludf.DUMMYFUNCTION("""COMPUTED_VALUE"""),"Pay in 4. No interest, no fees")</f>
        <v>Pay in 4. No interest, no fees</v>
      </c>
      <c r="O1336" s="2">
        <f>IFERROR(__xludf.DUMMYFUNCTION("""COMPUTED_VALUE"""),0.0)</f>
        <v>0</v>
      </c>
      <c r="P1336" s="2">
        <f>IFERROR(__xludf.DUMMYFUNCTION("""COMPUTED_VALUE"""),19.0)</f>
        <v>19</v>
      </c>
      <c r="Q1336" s="2">
        <f>IFERROR(__xludf.DUMMYFUNCTION("""COMPUTED_VALUE"""),10.0)</f>
        <v>10</v>
      </c>
      <c r="R1336" s="2">
        <f>IFERROR(__xludf.DUMMYFUNCTION("""COMPUTED_VALUE"""),2025.0)</f>
        <v>2025</v>
      </c>
      <c r="S1336" s="2" t="str">
        <f>IFERROR(__xludf.DUMMYFUNCTION("""COMPUTED_VALUE"""),"Digizag")</f>
        <v>Digizag</v>
      </c>
      <c r="T1336" s="2" t="str">
        <f>IFERROR(__xludf.DUMMYFUNCTION("""COMPUTED_VALUE"""),"Digizag")</f>
        <v>Digizag</v>
      </c>
      <c r="U1336" s="5">
        <f>IFERROR(__xludf.DUMMYFUNCTION("""COMPUTED_VALUE"""),106.65841840000002)</f>
        <v>106.6584184</v>
      </c>
      <c r="V1336" s="2"/>
      <c r="W1336" s="2"/>
      <c r="X1336" s="2"/>
      <c r="Y1336" s="2"/>
      <c r="Z1336" s="2"/>
    </row>
    <row r="1337">
      <c r="A1337" s="6">
        <f>IFERROR(__xludf.DUMMYFUNCTION("""COMPUTED_VALUE"""),45949.40519675926)</f>
        <v>45949.4052</v>
      </c>
      <c r="B1337" s="2" t="str">
        <f>IFERROR(__xludf.DUMMYFUNCTION("""COMPUTED_VALUE"""),"October")</f>
        <v>October</v>
      </c>
      <c r="C1337" s="2">
        <f>IFERROR(__xludf.DUMMYFUNCTION("""COMPUTED_VALUE"""),819106.0)</f>
        <v>819106</v>
      </c>
      <c r="D1337" s="2" t="str">
        <f>IFERROR(__xludf.DUMMYFUNCTION("""COMPUTED_VALUE"""),"JM")</f>
        <v>JM</v>
      </c>
      <c r="E1337" s="2" t="str">
        <f>IFERROR(__xludf.DUMMYFUNCTION("""COMPUTED_VALUE"""),"Digizag")</f>
        <v>Digizag</v>
      </c>
      <c r="F1337" s="2" t="str">
        <f>IFERROR(__xludf.DUMMYFUNCTION("""COMPUTED_VALUE"""),"TBG958024")</f>
        <v>TBG958024</v>
      </c>
      <c r="G1337" s="2" t="str">
        <f>IFERROR(__xludf.DUMMYFUNCTION("""COMPUTED_VALUE"""),"Kuwait")</f>
        <v>Kuwait</v>
      </c>
      <c r="H1337" s="2">
        <f>IFERROR(__xludf.DUMMYFUNCTION("""COMPUTED_VALUE"""),11.2)</f>
        <v>11.2</v>
      </c>
      <c r="I1337" s="2">
        <f>IFERROR(__xludf.DUMMYFUNCTION("""COMPUTED_VALUE"""),0.0)</f>
        <v>0</v>
      </c>
      <c r="J1337" s="2">
        <f>IFERROR(__xludf.DUMMYFUNCTION("""COMPUTED_VALUE"""),1.12)</f>
        <v>1.12</v>
      </c>
      <c r="K1337" s="2"/>
      <c r="L1337" s="2" t="str">
        <f>IFERROR(__xludf.DUMMYFUNCTION("""COMPUTED_VALUE"""),"Delivered")</f>
        <v>Delivered</v>
      </c>
      <c r="M1337" s="2" t="str">
        <f>IFERROR(__xludf.DUMMYFUNCTION("""COMPUTED_VALUE"""),"KD")</f>
        <v>KD</v>
      </c>
      <c r="N1337" s="2" t="str">
        <f>IFERROR(__xludf.DUMMYFUNCTION("""COMPUTED_VALUE"""),"Cash")</f>
        <v>Cash</v>
      </c>
      <c r="O1337" s="2">
        <f>IFERROR(__xludf.DUMMYFUNCTION("""COMPUTED_VALUE"""),0.0)</f>
        <v>0</v>
      </c>
      <c r="P1337" s="2">
        <f>IFERROR(__xludf.DUMMYFUNCTION("""COMPUTED_VALUE"""),19.0)</f>
        <v>19</v>
      </c>
      <c r="Q1337" s="2">
        <f>IFERROR(__xludf.DUMMYFUNCTION("""COMPUTED_VALUE"""),10.0)</f>
        <v>10</v>
      </c>
      <c r="R1337" s="2">
        <f>IFERROR(__xludf.DUMMYFUNCTION("""COMPUTED_VALUE"""),2025.0)</f>
        <v>2025</v>
      </c>
      <c r="S1337" s="2" t="str">
        <f>IFERROR(__xludf.DUMMYFUNCTION("""COMPUTED_VALUE"""),"Digizag")</f>
        <v>Digizag</v>
      </c>
      <c r="T1337" s="2" t="str">
        <f>IFERROR(__xludf.DUMMYFUNCTION("""COMPUTED_VALUE"""),"Digizag")</f>
        <v>Digizag</v>
      </c>
      <c r="U1337" s="5">
        <f>IFERROR(__xludf.DUMMYFUNCTION("""COMPUTED_VALUE"""),36.518944)</f>
        <v>36.518944</v>
      </c>
      <c r="V1337" s="2"/>
      <c r="W1337" s="2"/>
      <c r="X1337" s="2"/>
      <c r="Y1337" s="2"/>
      <c r="Z1337" s="2"/>
    </row>
    <row r="1338">
      <c r="A1338" s="6">
        <f>IFERROR(__xludf.DUMMYFUNCTION("""COMPUTED_VALUE"""),45949.430300925924)</f>
        <v>45949.4303</v>
      </c>
      <c r="B1338" s="2" t="str">
        <f>IFERROR(__xludf.DUMMYFUNCTION("""COMPUTED_VALUE"""),"October")</f>
        <v>October</v>
      </c>
      <c r="C1338" s="2">
        <f>IFERROR(__xludf.DUMMYFUNCTION("""COMPUTED_VALUE"""),819133.0)</f>
        <v>819133</v>
      </c>
      <c r="D1338" s="2" t="str">
        <f>IFERROR(__xludf.DUMMYFUNCTION("""COMPUTED_VALUE"""),"RR22")</f>
        <v>RR22</v>
      </c>
      <c r="E1338" s="2" t="str">
        <f>IFERROR(__xludf.DUMMYFUNCTION("""COMPUTED_VALUE"""),"Imported from file Digizag.xlsx")</f>
        <v>Imported from file Digizag.xlsx</v>
      </c>
      <c r="F1338" s="2" t="str">
        <f>IFERROR(__xludf.DUMMYFUNCTION("""COMPUTED_VALUE"""),"CNT423216")</f>
        <v>CNT423216</v>
      </c>
      <c r="G1338" s="2" t="str">
        <f>IFERROR(__xludf.DUMMYFUNCTION("""COMPUTED_VALUE"""),"UAE")</f>
        <v>UAE</v>
      </c>
      <c r="H1338" s="2">
        <f>IFERROR(__xludf.DUMMYFUNCTION("""COMPUTED_VALUE"""),286.45)</f>
        <v>286.45</v>
      </c>
      <c r="I1338" s="2">
        <f>IFERROR(__xludf.DUMMYFUNCTION("""COMPUTED_VALUE"""),0.0)</f>
        <v>0</v>
      </c>
      <c r="J1338" s="2">
        <f>IFERROR(__xludf.DUMMYFUNCTION("""COMPUTED_VALUE"""),28.64)</f>
        <v>28.64</v>
      </c>
      <c r="K1338" s="2"/>
      <c r="L1338" s="2" t="str">
        <f>IFERROR(__xludf.DUMMYFUNCTION("""COMPUTED_VALUE"""),"Delivered")</f>
        <v>Delivered</v>
      </c>
      <c r="M1338" s="2" t="str">
        <f>IFERROR(__xludf.DUMMYFUNCTION("""COMPUTED_VALUE"""),"")</f>
        <v></v>
      </c>
      <c r="N1338" s="2" t="str">
        <f>IFERROR(__xludf.DUMMYFUNCTION("""COMPUTED_VALUE"""),"Credit, Debit , Apple Pay")</f>
        <v>Credit, Debit , Apple Pay</v>
      </c>
      <c r="O1338" s="2">
        <f>IFERROR(__xludf.DUMMYFUNCTION("""COMPUTED_VALUE"""),0.0)</f>
        <v>0</v>
      </c>
      <c r="P1338" s="2">
        <f>IFERROR(__xludf.DUMMYFUNCTION("""COMPUTED_VALUE"""),19.0)</f>
        <v>19</v>
      </c>
      <c r="Q1338" s="2">
        <f>IFERROR(__xludf.DUMMYFUNCTION("""COMPUTED_VALUE"""),10.0)</f>
        <v>10</v>
      </c>
      <c r="R1338" s="2">
        <f>IFERROR(__xludf.DUMMYFUNCTION("""COMPUTED_VALUE"""),2025.0)</f>
        <v>2025</v>
      </c>
      <c r="S1338" s="2" t="str">
        <f>IFERROR(__xludf.DUMMYFUNCTION("""COMPUTED_VALUE"""),"Digizag")</f>
        <v>Digizag</v>
      </c>
      <c r="T1338" s="2" t="str">
        <f>IFERROR(__xludf.DUMMYFUNCTION("""COMPUTED_VALUE"""),"Digizag")</f>
        <v>Digizag</v>
      </c>
      <c r="U1338" s="5">
        <f>IFERROR(__xludf.DUMMYFUNCTION("""COMPUTED_VALUE"""),77.9986386431)</f>
        <v>77.99863864</v>
      </c>
      <c r="V1338" s="2"/>
      <c r="W1338" s="2"/>
      <c r="X1338" s="2"/>
      <c r="Y1338" s="2"/>
      <c r="Z1338" s="2"/>
    </row>
    <row r="1339">
      <c r="A1339" s="6">
        <f>IFERROR(__xludf.DUMMYFUNCTION("""COMPUTED_VALUE"""),45949.44186342593)</f>
        <v>45949.44186</v>
      </c>
      <c r="B1339" s="2" t="str">
        <f>IFERROR(__xludf.DUMMYFUNCTION("""COMPUTED_VALUE"""),"October")</f>
        <v>October</v>
      </c>
      <c r="C1339" s="2">
        <f>IFERROR(__xludf.DUMMYFUNCTION("""COMPUTED_VALUE"""),113904.0)</f>
        <v>113904</v>
      </c>
      <c r="D1339" s="2" t="str">
        <f>IFERROR(__xludf.DUMMYFUNCTION("""COMPUTED_VALUE"""),"CC22")</f>
        <v>CC22</v>
      </c>
      <c r="E1339" s="2" t="str">
        <f>IFERROR(__xludf.DUMMYFUNCTION("""COMPUTED_VALUE"""),"Imported from file Digizag.xlsx")</f>
        <v>Imported from file Digizag.xlsx</v>
      </c>
      <c r="F1339" s="2" t="str">
        <f>IFERROR(__xludf.DUMMYFUNCTION("""COMPUTED_VALUE"""),"WNZ231440")</f>
        <v>WNZ231440</v>
      </c>
      <c r="G1339" s="2" t="str">
        <f>IFERROR(__xludf.DUMMYFUNCTION("""COMPUTED_VALUE"""),"Kuwait")</f>
        <v>Kuwait</v>
      </c>
      <c r="H1339" s="2">
        <f>IFERROR(__xludf.DUMMYFUNCTION("""COMPUTED_VALUE"""),9.95)</f>
        <v>9.95</v>
      </c>
      <c r="I1339" s="2">
        <f>IFERROR(__xludf.DUMMYFUNCTION("""COMPUTED_VALUE"""),0.0)</f>
        <v>0</v>
      </c>
      <c r="J1339" s="2">
        <f>IFERROR(__xludf.DUMMYFUNCTION("""COMPUTED_VALUE"""),0.995)</f>
        <v>0.995</v>
      </c>
      <c r="K1339" s="2"/>
      <c r="L1339" s="2" t="str">
        <f>IFERROR(__xludf.DUMMYFUNCTION("""COMPUTED_VALUE"""),"Delivered")</f>
        <v>Delivered</v>
      </c>
      <c r="M1339" s="2" t="str">
        <f>IFERROR(__xludf.DUMMYFUNCTION("""COMPUTED_VALUE"""),"KD")</f>
        <v>KD</v>
      </c>
      <c r="N1339" s="2" t="str">
        <f>IFERROR(__xludf.DUMMYFUNCTION("""COMPUTED_VALUE"""),"Cash")</f>
        <v>Cash</v>
      </c>
      <c r="O1339" s="2">
        <f>IFERROR(__xludf.DUMMYFUNCTION("""COMPUTED_VALUE"""),0.0)</f>
        <v>0</v>
      </c>
      <c r="P1339" s="2">
        <f>IFERROR(__xludf.DUMMYFUNCTION("""COMPUTED_VALUE"""),19.0)</f>
        <v>19</v>
      </c>
      <c r="Q1339" s="2">
        <f>IFERROR(__xludf.DUMMYFUNCTION("""COMPUTED_VALUE"""),10.0)</f>
        <v>10</v>
      </c>
      <c r="R1339" s="2">
        <f>IFERROR(__xludf.DUMMYFUNCTION("""COMPUTED_VALUE"""),2025.0)</f>
        <v>2025</v>
      </c>
      <c r="S1339" s="2" t="str">
        <f>IFERROR(__xludf.DUMMYFUNCTION("""COMPUTED_VALUE"""),"Digizag")</f>
        <v>Digizag</v>
      </c>
      <c r="T1339" s="2" t="str">
        <f>IFERROR(__xludf.DUMMYFUNCTION("""COMPUTED_VALUE"""),"Digizag")</f>
        <v>Digizag</v>
      </c>
      <c r="U1339" s="5">
        <f>IFERROR(__xludf.DUMMYFUNCTION("""COMPUTED_VALUE"""),32.443169)</f>
        <v>32.443169</v>
      </c>
      <c r="V1339" s="2"/>
      <c r="W1339" s="2"/>
      <c r="X1339" s="2"/>
      <c r="Y1339" s="2"/>
      <c r="Z1339" s="2"/>
    </row>
    <row r="1340">
      <c r="A1340" s="6">
        <f>IFERROR(__xludf.DUMMYFUNCTION("""COMPUTED_VALUE"""),45949.45116898148)</f>
        <v>45949.45117</v>
      </c>
      <c r="B1340" s="2" t="str">
        <f>IFERROR(__xludf.DUMMYFUNCTION("""COMPUTED_VALUE"""),"October")</f>
        <v>October</v>
      </c>
      <c r="C1340" s="2">
        <f>IFERROR(__xludf.DUMMYFUNCTION("""COMPUTED_VALUE"""),694321.0)</f>
        <v>694321</v>
      </c>
      <c r="D1340" s="2" t="str">
        <f>IFERROR(__xludf.DUMMYFUNCTION("""COMPUTED_VALUE"""),"82WP58")</f>
        <v>82WP58</v>
      </c>
      <c r="E1340" s="2" t="str">
        <f>IFERROR(__xludf.DUMMYFUNCTION("""COMPUTED_VALUE"""),"Imported from file DigiZag Bidding Codes.xlsx")</f>
        <v>Imported from file DigiZag Bidding Codes.xlsx</v>
      </c>
      <c r="F1340" s="2" t="str">
        <f>IFERROR(__xludf.DUMMYFUNCTION("""COMPUTED_VALUE"""),"ZPK394239")</f>
        <v>ZPK394239</v>
      </c>
      <c r="G1340" s="2" t="str">
        <f>IFERROR(__xludf.DUMMYFUNCTION("""COMPUTED_VALUE"""),"Kingdom of Saudi Arabia")</f>
        <v>Kingdom of Saudi Arabia</v>
      </c>
      <c r="H1340" s="2">
        <f>IFERROR(__xludf.DUMMYFUNCTION("""COMPUTED_VALUE"""),331.65)</f>
        <v>331.65</v>
      </c>
      <c r="I1340" s="2">
        <f>IFERROR(__xludf.DUMMYFUNCTION("""COMPUTED_VALUE"""),0.0)</f>
        <v>0</v>
      </c>
      <c r="J1340" s="2">
        <f>IFERROR(__xludf.DUMMYFUNCTION("""COMPUTED_VALUE"""),30.0)</f>
        <v>30</v>
      </c>
      <c r="K1340" s="2"/>
      <c r="L1340" s="2" t="str">
        <f>IFERROR(__xludf.DUMMYFUNCTION("""COMPUTED_VALUE"""),"Delivered")</f>
        <v>Delivered</v>
      </c>
      <c r="M1340" s="2" t="str">
        <f>IFERROR(__xludf.DUMMYFUNCTION("""COMPUTED_VALUE"""),"")</f>
        <v></v>
      </c>
      <c r="N1340" s="2" t="str">
        <f>IFERROR(__xludf.DUMMYFUNCTION("""COMPUTED_VALUE"""),"Credit, Debit, Apple Pay")</f>
        <v>Credit, Debit, Apple Pay</v>
      </c>
      <c r="O1340" s="2">
        <f>IFERROR(__xludf.DUMMYFUNCTION("""COMPUTED_VALUE"""),0.0)</f>
        <v>0</v>
      </c>
      <c r="P1340" s="2">
        <f>IFERROR(__xludf.DUMMYFUNCTION("""COMPUTED_VALUE"""),19.0)</f>
        <v>19</v>
      </c>
      <c r="Q1340" s="2">
        <f>IFERROR(__xludf.DUMMYFUNCTION("""COMPUTED_VALUE"""),10.0)</f>
        <v>10</v>
      </c>
      <c r="R1340" s="2">
        <f>IFERROR(__xludf.DUMMYFUNCTION("""COMPUTED_VALUE"""),2025.0)</f>
        <v>2025</v>
      </c>
      <c r="S1340" s="2" t="str">
        <f>IFERROR(__xludf.DUMMYFUNCTION("""COMPUTED_VALUE"""),"Digizag")</f>
        <v>Digizag</v>
      </c>
      <c r="T1340" s="2" t="str">
        <f>IFERROR(__xludf.DUMMYFUNCTION("""COMPUTED_VALUE"""),"Digizag")</f>
        <v>Digizag</v>
      </c>
      <c r="U1340" s="5">
        <f>IFERROR(__xludf.DUMMYFUNCTION("""COMPUTED_VALUE"""),88.43316115590001)</f>
        <v>88.43316116</v>
      </c>
      <c r="V1340" s="2"/>
      <c r="W1340" s="2"/>
      <c r="X1340" s="2"/>
      <c r="Y1340" s="2"/>
      <c r="Z1340" s="2"/>
    </row>
    <row r="1341">
      <c r="A1341" s="6">
        <f>IFERROR(__xludf.DUMMYFUNCTION("""COMPUTED_VALUE"""),45949.52211805555)</f>
        <v>45949.52212</v>
      </c>
      <c r="B1341" s="2" t="str">
        <f>IFERROR(__xludf.DUMMYFUNCTION("""COMPUTED_VALUE"""),"October")</f>
        <v>October</v>
      </c>
      <c r="C1341" s="2">
        <f>IFERROR(__xludf.DUMMYFUNCTION("""COMPUTED_VALUE"""),231596.0)</f>
        <v>231596</v>
      </c>
      <c r="D1341" s="2" t="str">
        <f>IFERROR(__xludf.DUMMYFUNCTION("""COMPUTED_VALUE"""),"DB3")</f>
        <v>DB3</v>
      </c>
      <c r="E1341" s="2" t="str">
        <f>IFERROR(__xludf.DUMMYFUNCTION("""COMPUTED_VALUE"""),"Imported from file Digizag.xlsx")</f>
        <v>Imported from file Digizag.xlsx</v>
      </c>
      <c r="F1341" s="2" t="str">
        <f>IFERROR(__xludf.DUMMYFUNCTION("""COMPUTED_VALUE"""),"UKG813643")</f>
        <v>UKG813643</v>
      </c>
      <c r="G1341" s="2" t="str">
        <f>IFERROR(__xludf.DUMMYFUNCTION("""COMPUTED_VALUE"""),"Kingdom of Saudi Arabia")</f>
        <v>Kingdom of Saudi Arabia</v>
      </c>
      <c r="H1341" s="2">
        <f>IFERROR(__xludf.DUMMYFUNCTION("""COMPUTED_VALUE"""),60.0)</f>
        <v>60</v>
      </c>
      <c r="I1341" s="2">
        <f>IFERROR(__xludf.DUMMYFUNCTION("""COMPUTED_VALUE"""),0.0)</f>
        <v>0</v>
      </c>
      <c r="J1341" s="2">
        <f>IFERROR(__xludf.DUMMYFUNCTION("""COMPUTED_VALUE"""),15.0)</f>
        <v>15</v>
      </c>
      <c r="K1341" s="2"/>
      <c r="L1341" s="2" t="str">
        <f>IFERROR(__xludf.DUMMYFUNCTION("""COMPUTED_VALUE"""),"Processing")</f>
        <v>Processing</v>
      </c>
      <c r="M1341" s="2" t="str">
        <f>IFERROR(__xludf.DUMMYFUNCTION("""COMPUTED_VALUE"""),"")</f>
        <v></v>
      </c>
      <c r="N1341" s="2" t="str">
        <f>IFERROR(__xludf.DUMMYFUNCTION("""COMPUTED_VALUE"""),"Credit, Debit, Apple Pay")</f>
        <v>Credit, Debit, Apple Pay</v>
      </c>
      <c r="O1341" s="2">
        <f>IFERROR(__xludf.DUMMYFUNCTION("""COMPUTED_VALUE"""),0.0)</f>
        <v>0</v>
      </c>
      <c r="P1341" s="2">
        <f>IFERROR(__xludf.DUMMYFUNCTION("""COMPUTED_VALUE"""),19.0)</f>
        <v>19</v>
      </c>
      <c r="Q1341" s="2">
        <f>IFERROR(__xludf.DUMMYFUNCTION("""COMPUTED_VALUE"""),10.0)</f>
        <v>10</v>
      </c>
      <c r="R1341" s="2">
        <f>IFERROR(__xludf.DUMMYFUNCTION("""COMPUTED_VALUE"""),2025.0)</f>
        <v>2025</v>
      </c>
      <c r="S1341" s="2" t="str">
        <f>IFERROR(__xludf.DUMMYFUNCTION("""COMPUTED_VALUE"""),"Digizag")</f>
        <v>Digizag</v>
      </c>
      <c r="T1341" s="2" t="str">
        <f>IFERROR(__xludf.DUMMYFUNCTION("""COMPUTED_VALUE"""),"Digizag")</f>
        <v>Digizag</v>
      </c>
      <c r="U1341" s="5">
        <f>IFERROR(__xludf.DUMMYFUNCTION("""COMPUTED_VALUE"""),15.998762760000002)</f>
        <v>15.99876276</v>
      </c>
      <c r="V1341" s="2"/>
      <c r="W1341" s="2"/>
      <c r="X1341" s="2"/>
      <c r="Y1341" s="2"/>
      <c r="Z1341" s="2"/>
    </row>
    <row r="1342">
      <c r="A1342" s="6">
        <f>IFERROR(__xludf.DUMMYFUNCTION("""COMPUTED_VALUE"""),45949.544652777775)</f>
        <v>45949.54465</v>
      </c>
      <c r="B1342" s="2" t="str">
        <f>IFERROR(__xludf.DUMMYFUNCTION("""COMPUTED_VALUE"""),"October")</f>
        <v>October</v>
      </c>
      <c r="C1342" s="2">
        <f>IFERROR(__xludf.DUMMYFUNCTION("""COMPUTED_VALUE"""),354261.0)</f>
        <v>354261</v>
      </c>
      <c r="D1342" s="2" t="str">
        <f>IFERROR(__xludf.DUMMYFUNCTION("""COMPUTED_VALUE"""),"ZM22")</f>
        <v>ZM22</v>
      </c>
      <c r="E1342" s="2" t="str">
        <f>IFERROR(__xludf.DUMMYFUNCTION("""COMPUTED_VALUE"""),"Imported from file Digizag.xlsx")</f>
        <v>Imported from file Digizag.xlsx</v>
      </c>
      <c r="F1342" s="2" t="str">
        <f>IFERROR(__xludf.DUMMYFUNCTION("""COMPUTED_VALUE"""),"MJA811452")</f>
        <v>MJA811452</v>
      </c>
      <c r="G1342" s="2" t="str">
        <f>IFERROR(__xludf.DUMMYFUNCTION("""COMPUTED_VALUE"""),"Kingdom of Saudi Arabia")</f>
        <v>Kingdom of Saudi Arabia</v>
      </c>
      <c r="H1342" s="2">
        <f>IFERROR(__xludf.DUMMYFUNCTION("""COMPUTED_VALUE"""),206.96)</f>
        <v>206.96</v>
      </c>
      <c r="I1342" s="2">
        <f>IFERROR(__xludf.DUMMYFUNCTION("""COMPUTED_VALUE"""),0.0)</f>
        <v>0</v>
      </c>
      <c r="J1342" s="2">
        <f>IFERROR(__xludf.DUMMYFUNCTION("""COMPUTED_VALUE"""),30.0)</f>
        <v>30</v>
      </c>
      <c r="K1342" s="2"/>
      <c r="L1342" s="2" t="str">
        <f>IFERROR(__xludf.DUMMYFUNCTION("""COMPUTED_VALUE"""),"Processing")</f>
        <v>Processing</v>
      </c>
      <c r="M1342" s="2" t="str">
        <f>IFERROR(__xludf.DUMMYFUNCTION("""COMPUTED_VALUE"""),"")</f>
        <v></v>
      </c>
      <c r="N1342" s="2" t="str">
        <f>IFERROR(__xludf.DUMMYFUNCTION("""COMPUTED_VALUE"""),"Credit, Debit, Apple Pay")</f>
        <v>Credit, Debit, Apple Pay</v>
      </c>
      <c r="O1342" s="2">
        <f>IFERROR(__xludf.DUMMYFUNCTION("""COMPUTED_VALUE"""),0.0)</f>
        <v>0</v>
      </c>
      <c r="P1342" s="2">
        <f>IFERROR(__xludf.DUMMYFUNCTION("""COMPUTED_VALUE"""),19.0)</f>
        <v>19</v>
      </c>
      <c r="Q1342" s="2">
        <f>IFERROR(__xludf.DUMMYFUNCTION("""COMPUTED_VALUE"""),10.0)</f>
        <v>10</v>
      </c>
      <c r="R1342" s="2">
        <f>IFERROR(__xludf.DUMMYFUNCTION("""COMPUTED_VALUE"""),2025.0)</f>
        <v>2025</v>
      </c>
      <c r="S1342" s="2" t="str">
        <f>IFERROR(__xludf.DUMMYFUNCTION("""COMPUTED_VALUE"""),"Digizag")</f>
        <v>Digizag</v>
      </c>
      <c r="T1342" s="2" t="str">
        <f>IFERROR(__xludf.DUMMYFUNCTION("""COMPUTED_VALUE"""),"Digizag")</f>
        <v>Digizag</v>
      </c>
      <c r="U1342" s="5">
        <f>IFERROR(__xludf.DUMMYFUNCTION("""COMPUTED_VALUE"""),55.18506568016001)</f>
        <v>55.18506568</v>
      </c>
      <c r="V1342" s="2"/>
      <c r="W1342" s="2"/>
      <c r="X1342" s="2"/>
      <c r="Y1342" s="2"/>
      <c r="Z1342" s="2"/>
    </row>
    <row r="1343">
      <c r="A1343" s="6">
        <f>IFERROR(__xludf.DUMMYFUNCTION("""COMPUTED_VALUE"""),45949.659780092596)</f>
        <v>45949.65978</v>
      </c>
      <c r="B1343" s="2" t="str">
        <f>IFERROR(__xludf.DUMMYFUNCTION("""COMPUTED_VALUE"""),"October")</f>
        <v>October</v>
      </c>
      <c r="C1343" s="2">
        <f>IFERROR(__xludf.DUMMYFUNCTION("""COMPUTED_VALUE"""),819287.0)</f>
        <v>819287</v>
      </c>
      <c r="D1343" s="2" t="str">
        <f>IFERROR(__xludf.DUMMYFUNCTION("""COMPUTED_VALUE"""),"82WP58")</f>
        <v>82WP58</v>
      </c>
      <c r="E1343" s="2" t="str">
        <f>IFERROR(__xludf.DUMMYFUNCTION("""COMPUTED_VALUE"""),"Imported from file DigiZag Bidding Codes.xlsx")</f>
        <v>Imported from file DigiZag Bidding Codes.xlsx</v>
      </c>
      <c r="F1343" s="2" t="str">
        <f>IFERROR(__xludf.DUMMYFUNCTION("""COMPUTED_VALUE"""),"PYY168095")</f>
        <v>PYY168095</v>
      </c>
      <c r="G1343" s="2" t="str">
        <f>IFERROR(__xludf.DUMMYFUNCTION("""COMPUTED_VALUE"""),"Kingdom of Saudi Arabia")</f>
        <v>Kingdom of Saudi Arabia</v>
      </c>
      <c r="H1343" s="2">
        <f>IFERROR(__xludf.DUMMYFUNCTION("""COMPUTED_VALUE"""),178.0)</f>
        <v>178</v>
      </c>
      <c r="I1343" s="2">
        <f>IFERROR(__xludf.DUMMYFUNCTION("""COMPUTED_VALUE"""),0.0)</f>
        <v>0</v>
      </c>
      <c r="J1343" s="2">
        <f>IFERROR(__xludf.DUMMYFUNCTION("""COMPUTED_VALUE"""),30.0)</f>
        <v>30</v>
      </c>
      <c r="K1343" s="2"/>
      <c r="L1343" s="2" t="str">
        <f>IFERROR(__xludf.DUMMYFUNCTION("""COMPUTED_VALUE"""),"Delivered")</f>
        <v>Delivered</v>
      </c>
      <c r="M1343" s="2" t="str">
        <f>IFERROR(__xludf.DUMMYFUNCTION("""COMPUTED_VALUE"""),"")</f>
        <v></v>
      </c>
      <c r="N1343" s="2" t="str">
        <f>IFERROR(__xludf.DUMMYFUNCTION("""COMPUTED_VALUE"""),"Pay in 4. No interest, no fees")</f>
        <v>Pay in 4. No interest, no fees</v>
      </c>
      <c r="O1343" s="2">
        <f>IFERROR(__xludf.DUMMYFUNCTION("""COMPUTED_VALUE"""),0.0)</f>
        <v>0</v>
      </c>
      <c r="P1343" s="2">
        <f>IFERROR(__xludf.DUMMYFUNCTION("""COMPUTED_VALUE"""),19.0)</f>
        <v>19</v>
      </c>
      <c r="Q1343" s="2">
        <f>IFERROR(__xludf.DUMMYFUNCTION("""COMPUTED_VALUE"""),10.0)</f>
        <v>10</v>
      </c>
      <c r="R1343" s="2">
        <f>IFERROR(__xludf.DUMMYFUNCTION("""COMPUTED_VALUE"""),2025.0)</f>
        <v>2025</v>
      </c>
      <c r="S1343" s="2" t="str">
        <f>IFERROR(__xludf.DUMMYFUNCTION("""COMPUTED_VALUE"""),"Digizag")</f>
        <v>Digizag</v>
      </c>
      <c r="T1343" s="2" t="str">
        <f>IFERROR(__xludf.DUMMYFUNCTION("""COMPUTED_VALUE"""),"Digizag")</f>
        <v>Digizag</v>
      </c>
      <c r="U1343" s="5">
        <f>IFERROR(__xludf.DUMMYFUNCTION("""COMPUTED_VALUE"""),47.462996188000005)</f>
        <v>47.46299619</v>
      </c>
      <c r="V1343" s="2"/>
      <c r="W1343" s="2"/>
      <c r="X1343" s="2"/>
      <c r="Y1343" s="2"/>
      <c r="Z1343" s="2"/>
    </row>
    <row r="1344">
      <c r="A1344" s="6">
        <f>IFERROR(__xludf.DUMMYFUNCTION("""COMPUTED_VALUE"""),45949.664143518516)</f>
        <v>45949.66414</v>
      </c>
      <c r="B1344" s="2" t="str">
        <f>IFERROR(__xludf.DUMMYFUNCTION("""COMPUTED_VALUE"""),"October")</f>
        <v>October</v>
      </c>
      <c r="C1344" s="2">
        <f>IFERROR(__xludf.DUMMYFUNCTION("""COMPUTED_VALUE"""),286880.0)</f>
        <v>286880</v>
      </c>
      <c r="D1344" s="2" t="str">
        <f>IFERROR(__xludf.DUMMYFUNCTION("""COMPUTED_VALUE"""),"ZM22")</f>
        <v>ZM22</v>
      </c>
      <c r="E1344" s="2" t="str">
        <f>IFERROR(__xludf.DUMMYFUNCTION("""COMPUTED_VALUE"""),"Imported from file Digizag.xlsx")</f>
        <v>Imported from file Digizag.xlsx</v>
      </c>
      <c r="F1344" s="2" t="str">
        <f>IFERROR(__xludf.DUMMYFUNCTION("""COMPUTED_VALUE"""),"PWU479542")</f>
        <v>PWU479542</v>
      </c>
      <c r="G1344" s="2" t="str">
        <f>IFERROR(__xludf.DUMMYFUNCTION("""COMPUTED_VALUE"""),"UAE")</f>
        <v>UAE</v>
      </c>
      <c r="H1344" s="2">
        <f>IFERROR(__xludf.DUMMYFUNCTION("""COMPUTED_VALUE"""),299.0)</f>
        <v>299</v>
      </c>
      <c r="I1344" s="2">
        <f>IFERROR(__xludf.DUMMYFUNCTION("""COMPUTED_VALUE"""),0.0)</f>
        <v>0</v>
      </c>
      <c r="J1344" s="2">
        <f>IFERROR(__xludf.DUMMYFUNCTION("""COMPUTED_VALUE"""),29.9)</f>
        <v>29.9</v>
      </c>
      <c r="K1344" s="2"/>
      <c r="L1344" s="2" t="str">
        <f>IFERROR(__xludf.DUMMYFUNCTION("""COMPUTED_VALUE"""),"Processing")</f>
        <v>Processing</v>
      </c>
      <c r="M1344" s="2" t="str">
        <f>IFERROR(__xludf.DUMMYFUNCTION("""COMPUTED_VALUE"""),"")</f>
        <v></v>
      </c>
      <c r="N1344" s="2" t="str">
        <f>IFERROR(__xludf.DUMMYFUNCTION("""COMPUTED_VALUE"""),"Credit, Debit , Apple Pay")</f>
        <v>Credit, Debit , Apple Pay</v>
      </c>
      <c r="O1344" s="2">
        <f>IFERROR(__xludf.DUMMYFUNCTION("""COMPUTED_VALUE"""),0.0)</f>
        <v>0</v>
      </c>
      <c r="P1344" s="2">
        <f>IFERROR(__xludf.DUMMYFUNCTION("""COMPUTED_VALUE"""),19.0)</f>
        <v>19</v>
      </c>
      <c r="Q1344" s="2">
        <f>IFERROR(__xludf.DUMMYFUNCTION("""COMPUTED_VALUE"""),10.0)</f>
        <v>10</v>
      </c>
      <c r="R1344" s="2">
        <f>IFERROR(__xludf.DUMMYFUNCTION("""COMPUTED_VALUE"""),2025.0)</f>
        <v>2025</v>
      </c>
      <c r="S1344" s="2" t="str">
        <f>IFERROR(__xludf.DUMMYFUNCTION("""COMPUTED_VALUE"""),"Digizag")</f>
        <v>Digizag</v>
      </c>
      <c r="T1344" s="2" t="str">
        <f>IFERROR(__xludf.DUMMYFUNCTION("""COMPUTED_VALUE"""),"Digizag")</f>
        <v>Digizag</v>
      </c>
      <c r="U1344" s="5">
        <f>IFERROR(__xludf.DUMMYFUNCTION("""COMPUTED_VALUE"""),81.415929322)</f>
        <v>81.41592932</v>
      </c>
      <c r="V1344" s="2"/>
      <c r="W1344" s="2"/>
      <c r="X1344" s="2"/>
      <c r="Y1344" s="2"/>
      <c r="Z1344" s="2"/>
    </row>
    <row r="1345">
      <c r="A1345" s="6">
        <f>IFERROR(__xludf.DUMMYFUNCTION("""COMPUTED_VALUE"""),45949.71642361111)</f>
        <v>45949.71642</v>
      </c>
      <c r="B1345" s="2" t="str">
        <f>IFERROR(__xludf.DUMMYFUNCTION("""COMPUTED_VALUE"""),"October")</f>
        <v>October</v>
      </c>
      <c r="C1345" s="2">
        <f>IFERROR(__xludf.DUMMYFUNCTION("""COMPUTED_VALUE"""),172368.0)</f>
        <v>172368</v>
      </c>
      <c r="D1345" s="2" t="str">
        <f>IFERROR(__xludf.DUMMYFUNCTION("""COMPUTED_VALUE"""),"82WP58")</f>
        <v>82WP58</v>
      </c>
      <c r="E1345" s="2" t="str">
        <f>IFERROR(__xludf.DUMMYFUNCTION("""COMPUTED_VALUE"""),"Imported from file DigiZag Bidding Codes.xlsx")</f>
        <v>Imported from file DigiZag Bidding Codes.xlsx</v>
      </c>
      <c r="F1345" s="2" t="str">
        <f>IFERROR(__xludf.DUMMYFUNCTION("""COMPUTED_VALUE"""),"ERK881647")</f>
        <v>ERK881647</v>
      </c>
      <c r="G1345" s="2" t="str">
        <f>IFERROR(__xludf.DUMMYFUNCTION("""COMPUTED_VALUE"""),"Kingdom of Saudi Arabia")</f>
        <v>Kingdom of Saudi Arabia</v>
      </c>
      <c r="H1345" s="2">
        <f>IFERROR(__xludf.DUMMYFUNCTION("""COMPUTED_VALUE"""),56.43)</f>
        <v>56.43</v>
      </c>
      <c r="I1345" s="2">
        <f>IFERROR(__xludf.DUMMYFUNCTION("""COMPUTED_VALUE"""),0.0)</f>
        <v>0</v>
      </c>
      <c r="J1345" s="2">
        <f>IFERROR(__xludf.DUMMYFUNCTION("""COMPUTED_VALUE"""),14.1)</f>
        <v>14.1</v>
      </c>
      <c r="K1345" s="2"/>
      <c r="L1345" s="2" t="str">
        <f>IFERROR(__xludf.DUMMYFUNCTION("""COMPUTED_VALUE"""),"Delivered")</f>
        <v>Delivered</v>
      </c>
      <c r="M1345" s="2" t="str">
        <f>IFERROR(__xludf.DUMMYFUNCTION("""COMPUTED_VALUE"""),"")</f>
        <v></v>
      </c>
      <c r="N1345" s="2" t="str">
        <f>IFERROR(__xludf.DUMMYFUNCTION("""COMPUTED_VALUE"""),"Credit, Debit, Apple Pay")</f>
        <v>Credit, Debit, Apple Pay</v>
      </c>
      <c r="O1345" s="2">
        <f>IFERROR(__xludf.DUMMYFUNCTION("""COMPUTED_VALUE"""),0.0)</f>
        <v>0</v>
      </c>
      <c r="P1345" s="2">
        <f>IFERROR(__xludf.DUMMYFUNCTION("""COMPUTED_VALUE"""),19.0)</f>
        <v>19</v>
      </c>
      <c r="Q1345" s="2">
        <f>IFERROR(__xludf.DUMMYFUNCTION("""COMPUTED_VALUE"""),10.0)</f>
        <v>10</v>
      </c>
      <c r="R1345" s="2">
        <f>IFERROR(__xludf.DUMMYFUNCTION("""COMPUTED_VALUE"""),2025.0)</f>
        <v>2025</v>
      </c>
      <c r="S1345" s="2" t="str">
        <f>IFERROR(__xludf.DUMMYFUNCTION("""COMPUTED_VALUE"""),"Digizag")</f>
        <v>Digizag</v>
      </c>
      <c r="T1345" s="2" t="str">
        <f>IFERROR(__xludf.DUMMYFUNCTION("""COMPUTED_VALUE"""),"Digizag")</f>
        <v>Digizag</v>
      </c>
      <c r="U1345" s="5">
        <f>IFERROR(__xludf.DUMMYFUNCTION("""COMPUTED_VALUE"""),15.046836375780002)</f>
        <v>15.04683638</v>
      </c>
      <c r="V1345" s="2"/>
      <c r="W1345" s="2"/>
      <c r="X1345" s="2"/>
      <c r="Y1345" s="2"/>
      <c r="Z1345" s="2"/>
    </row>
    <row r="1346">
      <c r="A1346" s="6">
        <f>IFERROR(__xludf.DUMMYFUNCTION("""COMPUTED_VALUE"""),45949.85753472222)</f>
        <v>45949.85753</v>
      </c>
      <c r="B1346" s="2" t="str">
        <f>IFERROR(__xludf.DUMMYFUNCTION("""COMPUTED_VALUE"""),"October")</f>
        <v>October</v>
      </c>
      <c r="C1346" s="2">
        <f>IFERROR(__xludf.DUMMYFUNCTION("""COMPUTED_VALUE"""),384034.0)</f>
        <v>384034</v>
      </c>
      <c r="D1346" s="2" t="str">
        <f>IFERROR(__xludf.DUMMYFUNCTION("""COMPUTED_VALUE"""),"82WP58")</f>
        <v>82WP58</v>
      </c>
      <c r="E1346" s="2" t="str">
        <f>IFERROR(__xludf.DUMMYFUNCTION("""COMPUTED_VALUE"""),"Imported from file DigiZag Bidding Codes.xlsx")</f>
        <v>Imported from file DigiZag Bidding Codes.xlsx</v>
      </c>
      <c r="F1346" s="2" t="str">
        <f>IFERROR(__xludf.DUMMYFUNCTION("""COMPUTED_VALUE"""),"ZNP136871")</f>
        <v>ZNP136871</v>
      </c>
      <c r="G1346" s="2" t="str">
        <f>IFERROR(__xludf.DUMMYFUNCTION("""COMPUTED_VALUE"""),"Kingdom of Saudi Arabia")</f>
        <v>Kingdom of Saudi Arabia</v>
      </c>
      <c r="H1346" s="2">
        <f>IFERROR(__xludf.DUMMYFUNCTION("""COMPUTED_VALUE"""),87.36)</f>
        <v>87.36</v>
      </c>
      <c r="I1346" s="2">
        <f>IFERROR(__xludf.DUMMYFUNCTION("""COMPUTED_VALUE"""),0.0)</f>
        <v>0</v>
      </c>
      <c r="J1346" s="2">
        <f>IFERROR(__xludf.DUMMYFUNCTION("""COMPUTED_VALUE"""),21.84)</f>
        <v>21.84</v>
      </c>
      <c r="K1346" s="2"/>
      <c r="L1346" s="2" t="str">
        <f>IFERROR(__xludf.DUMMYFUNCTION("""COMPUTED_VALUE"""),"Delivered")</f>
        <v>Delivered</v>
      </c>
      <c r="M1346" s="2" t="str">
        <f>IFERROR(__xludf.DUMMYFUNCTION("""COMPUTED_VALUE"""),"")</f>
        <v></v>
      </c>
      <c r="N1346" s="2" t="str">
        <f>IFERROR(__xludf.DUMMYFUNCTION("""COMPUTED_VALUE"""),"Credit, Debit, Apple Pay")</f>
        <v>Credit, Debit, Apple Pay</v>
      </c>
      <c r="O1346" s="2">
        <f>IFERROR(__xludf.DUMMYFUNCTION("""COMPUTED_VALUE"""),0.0)</f>
        <v>0</v>
      </c>
      <c r="P1346" s="2">
        <f>IFERROR(__xludf.DUMMYFUNCTION("""COMPUTED_VALUE"""),19.0)</f>
        <v>19</v>
      </c>
      <c r="Q1346" s="2">
        <f>IFERROR(__xludf.DUMMYFUNCTION("""COMPUTED_VALUE"""),10.0)</f>
        <v>10</v>
      </c>
      <c r="R1346" s="2">
        <f>IFERROR(__xludf.DUMMYFUNCTION("""COMPUTED_VALUE"""),2025.0)</f>
        <v>2025</v>
      </c>
      <c r="S1346" s="2" t="str">
        <f>IFERROR(__xludf.DUMMYFUNCTION("""COMPUTED_VALUE"""),"Digizag")</f>
        <v>Digizag</v>
      </c>
      <c r="T1346" s="2" t="str">
        <f>IFERROR(__xludf.DUMMYFUNCTION("""COMPUTED_VALUE"""),"Digizag")</f>
        <v>Digizag</v>
      </c>
      <c r="U1346" s="5">
        <f>IFERROR(__xludf.DUMMYFUNCTION("""COMPUTED_VALUE"""),23.294198578560003)</f>
        <v>23.29419858</v>
      </c>
      <c r="V1346" s="2"/>
      <c r="W1346" s="2"/>
      <c r="X1346" s="2"/>
      <c r="Y1346" s="2"/>
      <c r="Z1346" s="2"/>
    </row>
    <row r="1347">
      <c r="A1347" s="6">
        <f>IFERROR(__xludf.DUMMYFUNCTION("""COMPUTED_VALUE"""),45950.27097222222)</f>
        <v>45950.27097</v>
      </c>
      <c r="B1347" s="2" t="str">
        <f>IFERROR(__xludf.DUMMYFUNCTION("""COMPUTED_VALUE"""),"October")</f>
        <v>October</v>
      </c>
      <c r="C1347" s="2">
        <f>IFERROR(__xludf.DUMMYFUNCTION("""COMPUTED_VALUE"""),197052.0)</f>
        <v>197052</v>
      </c>
      <c r="D1347" s="2" t="str">
        <f>IFERROR(__xludf.DUMMYFUNCTION("""COMPUTED_VALUE"""),"DB1")</f>
        <v>DB1</v>
      </c>
      <c r="E1347" s="2" t="str">
        <f>IFERROR(__xludf.DUMMYFUNCTION("""COMPUTED_VALUE"""),"Imported from file Digizag.xlsx")</f>
        <v>Imported from file Digizag.xlsx</v>
      </c>
      <c r="F1347" s="2" t="str">
        <f>IFERROR(__xludf.DUMMYFUNCTION("""COMPUTED_VALUE"""),"AHZ130279")</f>
        <v>AHZ130279</v>
      </c>
      <c r="G1347" s="2" t="str">
        <f>IFERROR(__xludf.DUMMYFUNCTION("""COMPUTED_VALUE"""),"Kingdom of Saudi Arabia")</f>
        <v>Kingdom of Saudi Arabia</v>
      </c>
      <c r="H1347" s="2">
        <f>IFERROR(__xludf.DUMMYFUNCTION("""COMPUTED_VALUE"""),250.0)</f>
        <v>250</v>
      </c>
      <c r="I1347" s="2">
        <f>IFERROR(__xludf.DUMMYFUNCTION("""COMPUTED_VALUE"""),0.0)</f>
        <v>0</v>
      </c>
      <c r="J1347" s="2">
        <f>IFERROR(__xludf.DUMMYFUNCTION("""COMPUTED_VALUE"""),30.0)</f>
        <v>30</v>
      </c>
      <c r="K1347" s="2"/>
      <c r="L1347" s="2" t="str">
        <f>IFERROR(__xludf.DUMMYFUNCTION("""COMPUTED_VALUE"""),"Delivered")</f>
        <v>Delivered</v>
      </c>
      <c r="M1347" s="2" t="str">
        <f>IFERROR(__xludf.DUMMYFUNCTION("""COMPUTED_VALUE"""),"")</f>
        <v></v>
      </c>
      <c r="N1347" s="2" t="str">
        <f>IFERROR(__xludf.DUMMYFUNCTION("""COMPUTED_VALUE"""),"Credit, Debit, Apple Pay")</f>
        <v>Credit, Debit, Apple Pay</v>
      </c>
      <c r="O1347" s="2">
        <f>IFERROR(__xludf.DUMMYFUNCTION("""COMPUTED_VALUE"""),0.0)</f>
        <v>0</v>
      </c>
      <c r="P1347" s="2">
        <f>IFERROR(__xludf.DUMMYFUNCTION("""COMPUTED_VALUE"""),20.0)</f>
        <v>20</v>
      </c>
      <c r="Q1347" s="2">
        <f>IFERROR(__xludf.DUMMYFUNCTION("""COMPUTED_VALUE"""),10.0)</f>
        <v>10</v>
      </c>
      <c r="R1347" s="2">
        <f>IFERROR(__xludf.DUMMYFUNCTION("""COMPUTED_VALUE"""),2025.0)</f>
        <v>2025</v>
      </c>
      <c r="S1347" s="2" t="str">
        <f>IFERROR(__xludf.DUMMYFUNCTION("""COMPUTED_VALUE"""),"Digizag")</f>
        <v>Digizag</v>
      </c>
      <c r="T1347" s="2" t="str">
        <f>IFERROR(__xludf.DUMMYFUNCTION("""COMPUTED_VALUE"""),"Digizag")</f>
        <v>Digizag</v>
      </c>
      <c r="U1347" s="5">
        <f>IFERROR(__xludf.DUMMYFUNCTION("""COMPUTED_VALUE"""),66.6615115)</f>
        <v>66.6615115</v>
      </c>
      <c r="V1347" s="2"/>
      <c r="W1347" s="2"/>
      <c r="X1347" s="2"/>
      <c r="Y1347" s="2"/>
      <c r="Z1347" s="2"/>
    </row>
    <row r="1348">
      <c r="A1348" s="6">
        <f>IFERROR(__xludf.DUMMYFUNCTION("""COMPUTED_VALUE"""),45950.433391203704)</f>
        <v>45950.43339</v>
      </c>
      <c r="B1348" s="2" t="str">
        <f>IFERROR(__xludf.DUMMYFUNCTION("""COMPUTED_VALUE"""),"October")</f>
        <v>October</v>
      </c>
      <c r="C1348" s="2">
        <f>IFERROR(__xludf.DUMMYFUNCTION("""COMPUTED_VALUE"""),819465.0)</f>
        <v>819465</v>
      </c>
      <c r="D1348" s="2" t="str">
        <f>IFERROR(__xludf.DUMMYFUNCTION("""COMPUTED_VALUE"""),"DB7")</f>
        <v>DB7</v>
      </c>
      <c r="E1348" s="2" t="str">
        <f>IFERROR(__xludf.DUMMYFUNCTION("""COMPUTED_VALUE"""),"Digizag")</f>
        <v>Digizag</v>
      </c>
      <c r="F1348" s="2" t="str">
        <f>IFERROR(__xludf.DUMMYFUNCTION("""COMPUTED_VALUE"""),"EEP431807")</f>
        <v>EEP431807</v>
      </c>
      <c r="G1348" s="2" t="str">
        <f>IFERROR(__xludf.DUMMYFUNCTION("""COMPUTED_VALUE"""),"Kingdom of Saudi Arabia")</f>
        <v>Kingdom of Saudi Arabia</v>
      </c>
      <c r="H1348" s="2">
        <f>IFERROR(__xludf.DUMMYFUNCTION("""COMPUTED_VALUE"""),249.3)</f>
        <v>249.3</v>
      </c>
      <c r="I1348" s="2">
        <f>IFERROR(__xludf.DUMMYFUNCTION("""COMPUTED_VALUE"""),1.0)</f>
        <v>1</v>
      </c>
      <c r="J1348" s="2">
        <f>IFERROR(__xludf.DUMMYFUNCTION("""COMPUTED_VALUE"""),30.0)</f>
        <v>30</v>
      </c>
      <c r="K1348" s="2"/>
      <c r="L1348" s="2" t="str">
        <f>IFERROR(__xludf.DUMMYFUNCTION("""COMPUTED_VALUE"""),"Partially Cancelled")</f>
        <v>Partially Cancelled</v>
      </c>
      <c r="M1348" s="2" t="str">
        <f>IFERROR(__xludf.DUMMYFUNCTION("""COMPUTED_VALUE"""),"")</f>
        <v></v>
      </c>
      <c r="N1348" s="2" t="str">
        <f>IFERROR(__xludf.DUMMYFUNCTION("""COMPUTED_VALUE"""),"Credit, Debit, Apple Pay")</f>
        <v>Credit, Debit, Apple Pay</v>
      </c>
      <c r="O1348" s="2">
        <f>IFERROR(__xludf.DUMMYFUNCTION("""COMPUTED_VALUE"""),75.65)</f>
        <v>75.65</v>
      </c>
      <c r="P1348" s="2">
        <f>IFERROR(__xludf.DUMMYFUNCTION("""COMPUTED_VALUE"""),20.0)</f>
        <v>20</v>
      </c>
      <c r="Q1348" s="2">
        <f>IFERROR(__xludf.DUMMYFUNCTION("""COMPUTED_VALUE"""),10.0)</f>
        <v>10</v>
      </c>
      <c r="R1348" s="2">
        <f>IFERROR(__xludf.DUMMYFUNCTION("""COMPUTED_VALUE"""),2025.0)</f>
        <v>2025</v>
      </c>
      <c r="S1348" s="2" t="str">
        <f>IFERROR(__xludf.DUMMYFUNCTION("""COMPUTED_VALUE"""),"Digizag")</f>
        <v>Digizag</v>
      </c>
      <c r="T1348" s="2" t="str">
        <f>IFERROR(__xludf.DUMMYFUNCTION("""COMPUTED_VALUE"""),"Digizag")</f>
        <v>Digizag</v>
      </c>
      <c r="U1348" s="5">
        <f>IFERROR(__xludf.DUMMYFUNCTION("""COMPUTED_VALUE"""),66.47485926780001)</f>
        <v>66.47485927</v>
      </c>
      <c r="V1348" s="2"/>
      <c r="W1348" s="2"/>
      <c r="X1348" s="2"/>
      <c r="Y1348" s="2"/>
      <c r="Z1348" s="2"/>
    </row>
    <row r="1349">
      <c r="A1349" s="6">
        <f>IFERROR(__xludf.DUMMYFUNCTION("""COMPUTED_VALUE"""),45950.5471412037)</f>
        <v>45950.54714</v>
      </c>
      <c r="B1349" s="2" t="str">
        <f>IFERROR(__xludf.DUMMYFUNCTION("""COMPUTED_VALUE"""),"October")</f>
        <v>October</v>
      </c>
      <c r="C1349" s="2">
        <f>IFERROR(__xludf.DUMMYFUNCTION("""COMPUTED_VALUE"""),305347.0)</f>
        <v>305347</v>
      </c>
      <c r="D1349" s="2" t="str">
        <f>IFERROR(__xludf.DUMMYFUNCTION("""COMPUTED_VALUE"""),"DG2")</f>
        <v>DG2</v>
      </c>
      <c r="E1349" s="2" t="str">
        <f>IFERROR(__xludf.DUMMYFUNCTION("""COMPUTED_VALUE"""),"Imported from file Digizag.xlsx")</f>
        <v>Imported from file Digizag.xlsx</v>
      </c>
      <c r="F1349" s="2" t="str">
        <f>IFERROR(__xludf.DUMMYFUNCTION("""COMPUTED_VALUE"""),"XCZ728673")</f>
        <v>XCZ728673</v>
      </c>
      <c r="G1349" s="2" t="str">
        <f>IFERROR(__xludf.DUMMYFUNCTION("""COMPUTED_VALUE"""),"UAE")</f>
        <v>UAE</v>
      </c>
      <c r="H1349" s="2">
        <f>IFERROR(__xludf.DUMMYFUNCTION("""COMPUTED_VALUE"""),119.0)</f>
        <v>119</v>
      </c>
      <c r="I1349" s="2">
        <f>IFERROR(__xludf.DUMMYFUNCTION("""COMPUTED_VALUE"""),0.0)</f>
        <v>0</v>
      </c>
      <c r="J1349" s="2">
        <f>IFERROR(__xludf.DUMMYFUNCTION("""COMPUTED_VALUE"""),11.9)</f>
        <v>11.9</v>
      </c>
      <c r="K1349" s="2"/>
      <c r="L1349" s="2" t="str">
        <f>IFERROR(__xludf.DUMMYFUNCTION("""COMPUTED_VALUE"""),"Processing")</f>
        <v>Processing</v>
      </c>
      <c r="M1349" s="2" t="str">
        <f>IFERROR(__xludf.DUMMYFUNCTION("""COMPUTED_VALUE"""),"")</f>
        <v></v>
      </c>
      <c r="N1349" s="2" t="str">
        <f>IFERROR(__xludf.DUMMYFUNCTION("""COMPUTED_VALUE"""),"Credit, Debit , Apple Pay")</f>
        <v>Credit, Debit , Apple Pay</v>
      </c>
      <c r="O1349" s="2">
        <f>IFERROR(__xludf.DUMMYFUNCTION("""COMPUTED_VALUE"""),0.0)</f>
        <v>0</v>
      </c>
      <c r="P1349" s="2">
        <f>IFERROR(__xludf.DUMMYFUNCTION("""COMPUTED_VALUE"""),20.0)</f>
        <v>20</v>
      </c>
      <c r="Q1349" s="2">
        <f>IFERROR(__xludf.DUMMYFUNCTION("""COMPUTED_VALUE"""),10.0)</f>
        <v>10</v>
      </c>
      <c r="R1349" s="2">
        <f>IFERROR(__xludf.DUMMYFUNCTION("""COMPUTED_VALUE"""),2025.0)</f>
        <v>2025</v>
      </c>
      <c r="S1349" s="2" t="str">
        <f>IFERROR(__xludf.DUMMYFUNCTION("""COMPUTED_VALUE"""),"Digizag")</f>
        <v>Digizag</v>
      </c>
      <c r="T1349" s="2" t="str">
        <f>IFERROR(__xludf.DUMMYFUNCTION("""COMPUTED_VALUE"""),"Digizag")</f>
        <v>Digizag</v>
      </c>
      <c r="U1349" s="5">
        <f>IFERROR(__xludf.DUMMYFUNCTION("""COMPUTED_VALUE"""),32.402995282)</f>
        <v>32.40299528</v>
      </c>
      <c r="V1349" s="2"/>
      <c r="W1349" s="2"/>
      <c r="X1349" s="2"/>
      <c r="Y1349" s="2"/>
      <c r="Z1349" s="2"/>
    </row>
    <row r="1350">
      <c r="A1350" s="6">
        <f>IFERROR(__xludf.DUMMYFUNCTION("""COMPUTED_VALUE"""),45950.64740740741)</f>
        <v>45950.64741</v>
      </c>
      <c r="B1350" s="2" t="str">
        <f>IFERROR(__xludf.DUMMYFUNCTION("""COMPUTED_VALUE"""),"October")</f>
        <v>October</v>
      </c>
      <c r="C1350" s="2">
        <f>IFERROR(__xludf.DUMMYFUNCTION("""COMPUTED_VALUE"""),173961.0)</f>
        <v>173961</v>
      </c>
      <c r="D1350" s="2" t="str">
        <f>IFERROR(__xludf.DUMMYFUNCTION("""COMPUTED_VALUE"""),"82WP58")</f>
        <v>82WP58</v>
      </c>
      <c r="E1350" s="2" t="str">
        <f>IFERROR(__xludf.DUMMYFUNCTION("""COMPUTED_VALUE"""),"Imported from file DigiZag Bidding Codes.xlsx")</f>
        <v>Imported from file DigiZag Bidding Codes.xlsx</v>
      </c>
      <c r="F1350" s="2" t="str">
        <f>IFERROR(__xludf.DUMMYFUNCTION("""COMPUTED_VALUE"""),"BNN568126")</f>
        <v>BNN568126</v>
      </c>
      <c r="G1350" s="2" t="str">
        <f>IFERROR(__xludf.DUMMYFUNCTION("""COMPUTED_VALUE"""),"Kingdom of Saudi Arabia")</f>
        <v>Kingdom of Saudi Arabia</v>
      </c>
      <c r="H1350" s="2">
        <f>IFERROR(__xludf.DUMMYFUNCTION("""COMPUTED_VALUE"""),380.55)</f>
        <v>380.55</v>
      </c>
      <c r="I1350" s="2">
        <f>IFERROR(__xludf.DUMMYFUNCTION("""COMPUTED_VALUE"""),0.0)</f>
        <v>0</v>
      </c>
      <c r="J1350" s="2">
        <f>IFERROR(__xludf.DUMMYFUNCTION("""COMPUTED_VALUE"""),30.0)</f>
        <v>30</v>
      </c>
      <c r="K1350" s="2"/>
      <c r="L1350" s="2" t="str">
        <f>IFERROR(__xludf.DUMMYFUNCTION("""COMPUTED_VALUE"""),"Processing")</f>
        <v>Processing</v>
      </c>
      <c r="M1350" s="2" t="str">
        <f>IFERROR(__xludf.DUMMYFUNCTION("""COMPUTED_VALUE"""),"")</f>
        <v></v>
      </c>
      <c r="N1350" s="2" t="str">
        <f>IFERROR(__xludf.DUMMYFUNCTION("""COMPUTED_VALUE"""),"Credit, Debit, Apple Pay")</f>
        <v>Credit, Debit, Apple Pay</v>
      </c>
      <c r="O1350" s="2">
        <f>IFERROR(__xludf.DUMMYFUNCTION("""COMPUTED_VALUE"""),0.0)</f>
        <v>0</v>
      </c>
      <c r="P1350" s="2">
        <f>IFERROR(__xludf.DUMMYFUNCTION("""COMPUTED_VALUE"""),20.0)</f>
        <v>20</v>
      </c>
      <c r="Q1350" s="2">
        <f>IFERROR(__xludf.DUMMYFUNCTION("""COMPUTED_VALUE"""),10.0)</f>
        <v>10</v>
      </c>
      <c r="R1350" s="2">
        <f>IFERROR(__xludf.DUMMYFUNCTION("""COMPUTED_VALUE"""),2025.0)</f>
        <v>2025</v>
      </c>
      <c r="S1350" s="2" t="str">
        <f>IFERROR(__xludf.DUMMYFUNCTION("""COMPUTED_VALUE"""),"Digizag")</f>
        <v>Digizag</v>
      </c>
      <c r="T1350" s="2" t="str">
        <f>IFERROR(__xludf.DUMMYFUNCTION("""COMPUTED_VALUE"""),"Digizag")</f>
        <v>Digizag</v>
      </c>
      <c r="U1350" s="5">
        <f>IFERROR(__xludf.DUMMYFUNCTION("""COMPUTED_VALUE"""),101.47215280530001)</f>
        <v>101.4721528</v>
      </c>
      <c r="V1350" s="2"/>
      <c r="W1350" s="2"/>
      <c r="X1350" s="2"/>
      <c r="Y1350" s="2"/>
      <c r="Z1350" s="2"/>
    </row>
    <row r="1351">
      <c r="A1351" s="6">
        <f>IFERROR(__xludf.DUMMYFUNCTION("""COMPUTED_VALUE"""),45950.65950231482)</f>
        <v>45950.6595</v>
      </c>
      <c r="B1351" s="2" t="str">
        <f>IFERROR(__xludf.DUMMYFUNCTION("""COMPUTED_VALUE"""),"October")</f>
        <v>October</v>
      </c>
      <c r="C1351" s="2">
        <f>IFERROR(__xludf.DUMMYFUNCTION("""COMPUTED_VALUE"""),62568.0)</f>
        <v>62568</v>
      </c>
      <c r="D1351" s="2" t="str">
        <f>IFERROR(__xludf.DUMMYFUNCTION("""COMPUTED_VALUE"""),"ZM22")</f>
        <v>ZM22</v>
      </c>
      <c r="E1351" s="2" t="str">
        <f>IFERROR(__xludf.DUMMYFUNCTION("""COMPUTED_VALUE"""),"Imported from file Digizag.xlsx")</f>
        <v>Imported from file Digizag.xlsx</v>
      </c>
      <c r="F1351" s="2" t="str">
        <f>IFERROR(__xludf.DUMMYFUNCTION("""COMPUTED_VALUE"""),"YAG804244")</f>
        <v>YAG804244</v>
      </c>
      <c r="G1351" s="2" t="str">
        <f>IFERROR(__xludf.DUMMYFUNCTION("""COMPUTED_VALUE"""),"UAE")</f>
        <v>UAE</v>
      </c>
      <c r="H1351" s="2">
        <f>IFERROR(__xludf.DUMMYFUNCTION("""COMPUTED_VALUE"""),191.0)</f>
        <v>191</v>
      </c>
      <c r="I1351" s="2">
        <f>IFERROR(__xludf.DUMMYFUNCTION("""COMPUTED_VALUE"""),0.0)</f>
        <v>0</v>
      </c>
      <c r="J1351" s="2">
        <f>IFERROR(__xludf.DUMMYFUNCTION("""COMPUTED_VALUE"""),19.1)</f>
        <v>19.1</v>
      </c>
      <c r="K1351" s="2"/>
      <c r="L1351" s="2" t="str">
        <f>IFERROR(__xludf.DUMMYFUNCTION("""COMPUTED_VALUE"""),"Delivered")</f>
        <v>Delivered</v>
      </c>
      <c r="M1351" s="2" t="str">
        <f>IFERROR(__xludf.DUMMYFUNCTION("""COMPUTED_VALUE"""),"")</f>
        <v></v>
      </c>
      <c r="N1351" s="2" t="str">
        <f>IFERROR(__xludf.DUMMYFUNCTION("""COMPUTED_VALUE"""),"Credit, Debit , Apple Pay")</f>
        <v>Credit, Debit , Apple Pay</v>
      </c>
      <c r="O1351" s="2">
        <f>IFERROR(__xludf.DUMMYFUNCTION("""COMPUTED_VALUE"""),0.0)</f>
        <v>0</v>
      </c>
      <c r="P1351" s="2">
        <f>IFERROR(__xludf.DUMMYFUNCTION("""COMPUTED_VALUE"""),20.0)</f>
        <v>20</v>
      </c>
      <c r="Q1351" s="2">
        <f>IFERROR(__xludf.DUMMYFUNCTION("""COMPUTED_VALUE"""),10.0)</f>
        <v>10</v>
      </c>
      <c r="R1351" s="2">
        <f>IFERROR(__xludf.DUMMYFUNCTION("""COMPUTED_VALUE"""),2025.0)</f>
        <v>2025</v>
      </c>
      <c r="S1351" s="2" t="str">
        <f>IFERROR(__xludf.DUMMYFUNCTION("""COMPUTED_VALUE"""),"Digizag")</f>
        <v>Digizag</v>
      </c>
      <c r="T1351" s="2" t="str">
        <f>IFERROR(__xludf.DUMMYFUNCTION("""COMPUTED_VALUE"""),"Digizag")</f>
        <v>Digizag</v>
      </c>
      <c r="U1351" s="5">
        <f>IFERROR(__xludf.DUMMYFUNCTION("""COMPUTED_VALUE"""),52.008168898)</f>
        <v>52.0081689</v>
      </c>
      <c r="V1351" s="2"/>
      <c r="W1351" s="2"/>
      <c r="X1351" s="2"/>
      <c r="Y1351" s="2"/>
      <c r="Z1351" s="2"/>
    </row>
    <row r="1352">
      <c r="A1352" s="6">
        <f>IFERROR(__xludf.DUMMYFUNCTION("""COMPUTED_VALUE"""),45950.66054398148)</f>
        <v>45950.66054</v>
      </c>
      <c r="B1352" s="2" t="str">
        <f>IFERROR(__xludf.DUMMYFUNCTION("""COMPUTED_VALUE"""),"October")</f>
        <v>October</v>
      </c>
      <c r="C1352" s="2">
        <f>IFERROR(__xludf.DUMMYFUNCTION("""COMPUTED_VALUE"""),818294.0)</f>
        <v>818294</v>
      </c>
      <c r="D1352" s="2" t="str">
        <f>IFERROR(__xludf.DUMMYFUNCTION("""COMPUTED_VALUE"""),"DB6")</f>
        <v>DB6</v>
      </c>
      <c r="E1352" s="2" t="str">
        <f>IFERROR(__xludf.DUMMYFUNCTION("""COMPUTED_VALUE"""),"Digizag")</f>
        <v>Digizag</v>
      </c>
      <c r="F1352" s="2" t="str">
        <f>IFERROR(__xludf.DUMMYFUNCTION("""COMPUTED_VALUE"""),"AJD214662")</f>
        <v>AJD214662</v>
      </c>
      <c r="G1352" s="2" t="str">
        <f>IFERROR(__xludf.DUMMYFUNCTION("""COMPUTED_VALUE"""),"Kingdom of Saudi Arabia")</f>
        <v>Kingdom of Saudi Arabia</v>
      </c>
      <c r="H1352" s="2">
        <f>IFERROR(__xludf.DUMMYFUNCTION("""COMPUTED_VALUE"""),91.69)</f>
        <v>91.69</v>
      </c>
      <c r="I1352" s="2">
        <f>IFERROR(__xludf.DUMMYFUNCTION("""COMPUTED_VALUE"""),0.0)</f>
        <v>0</v>
      </c>
      <c r="J1352" s="2">
        <f>IFERROR(__xludf.DUMMYFUNCTION("""COMPUTED_VALUE"""),22.91)</f>
        <v>22.91</v>
      </c>
      <c r="K1352" s="2"/>
      <c r="L1352" s="2" t="str">
        <f>IFERROR(__xludf.DUMMYFUNCTION("""COMPUTED_VALUE"""),"Delivered")</f>
        <v>Delivered</v>
      </c>
      <c r="M1352" s="2" t="str">
        <f>IFERROR(__xludf.DUMMYFUNCTION("""COMPUTED_VALUE"""),"")</f>
        <v></v>
      </c>
      <c r="N1352" s="2" t="str">
        <f>IFERROR(__xludf.DUMMYFUNCTION("""COMPUTED_VALUE"""),"Credit, Debit, Apple Pay")</f>
        <v>Credit, Debit, Apple Pay</v>
      </c>
      <c r="O1352" s="2">
        <f>IFERROR(__xludf.DUMMYFUNCTION("""COMPUTED_VALUE"""),0.0)</f>
        <v>0</v>
      </c>
      <c r="P1352" s="2">
        <f>IFERROR(__xludf.DUMMYFUNCTION("""COMPUTED_VALUE"""),20.0)</f>
        <v>20</v>
      </c>
      <c r="Q1352" s="2">
        <f>IFERROR(__xludf.DUMMYFUNCTION("""COMPUTED_VALUE"""),10.0)</f>
        <v>10</v>
      </c>
      <c r="R1352" s="2">
        <f>IFERROR(__xludf.DUMMYFUNCTION("""COMPUTED_VALUE"""),2025.0)</f>
        <v>2025</v>
      </c>
      <c r="S1352" s="2" t="str">
        <f>IFERROR(__xludf.DUMMYFUNCTION("""COMPUTED_VALUE"""),"Digizag")</f>
        <v>Digizag</v>
      </c>
      <c r="T1352" s="2" t="str">
        <f>IFERROR(__xludf.DUMMYFUNCTION("""COMPUTED_VALUE"""),"Digizag")</f>
        <v>Digizag</v>
      </c>
      <c r="U1352" s="5">
        <f>IFERROR(__xludf.DUMMYFUNCTION("""COMPUTED_VALUE"""),24.44877595774)</f>
        <v>24.44877596</v>
      </c>
      <c r="V1352" s="2"/>
      <c r="W1352" s="2"/>
      <c r="X1352" s="2"/>
      <c r="Y1352" s="2"/>
      <c r="Z1352" s="2"/>
    </row>
    <row r="1353">
      <c r="A1353" s="6">
        <f>IFERROR(__xludf.DUMMYFUNCTION("""COMPUTED_VALUE"""),45950.72608796296)</f>
        <v>45950.72609</v>
      </c>
      <c r="B1353" s="2" t="str">
        <f>IFERROR(__xludf.DUMMYFUNCTION("""COMPUTED_VALUE"""),"October")</f>
        <v>October</v>
      </c>
      <c r="C1353" s="2">
        <f>IFERROR(__xludf.DUMMYFUNCTION("""COMPUTED_VALUE"""),18401.0)</f>
        <v>18401</v>
      </c>
      <c r="D1353" s="2" t="str">
        <f>IFERROR(__xludf.DUMMYFUNCTION("""COMPUTED_VALUE"""),"CC22")</f>
        <v>CC22</v>
      </c>
      <c r="E1353" s="2" t="str">
        <f>IFERROR(__xludf.DUMMYFUNCTION("""COMPUTED_VALUE"""),"Imported from file Digizag.xlsx")</f>
        <v>Imported from file Digizag.xlsx</v>
      </c>
      <c r="F1353" s="2" t="str">
        <f>IFERROR(__xludf.DUMMYFUNCTION("""COMPUTED_VALUE"""),"KXN369956")</f>
        <v>KXN369956</v>
      </c>
      <c r="G1353" s="2" t="str">
        <f>IFERROR(__xludf.DUMMYFUNCTION("""COMPUTED_VALUE"""),"UAE")</f>
        <v>UAE</v>
      </c>
      <c r="H1353" s="2">
        <f>IFERROR(__xludf.DUMMYFUNCTION("""COMPUTED_VALUE"""),304.14)</f>
        <v>304.14</v>
      </c>
      <c r="I1353" s="2">
        <f>IFERROR(__xludf.DUMMYFUNCTION("""COMPUTED_VALUE"""),0.0)</f>
        <v>0</v>
      </c>
      <c r="J1353" s="2">
        <f>IFERROR(__xludf.DUMMYFUNCTION("""COMPUTED_VALUE"""),30.41)</f>
        <v>30.41</v>
      </c>
      <c r="K1353" s="2"/>
      <c r="L1353" s="2" t="str">
        <f>IFERROR(__xludf.DUMMYFUNCTION("""COMPUTED_VALUE"""),"Delivered")</f>
        <v>Delivered</v>
      </c>
      <c r="M1353" s="2" t="str">
        <f>IFERROR(__xludf.DUMMYFUNCTION("""COMPUTED_VALUE"""),"")</f>
        <v></v>
      </c>
      <c r="N1353" s="2" t="str">
        <f>IFERROR(__xludf.DUMMYFUNCTION("""COMPUTED_VALUE"""),"Credit, Debit , Apple Pay")</f>
        <v>Credit, Debit , Apple Pay</v>
      </c>
      <c r="O1353" s="2">
        <f>IFERROR(__xludf.DUMMYFUNCTION("""COMPUTED_VALUE"""),0.0)</f>
        <v>0</v>
      </c>
      <c r="P1353" s="2">
        <f>IFERROR(__xludf.DUMMYFUNCTION("""COMPUTED_VALUE"""),20.0)</f>
        <v>20</v>
      </c>
      <c r="Q1353" s="2">
        <f>IFERROR(__xludf.DUMMYFUNCTION("""COMPUTED_VALUE"""),10.0)</f>
        <v>10</v>
      </c>
      <c r="R1353" s="2">
        <f>IFERROR(__xludf.DUMMYFUNCTION("""COMPUTED_VALUE"""),2025.0)</f>
        <v>2025</v>
      </c>
      <c r="S1353" s="2" t="str">
        <f>IFERROR(__xludf.DUMMYFUNCTION("""COMPUTED_VALUE"""),"Digizag")</f>
        <v>Digizag</v>
      </c>
      <c r="T1353" s="2" t="str">
        <f>IFERROR(__xludf.DUMMYFUNCTION("""COMPUTED_VALUE"""),"Digizag")</f>
        <v>Digizag</v>
      </c>
      <c r="U1353" s="5">
        <f>IFERROR(__xludf.DUMMYFUNCTION("""COMPUTED_VALUE"""),82.81552088292)</f>
        <v>82.81552088</v>
      </c>
      <c r="V1353" s="2"/>
      <c r="W1353" s="2"/>
      <c r="X1353" s="2"/>
      <c r="Y1353" s="2"/>
      <c r="Z1353" s="2"/>
    </row>
    <row r="1354">
      <c r="A1354" s="6">
        <f>IFERROR(__xludf.DUMMYFUNCTION("""COMPUTED_VALUE"""),45950.73462962963)</f>
        <v>45950.73463</v>
      </c>
      <c r="B1354" s="2" t="str">
        <f>IFERROR(__xludf.DUMMYFUNCTION("""COMPUTED_VALUE"""),"October")</f>
        <v>October</v>
      </c>
      <c r="C1354" s="2">
        <f>IFERROR(__xludf.DUMMYFUNCTION("""COMPUTED_VALUE"""),148762.0)</f>
        <v>148762</v>
      </c>
      <c r="D1354" s="2" t="str">
        <f>IFERROR(__xludf.DUMMYFUNCTION("""COMPUTED_VALUE"""),"82WP58")</f>
        <v>82WP58</v>
      </c>
      <c r="E1354" s="2" t="str">
        <f>IFERROR(__xludf.DUMMYFUNCTION("""COMPUTED_VALUE"""),"Imported from file DigiZag Bidding Codes.xlsx")</f>
        <v>Imported from file DigiZag Bidding Codes.xlsx</v>
      </c>
      <c r="F1354" s="2" t="str">
        <f>IFERROR(__xludf.DUMMYFUNCTION("""COMPUTED_VALUE"""),"LRJ380139")</f>
        <v>LRJ380139</v>
      </c>
      <c r="G1354" s="2" t="str">
        <f>IFERROR(__xludf.DUMMYFUNCTION("""COMPUTED_VALUE"""),"Kingdom of Saudi Arabia")</f>
        <v>Kingdom of Saudi Arabia</v>
      </c>
      <c r="H1354" s="2">
        <f>IFERROR(__xludf.DUMMYFUNCTION("""COMPUTED_VALUE"""),129.0)</f>
        <v>129</v>
      </c>
      <c r="I1354" s="2">
        <f>IFERROR(__xludf.DUMMYFUNCTION("""COMPUTED_VALUE"""),0.0)</f>
        <v>0</v>
      </c>
      <c r="J1354" s="2">
        <f>IFERROR(__xludf.DUMMYFUNCTION("""COMPUTED_VALUE"""),30.0)</f>
        <v>30</v>
      </c>
      <c r="K1354" s="2"/>
      <c r="L1354" s="2" t="str">
        <f>IFERROR(__xludf.DUMMYFUNCTION("""COMPUTED_VALUE"""),"Delivered")</f>
        <v>Delivered</v>
      </c>
      <c r="M1354" s="2" t="str">
        <f>IFERROR(__xludf.DUMMYFUNCTION("""COMPUTED_VALUE"""),"")</f>
        <v></v>
      </c>
      <c r="N1354" s="2" t="str">
        <f>IFERROR(__xludf.DUMMYFUNCTION("""COMPUTED_VALUE"""),"Credit, Debit, Apple Pay")</f>
        <v>Credit, Debit, Apple Pay</v>
      </c>
      <c r="O1354" s="2">
        <f>IFERROR(__xludf.DUMMYFUNCTION("""COMPUTED_VALUE"""),0.0)</f>
        <v>0</v>
      </c>
      <c r="P1354" s="2">
        <f>IFERROR(__xludf.DUMMYFUNCTION("""COMPUTED_VALUE"""),20.0)</f>
        <v>20</v>
      </c>
      <c r="Q1354" s="2">
        <f>IFERROR(__xludf.DUMMYFUNCTION("""COMPUTED_VALUE"""),10.0)</f>
        <v>10</v>
      </c>
      <c r="R1354" s="2">
        <f>IFERROR(__xludf.DUMMYFUNCTION("""COMPUTED_VALUE"""),2025.0)</f>
        <v>2025</v>
      </c>
      <c r="S1354" s="2" t="str">
        <f>IFERROR(__xludf.DUMMYFUNCTION("""COMPUTED_VALUE"""),"Digizag")</f>
        <v>Digizag</v>
      </c>
      <c r="T1354" s="2" t="str">
        <f>IFERROR(__xludf.DUMMYFUNCTION("""COMPUTED_VALUE"""),"Digizag")</f>
        <v>Digizag</v>
      </c>
      <c r="U1354" s="5">
        <f>IFERROR(__xludf.DUMMYFUNCTION("""COMPUTED_VALUE"""),34.397339934)</f>
        <v>34.39733993</v>
      </c>
      <c r="V1354" s="2"/>
      <c r="W1354" s="2"/>
      <c r="X1354" s="2"/>
      <c r="Y1354" s="2"/>
      <c r="Z1354" s="2"/>
    </row>
    <row r="1355">
      <c r="A1355" s="6">
        <f>IFERROR(__xludf.DUMMYFUNCTION("""COMPUTED_VALUE"""),45950.75255787037)</f>
        <v>45950.75256</v>
      </c>
      <c r="B1355" s="2" t="str">
        <f>IFERROR(__xludf.DUMMYFUNCTION("""COMPUTED_VALUE"""),"October")</f>
        <v>October</v>
      </c>
      <c r="C1355" s="2">
        <f>IFERROR(__xludf.DUMMYFUNCTION("""COMPUTED_VALUE"""),62568.0)</f>
        <v>62568</v>
      </c>
      <c r="D1355" s="2" t="str">
        <f>IFERROR(__xludf.DUMMYFUNCTION("""COMPUTED_VALUE"""),"ZM22")</f>
        <v>ZM22</v>
      </c>
      <c r="E1355" s="2" t="str">
        <f>IFERROR(__xludf.DUMMYFUNCTION("""COMPUTED_VALUE"""),"Imported from file Digizag.xlsx")</f>
        <v>Imported from file Digizag.xlsx</v>
      </c>
      <c r="F1355" s="2" t="str">
        <f>IFERROR(__xludf.DUMMYFUNCTION("""COMPUTED_VALUE"""),"KVW880180")</f>
        <v>KVW880180</v>
      </c>
      <c r="G1355" s="2" t="str">
        <f>IFERROR(__xludf.DUMMYFUNCTION("""COMPUTED_VALUE"""),"UAE")</f>
        <v>UAE</v>
      </c>
      <c r="H1355" s="2">
        <f>IFERROR(__xludf.DUMMYFUNCTION("""COMPUTED_VALUE"""),349.0)</f>
        <v>349</v>
      </c>
      <c r="I1355" s="2">
        <f>IFERROR(__xludf.DUMMYFUNCTION("""COMPUTED_VALUE"""),0.0)</f>
        <v>0</v>
      </c>
      <c r="J1355" s="2">
        <f>IFERROR(__xludf.DUMMYFUNCTION("""COMPUTED_VALUE"""),34.9)</f>
        <v>34.9</v>
      </c>
      <c r="K1355" s="2"/>
      <c r="L1355" s="2" t="str">
        <f>IFERROR(__xludf.DUMMYFUNCTION("""COMPUTED_VALUE"""),"Processing")</f>
        <v>Processing</v>
      </c>
      <c r="M1355" s="2" t="str">
        <f>IFERROR(__xludf.DUMMYFUNCTION("""COMPUTED_VALUE"""),"")</f>
        <v></v>
      </c>
      <c r="N1355" s="2" t="str">
        <f>IFERROR(__xludf.DUMMYFUNCTION("""COMPUTED_VALUE"""),"Credit, Debit , Apple Pay")</f>
        <v>Credit, Debit , Apple Pay</v>
      </c>
      <c r="O1355" s="2">
        <f>IFERROR(__xludf.DUMMYFUNCTION("""COMPUTED_VALUE"""),0.0)</f>
        <v>0</v>
      </c>
      <c r="P1355" s="2">
        <f>IFERROR(__xludf.DUMMYFUNCTION("""COMPUTED_VALUE"""),20.0)</f>
        <v>20</v>
      </c>
      <c r="Q1355" s="2">
        <f>IFERROR(__xludf.DUMMYFUNCTION("""COMPUTED_VALUE"""),10.0)</f>
        <v>10</v>
      </c>
      <c r="R1355" s="2">
        <f>IFERROR(__xludf.DUMMYFUNCTION("""COMPUTED_VALUE"""),2025.0)</f>
        <v>2025</v>
      </c>
      <c r="S1355" s="2" t="str">
        <f>IFERROR(__xludf.DUMMYFUNCTION("""COMPUTED_VALUE"""),"Digizag")</f>
        <v>Digizag</v>
      </c>
      <c r="T1355" s="2" t="str">
        <f>IFERROR(__xludf.DUMMYFUNCTION("""COMPUTED_VALUE"""),"Digizag")</f>
        <v>Digizag</v>
      </c>
      <c r="U1355" s="5">
        <f>IFERROR(__xludf.DUMMYFUNCTION("""COMPUTED_VALUE"""),95.03063322199999)</f>
        <v>95.03063322</v>
      </c>
      <c r="V1355" s="2"/>
      <c r="W1355" s="2"/>
      <c r="X1355" s="2"/>
      <c r="Y1355" s="2"/>
      <c r="Z1355" s="2"/>
    </row>
    <row r="1356">
      <c r="A1356" s="6">
        <f>IFERROR(__xludf.DUMMYFUNCTION("""COMPUTED_VALUE"""),45950.75939814815)</f>
        <v>45950.7594</v>
      </c>
      <c r="B1356" s="2" t="str">
        <f>IFERROR(__xludf.DUMMYFUNCTION("""COMPUTED_VALUE"""),"October")</f>
        <v>October</v>
      </c>
      <c r="C1356" s="2">
        <f>IFERROR(__xludf.DUMMYFUNCTION("""COMPUTED_VALUE"""),818446.0)</f>
        <v>818446</v>
      </c>
      <c r="D1356" s="2" t="str">
        <f>IFERROR(__xludf.DUMMYFUNCTION("""COMPUTED_VALUE"""),"82WP58")</f>
        <v>82WP58</v>
      </c>
      <c r="E1356" s="2" t="str">
        <f>IFERROR(__xludf.DUMMYFUNCTION("""COMPUTED_VALUE"""),"Imported from file DigiZag Bidding Codes.xlsx")</f>
        <v>Imported from file DigiZag Bidding Codes.xlsx</v>
      </c>
      <c r="F1356" s="2" t="str">
        <f>IFERROR(__xludf.DUMMYFUNCTION("""COMPUTED_VALUE"""),"QBK486368")</f>
        <v>QBK486368</v>
      </c>
      <c r="G1356" s="2" t="str">
        <f>IFERROR(__xludf.DUMMYFUNCTION("""COMPUTED_VALUE"""),"Kingdom of Saudi Arabia")</f>
        <v>Kingdom of Saudi Arabia</v>
      </c>
      <c r="H1356" s="2">
        <f>IFERROR(__xludf.DUMMYFUNCTION("""COMPUTED_VALUE"""),77.95)</f>
        <v>77.95</v>
      </c>
      <c r="I1356" s="2">
        <f>IFERROR(__xludf.DUMMYFUNCTION("""COMPUTED_VALUE"""),0.0)</f>
        <v>0</v>
      </c>
      <c r="J1356" s="2">
        <f>IFERROR(__xludf.DUMMYFUNCTION("""COMPUTED_VALUE"""),19.48)</f>
        <v>19.48</v>
      </c>
      <c r="K1356" s="2"/>
      <c r="L1356" s="2" t="str">
        <f>IFERROR(__xludf.DUMMYFUNCTION("""COMPUTED_VALUE"""),"Delivered")</f>
        <v>Delivered</v>
      </c>
      <c r="M1356" s="2" t="str">
        <f>IFERROR(__xludf.DUMMYFUNCTION("""COMPUTED_VALUE"""),"")</f>
        <v></v>
      </c>
      <c r="N1356" s="2" t="str">
        <f>IFERROR(__xludf.DUMMYFUNCTION("""COMPUTED_VALUE"""),"Credit, Debit, Apple Pay")</f>
        <v>Credit, Debit, Apple Pay</v>
      </c>
      <c r="O1356" s="2">
        <f>IFERROR(__xludf.DUMMYFUNCTION("""COMPUTED_VALUE"""),0.0)</f>
        <v>0</v>
      </c>
      <c r="P1356" s="2">
        <f>IFERROR(__xludf.DUMMYFUNCTION("""COMPUTED_VALUE"""),20.0)</f>
        <v>20</v>
      </c>
      <c r="Q1356" s="2">
        <f>IFERROR(__xludf.DUMMYFUNCTION("""COMPUTED_VALUE"""),10.0)</f>
        <v>10</v>
      </c>
      <c r="R1356" s="2">
        <f>IFERROR(__xludf.DUMMYFUNCTION("""COMPUTED_VALUE"""),2025.0)</f>
        <v>2025</v>
      </c>
      <c r="S1356" s="2" t="str">
        <f>IFERROR(__xludf.DUMMYFUNCTION("""COMPUTED_VALUE"""),"Digizag")</f>
        <v>Digizag</v>
      </c>
      <c r="T1356" s="2" t="str">
        <f>IFERROR(__xludf.DUMMYFUNCTION("""COMPUTED_VALUE"""),"Digizag")</f>
        <v>Digizag</v>
      </c>
      <c r="U1356" s="5">
        <f>IFERROR(__xludf.DUMMYFUNCTION("""COMPUTED_VALUE"""),20.785059285700004)</f>
        <v>20.78505929</v>
      </c>
      <c r="V1356" s="2"/>
      <c r="W1356" s="2"/>
      <c r="X1356" s="2"/>
      <c r="Y1356" s="2"/>
      <c r="Z1356" s="2"/>
    </row>
    <row r="1357">
      <c r="A1357" s="6">
        <f>IFERROR(__xludf.DUMMYFUNCTION("""COMPUTED_VALUE"""),45950.89388888889)</f>
        <v>45950.89389</v>
      </c>
      <c r="B1357" s="2" t="str">
        <f>IFERROR(__xludf.DUMMYFUNCTION("""COMPUTED_VALUE"""),"October")</f>
        <v>October</v>
      </c>
      <c r="C1357" s="2">
        <f>IFERROR(__xludf.DUMMYFUNCTION("""COMPUTED_VALUE"""),819781.0)</f>
        <v>819781</v>
      </c>
      <c r="D1357" s="2" t="str">
        <f>IFERROR(__xludf.DUMMYFUNCTION("""COMPUTED_VALUE"""),"DB22")</f>
        <v>DB22</v>
      </c>
      <c r="E1357" s="2" t="str">
        <f>IFERROR(__xludf.DUMMYFUNCTION("""COMPUTED_VALUE"""),"Imported from file Digizag.xlsx")</f>
        <v>Imported from file Digizag.xlsx</v>
      </c>
      <c r="F1357" s="2" t="str">
        <f>IFERROR(__xludf.DUMMYFUNCTION("""COMPUTED_VALUE"""),"NJU481175")</f>
        <v>NJU481175</v>
      </c>
      <c r="G1357" s="2" t="str">
        <f>IFERROR(__xludf.DUMMYFUNCTION("""COMPUTED_VALUE"""),"Kingdom of Saudi Arabia")</f>
        <v>Kingdom of Saudi Arabia</v>
      </c>
      <c r="H1357" s="2">
        <f>IFERROR(__xludf.DUMMYFUNCTION("""COMPUTED_VALUE"""),103.48)</f>
        <v>103.48</v>
      </c>
      <c r="I1357" s="2">
        <f>IFERROR(__xludf.DUMMYFUNCTION("""COMPUTED_VALUE"""),0.0)</f>
        <v>0</v>
      </c>
      <c r="J1357" s="2">
        <f>IFERROR(__xludf.DUMMYFUNCTION("""COMPUTED_VALUE"""),25.87)</f>
        <v>25.87</v>
      </c>
      <c r="K1357" s="2"/>
      <c r="L1357" s="2" t="str">
        <f>IFERROR(__xludf.DUMMYFUNCTION("""COMPUTED_VALUE"""),"Processing")</f>
        <v>Processing</v>
      </c>
      <c r="M1357" s="2" t="str">
        <f>IFERROR(__xludf.DUMMYFUNCTION("""COMPUTED_VALUE"""),"")</f>
        <v></v>
      </c>
      <c r="N1357" s="2" t="str">
        <f>IFERROR(__xludf.DUMMYFUNCTION("""COMPUTED_VALUE"""),"Credit, Debit, Apple Pay")</f>
        <v>Credit, Debit, Apple Pay</v>
      </c>
      <c r="O1357" s="2">
        <f>IFERROR(__xludf.DUMMYFUNCTION("""COMPUTED_VALUE"""),0.0)</f>
        <v>0</v>
      </c>
      <c r="P1357" s="2">
        <f>IFERROR(__xludf.DUMMYFUNCTION("""COMPUTED_VALUE"""),20.0)</f>
        <v>20</v>
      </c>
      <c r="Q1357" s="2">
        <f>IFERROR(__xludf.DUMMYFUNCTION("""COMPUTED_VALUE"""),10.0)</f>
        <v>10</v>
      </c>
      <c r="R1357" s="2">
        <f>IFERROR(__xludf.DUMMYFUNCTION("""COMPUTED_VALUE"""),2025.0)</f>
        <v>2025</v>
      </c>
      <c r="S1357" s="2" t="str">
        <f>IFERROR(__xludf.DUMMYFUNCTION("""COMPUTED_VALUE"""),"Digizag")</f>
        <v>Digizag</v>
      </c>
      <c r="T1357" s="2" t="str">
        <f>IFERROR(__xludf.DUMMYFUNCTION("""COMPUTED_VALUE"""),"Digizag")</f>
        <v>Digizag</v>
      </c>
      <c r="U1357" s="5">
        <f>IFERROR(__xludf.DUMMYFUNCTION("""COMPUTED_VALUE"""),27.592532840080004)</f>
        <v>27.59253284</v>
      </c>
      <c r="V1357" s="2"/>
      <c r="W1357" s="2"/>
      <c r="X1357" s="2"/>
      <c r="Y1357" s="2"/>
      <c r="Z1357" s="2"/>
    </row>
    <row r="1358">
      <c r="A1358" s="6">
        <f>IFERROR(__xludf.DUMMYFUNCTION("""COMPUTED_VALUE"""),45951.15148148148)</f>
        <v>45951.15148</v>
      </c>
      <c r="B1358" s="2" t="str">
        <f>IFERROR(__xludf.DUMMYFUNCTION("""COMPUTED_VALUE"""),"October")</f>
        <v>October</v>
      </c>
      <c r="C1358" s="2">
        <f>IFERROR(__xludf.DUMMYFUNCTION("""COMPUTED_VALUE"""),364783.0)</f>
        <v>364783</v>
      </c>
      <c r="D1358" s="2" t="str">
        <f>IFERROR(__xludf.DUMMYFUNCTION("""COMPUTED_VALUE"""),"CC22")</f>
        <v>CC22</v>
      </c>
      <c r="E1358" s="2" t="str">
        <f>IFERROR(__xludf.DUMMYFUNCTION("""COMPUTED_VALUE"""),"Imported from file Digizag.xlsx")</f>
        <v>Imported from file Digizag.xlsx</v>
      </c>
      <c r="F1358" s="2" t="str">
        <f>IFERROR(__xludf.DUMMYFUNCTION("""COMPUTED_VALUE"""),"QAP123357")</f>
        <v>QAP123357</v>
      </c>
      <c r="G1358" s="2" t="str">
        <f>IFERROR(__xludf.DUMMYFUNCTION("""COMPUTED_VALUE"""),"Kingdom of Saudi Arabia")</f>
        <v>Kingdom of Saudi Arabia</v>
      </c>
      <c r="H1358" s="2">
        <f>IFERROR(__xludf.DUMMYFUNCTION("""COMPUTED_VALUE"""),42.0)</f>
        <v>42</v>
      </c>
      <c r="I1358" s="2">
        <f>IFERROR(__xludf.DUMMYFUNCTION("""COMPUTED_VALUE"""),0.0)</f>
        <v>0</v>
      </c>
      <c r="J1358" s="2">
        <f>IFERROR(__xludf.DUMMYFUNCTION("""COMPUTED_VALUE"""),10.5)</f>
        <v>10.5</v>
      </c>
      <c r="K1358" s="2"/>
      <c r="L1358" s="2" t="str">
        <f>IFERROR(__xludf.DUMMYFUNCTION("""COMPUTED_VALUE"""),"Processing")</f>
        <v>Processing</v>
      </c>
      <c r="M1358" s="2" t="str">
        <f>IFERROR(__xludf.DUMMYFUNCTION("""COMPUTED_VALUE"""),"")</f>
        <v></v>
      </c>
      <c r="N1358" s="2" t="str">
        <f>IFERROR(__xludf.DUMMYFUNCTION("""COMPUTED_VALUE"""),"Credit, Debit, Apple Pay")</f>
        <v>Credit, Debit, Apple Pay</v>
      </c>
      <c r="O1358" s="2">
        <f>IFERROR(__xludf.DUMMYFUNCTION("""COMPUTED_VALUE"""),0.0)</f>
        <v>0</v>
      </c>
      <c r="P1358" s="2">
        <f>IFERROR(__xludf.DUMMYFUNCTION("""COMPUTED_VALUE"""),21.0)</f>
        <v>21</v>
      </c>
      <c r="Q1358" s="2">
        <f>IFERROR(__xludf.DUMMYFUNCTION("""COMPUTED_VALUE"""),10.0)</f>
        <v>10</v>
      </c>
      <c r="R1358" s="2">
        <f>IFERROR(__xludf.DUMMYFUNCTION("""COMPUTED_VALUE"""),2025.0)</f>
        <v>2025</v>
      </c>
      <c r="S1358" s="2" t="str">
        <f>IFERROR(__xludf.DUMMYFUNCTION("""COMPUTED_VALUE"""),"Digizag")</f>
        <v>Digizag</v>
      </c>
      <c r="T1358" s="2" t="str">
        <f>IFERROR(__xludf.DUMMYFUNCTION("""COMPUTED_VALUE"""),"Digizag")</f>
        <v>Digizag</v>
      </c>
      <c r="U1358" s="5">
        <f>IFERROR(__xludf.DUMMYFUNCTION("""COMPUTED_VALUE"""),11.199133932)</f>
        <v>11.19913393</v>
      </c>
      <c r="V1358" s="2"/>
      <c r="W1358" s="2"/>
      <c r="X1358" s="2"/>
      <c r="Y1358" s="2"/>
      <c r="Z1358" s="2"/>
    </row>
    <row r="1359">
      <c r="A1359" s="6">
        <f>IFERROR(__xludf.DUMMYFUNCTION("""COMPUTED_VALUE"""),45951.28071759259)</f>
        <v>45951.28072</v>
      </c>
      <c r="B1359" s="2" t="str">
        <f>IFERROR(__xludf.DUMMYFUNCTION("""COMPUTED_VALUE"""),"October")</f>
        <v>October</v>
      </c>
      <c r="C1359" s="2">
        <f>IFERROR(__xludf.DUMMYFUNCTION("""COMPUTED_VALUE"""),187632.0)</f>
        <v>187632</v>
      </c>
      <c r="D1359" s="2" t="str">
        <f>IFERROR(__xludf.DUMMYFUNCTION("""COMPUTED_VALUE"""),"82WP58")</f>
        <v>82WP58</v>
      </c>
      <c r="E1359" s="2" t="str">
        <f>IFERROR(__xludf.DUMMYFUNCTION("""COMPUTED_VALUE"""),"Imported from file DigiZag Bidding Codes.xlsx")</f>
        <v>Imported from file DigiZag Bidding Codes.xlsx</v>
      </c>
      <c r="F1359" s="2" t="str">
        <f>IFERROR(__xludf.DUMMYFUNCTION("""COMPUTED_VALUE"""),"SBC832256")</f>
        <v>SBC832256</v>
      </c>
      <c r="G1359" s="2" t="str">
        <f>IFERROR(__xludf.DUMMYFUNCTION("""COMPUTED_VALUE"""),"Kingdom of Saudi Arabia")</f>
        <v>Kingdom of Saudi Arabia</v>
      </c>
      <c r="H1359" s="2">
        <f>IFERROR(__xludf.DUMMYFUNCTION("""COMPUTED_VALUE"""),460.94)</f>
        <v>460.94</v>
      </c>
      <c r="I1359" s="2">
        <f>IFERROR(__xludf.DUMMYFUNCTION("""COMPUTED_VALUE"""),0.0)</f>
        <v>0</v>
      </c>
      <c r="J1359" s="2">
        <f>IFERROR(__xludf.DUMMYFUNCTION("""COMPUTED_VALUE"""),30.0)</f>
        <v>30</v>
      </c>
      <c r="K1359" s="2"/>
      <c r="L1359" s="2" t="str">
        <f>IFERROR(__xludf.DUMMYFUNCTION("""COMPUTED_VALUE"""),"Delivered")</f>
        <v>Delivered</v>
      </c>
      <c r="M1359" s="2" t="str">
        <f>IFERROR(__xludf.DUMMYFUNCTION("""COMPUTED_VALUE"""),"")</f>
        <v></v>
      </c>
      <c r="N1359" s="2" t="str">
        <f>IFERROR(__xludf.DUMMYFUNCTION("""COMPUTED_VALUE"""),"Credit, Debit, Apple Pay")</f>
        <v>Credit, Debit, Apple Pay</v>
      </c>
      <c r="O1359" s="2">
        <f>IFERROR(__xludf.DUMMYFUNCTION("""COMPUTED_VALUE"""),0.0)</f>
        <v>0</v>
      </c>
      <c r="P1359" s="2">
        <f>IFERROR(__xludf.DUMMYFUNCTION("""COMPUTED_VALUE"""),21.0)</f>
        <v>21</v>
      </c>
      <c r="Q1359" s="2">
        <f>IFERROR(__xludf.DUMMYFUNCTION("""COMPUTED_VALUE"""),10.0)</f>
        <v>10</v>
      </c>
      <c r="R1359" s="2">
        <f>IFERROR(__xludf.DUMMYFUNCTION("""COMPUTED_VALUE"""),2025.0)</f>
        <v>2025</v>
      </c>
      <c r="S1359" s="2" t="str">
        <f>IFERROR(__xludf.DUMMYFUNCTION("""COMPUTED_VALUE"""),"Digizag")</f>
        <v>Digizag</v>
      </c>
      <c r="T1359" s="2" t="str">
        <f>IFERROR(__xludf.DUMMYFUNCTION("""COMPUTED_VALUE"""),"Digizag")</f>
        <v>Digizag</v>
      </c>
      <c r="U1359" s="5">
        <f>IFERROR(__xludf.DUMMYFUNCTION("""COMPUTED_VALUE"""),122.90782844324)</f>
        <v>122.9078284</v>
      </c>
      <c r="V1359" s="2"/>
      <c r="W1359" s="2"/>
      <c r="X1359" s="2"/>
      <c r="Y1359" s="2"/>
      <c r="Z1359" s="2"/>
    </row>
    <row r="1360">
      <c r="A1360" s="6">
        <f>IFERROR(__xludf.DUMMYFUNCTION("""COMPUTED_VALUE"""),45951.31282407408)</f>
        <v>45951.31282</v>
      </c>
      <c r="B1360" s="2" t="str">
        <f>IFERROR(__xludf.DUMMYFUNCTION("""COMPUTED_VALUE"""),"October")</f>
        <v>October</v>
      </c>
      <c r="C1360" s="2">
        <f>IFERROR(__xludf.DUMMYFUNCTION("""COMPUTED_VALUE"""),819846.0)</f>
        <v>819846</v>
      </c>
      <c r="D1360" s="2" t="str">
        <f>IFERROR(__xludf.DUMMYFUNCTION("""COMPUTED_VALUE"""),"82WP58")</f>
        <v>82WP58</v>
      </c>
      <c r="E1360" s="2" t="str">
        <f>IFERROR(__xludf.DUMMYFUNCTION("""COMPUTED_VALUE"""),"Imported from file DigiZag Bidding Codes.xlsx")</f>
        <v>Imported from file DigiZag Bidding Codes.xlsx</v>
      </c>
      <c r="F1360" s="2" t="str">
        <f>IFERROR(__xludf.DUMMYFUNCTION("""COMPUTED_VALUE"""),"HPH472587")</f>
        <v>HPH472587</v>
      </c>
      <c r="G1360" s="2" t="str">
        <f>IFERROR(__xludf.DUMMYFUNCTION("""COMPUTED_VALUE"""),"Kingdom of Saudi Arabia")</f>
        <v>Kingdom of Saudi Arabia</v>
      </c>
      <c r="H1360" s="2">
        <f>IFERROR(__xludf.DUMMYFUNCTION("""COMPUTED_VALUE"""),135.71)</f>
        <v>135.71</v>
      </c>
      <c r="I1360" s="2">
        <f>IFERROR(__xludf.DUMMYFUNCTION("""COMPUTED_VALUE"""),0.0)</f>
        <v>0</v>
      </c>
      <c r="J1360" s="2">
        <f>IFERROR(__xludf.DUMMYFUNCTION("""COMPUTED_VALUE"""),30.0)</f>
        <v>30</v>
      </c>
      <c r="K1360" s="2"/>
      <c r="L1360" s="2" t="str">
        <f>IFERROR(__xludf.DUMMYFUNCTION("""COMPUTED_VALUE"""),"Delivered")</f>
        <v>Delivered</v>
      </c>
      <c r="M1360" s="2" t="str">
        <f>IFERROR(__xludf.DUMMYFUNCTION("""COMPUTED_VALUE"""),"")</f>
        <v></v>
      </c>
      <c r="N1360" s="2" t="str">
        <f>IFERROR(__xludf.DUMMYFUNCTION("""COMPUTED_VALUE"""),"Credit, Debit, Apple Pay")</f>
        <v>Credit, Debit, Apple Pay</v>
      </c>
      <c r="O1360" s="2">
        <f>IFERROR(__xludf.DUMMYFUNCTION("""COMPUTED_VALUE"""),0.0)</f>
        <v>0</v>
      </c>
      <c r="P1360" s="2">
        <f>IFERROR(__xludf.DUMMYFUNCTION("""COMPUTED_VALUE"""),21.0)</f>
        <v>21</v>
      </c>
      <c r="Q1360" s="2">
        <f>IFERROR(__xludf.DUMMYFUNCTION("""COMPUTED_VALUE"""),10.0)</f>
        <v>10</v>
      </c>
      <c r="R1360" s="2">
        <f>IFERROR(__xludf.DUMMYFUNCTION("""COMPUTED_VALUE"""),2025.0)</f>
        <v>2025</v>
      </c>
      <c r="S1360" s="2" t="str">
        <f>IFERROR(__xludf.DUMMYFUNCTION("""COMPUTED_VALUE"""),"Digizag")</f>
        <v>Digizag</v>
      </c>
      <c r="T1360" s="2" t="str">
        <f>IFERROR(__xludf.DUMMYFUNCTION("""COMPUTED_VALUE"""),"Digizag")</f>
        <v>Digizag</v>
      </c>
      <c r="U1360" s="5">
        <f>IFERROR(__xludf.DUMMYFUNCTION("""COMPUTED_VALUE"""),36.18653490266001)</f>
        <v>36.1865349</v>
      </c>
      <c r="V1360" s="2"/>
      <c r="W1360" s="2"/>
      <c r="X1360" s="2"/>
      <c r="Y1360" s="2"/>
      <c r="Z1360" s="2"/>
    </row>
    <row r="1361">
      <c r="A1361" s="6">
        <f>IFERROR(__xludf.DUMMYFUNCTION("""COMPUTED_VALUE"""),45951.39256944445)</f>
        <v>45951.39257</v>
      </c>
      <c r="B1361" s="2" t="str">
        <f>IFERROR(__xludf.DUMMYFUNCTION("""COMPUTED_VALUE"""),"October")</f>
        <v>October</v>
      </c>
      <c r="C1361" s="2">
        <f>IFERROR(__xludf.DUMMYFUNCTION("""COMPUTED_VALUE"""),819864.0)</f>
        <v>819864</v>
      </c>
      <c r="D1361" s="2" t="str">
        <f>IFERROR(__xludf.DUMMYFUNCTION("""COMPUTED_VALUE"""),"DB7")</f>
        <v>DB7</v>
      </c>
      <c r="E1361" s="2" t="str">
        <f>IFERROR(__xludf.DUMMYFUNCTION("""COMPUTED_VALUE"""),"Digizag")</f>
        <v>Digizag</v>
      </c>
      <c r="F1361" s="2" t="str">
        <f>IFERROR(__xludf.DUMMYFUNCTION("""COMPUTED_VALUE"""),"AZE267969")</f>
        <v>AZE267969</v>
      </c>
      <c r="G1361" s="2" t="str">
        <f>IFERROR(__xludf.DUMMYFUNCTION("""COMPUTED_VALUE"""),"Kingdom of Saudi Arabia")</f>
        <v>Kingdom of Saudi Arabia</v>
      </c>
      <c r="H1361" s="2">
        <f>IFERROR(__xludf.DUMMYFUNCTION("""COMPUTED_VALUE"""),245.54)</f>
        <v>245.54</v>
      </c>
      <c r="I1361" s="2">
        <f>IFERROR(__xludf.DUMMYFUNCTION("""COMPUTED_VALUE"""),0.0)</f>
        <v>0</v>
      </c>
      <c r="J1361" s="2">
        <f>IFERROR(__xludf.DUMMYFUNCTION("""COMPUTED_VALUE"""),30.0)</f>
        <v>30</v>
      </c>
      <c r="K1361" s="2"/>
      <c r="L1361" s="2" t="str">
        <f>IFERROR(__xludf.DUMMYFUNCTION("""COMPUTED_VALUE"""),"Delivered")</f>
        <v>Delivered</v>
      </c>
      <c r="M1361" s="2" t="str">
        <f>IFERROR(__xludf.DUMMYFUNCTION("""COMPUTED_VALUE"""),"")</f>
        <v></v>
      </c>
      <c r="N1361" s="2" t="str">
        <f>IFERROR(__xludf.DUMMYFUNCTION("""COMPUTED_VALUE"""),"Credit, Debit, Apple Pay")</f>
        <v>Credit, Debit, Apple Pay</v>
      </c>
      <c r="O1361" s="2">
        <f>IFERROR(__xludf.DUMMYFUNCTION("""COMPUTED_VALUE"""),0.0)</f>
        <v>0</v>
      </c>
      <c r="P1361" s="2">
        <f>IFERROR(__xludf.DUMMYFUNCTION("""COMPUTED_VALUE"""),21.0)</f>
        <v>21</v>
      </c>
      <c r="Q1361" s="2">
        <f>IFERROR(__xludf.DUMMYFUNCTION("""COMPUTED_VALUE"""),10.0)</f>
        <v>10</v>
      </c>
      <c r="R1361" s="2">
        <f>IFERROR(__xludf.DUMMYFUNCTION("""COMPUTED_VALUE"""),2025.0)</f>
        <v>2025</v>
      </c>
      <c r="S1361" s="2" t="str">
        <f>IFERROR(__xludf.DUMMYFUNCTION("""COMPUTED_VALUE"""),"Digizag")</f>
        <v>Digizag</v>
      </c>
      <c r="T1361" s="2" t="str">
        <f>IFERROR(__xludf.DUMMYFUNCTION("""COMPUTED_VALUE"""),"Digizag")</f>
        <v>Digizag</v>
      </c>
      <c r="U1361" s="5">
        <f>IFERROR(__xludf.DUMMYFUNCTION("""COMPUTED_VALUE"""),65.47227013484)</f>
        <v>65.47227013</v>
      </c>
      <c r="V1361" s="2"/>
      <c r="W1361" s="2"/>
      <c r="X1361" s="2"/>
      <c r="Y1361" s="2"/>
      <c r="Z1361" s="2"/>
    </row>
    <row r="1362">
      <c r="A1362" s="6">
        <f>IFERROR(__xludf.DUMMYFUNCTION("""COMPUTED_VALUE"""),45951.42008101852)</f>
        <v>45951.42008</v>
      </c>
      <c r="B1362" s="2" t="str">
        <f>IFERROR(__xludf.DUMMYFUNCTION("""COMPUTED_VALUE"""),"October")</f>
        <v>October</v>
      </c>
      <c r="C1362" s="2">
        <f>IFERROR(__xludf.DUMMYFUNCTION("""COMPUTED_VALUE"""),228782.0)</f>
        <v>228782</v>
      </c>
      <c r="D1362" s="2" t="str">
        <f>IFERROR(__xludf.DUMMYFUNCTION("""COMPUTED_VALUE"""),"RR22")</f>
        <v>RR22</v>
      </c>
      <c r="E1362" s="2" t="str">
        <f>IFERROR(__xludf.DUMMYFUNCTION("""COMPUTED_VALUE"""),"Imported from file Digizag.xlsx")</f>
        <v>Imported from file Digizag.xlsx</v>
      </c>
      <c r="F1362" s="2" t="str">
        <f>IFERROR(__xludf.DUMMYFUNCTION("""COMPUTED_VALUE"""),"DCD476113")</f>
        <v>DCD476113</v>
      </c>
      <c r="G1362" s="2" t="str">
        <f>IFERROR(__xludf.DUMMYFUNCTION("""COMPUTED_VALUE"""),"UAE")</f>
        <v>UAE</v>
      </c>
      <c r="H1362" s="2">
        <f>IFERROR(__xludf.DUMMYFUNCTION("""COMPUTED_VALUE"""),460.0)</f>
        <v>460</v>
      </c>
      <c r="I1362" s="2">
        <f>IFERROR(__xludf.DUMMYFUNCTION("""COMPUTED_VALUE"""),0.0)</f>
        <v>0</v>
      </c>
      <c r="J1362" s="2">
        <f>IFERROR(__xludf.DUMMYFUNCTION("""COMPUTED_VALUE"""),46.0)</f>
        <v>46</v>
      </c>
      <c r="K1362" s="2"/>
      <c r="L1362" s="2" t="str">
        <f>IFERROR(__xludf.DUMMYFUNCTION("""COMPUTED_VALUE"""),"Delivered")</f>
        <v>Delivered</v>
      </c>
      <c r="M1362" s="2" t="str">
        <f>IFERROR(__xludf.DUMMYFUNCTION("""COMPUTED_VALUE"""),"")</f>
        <v></v>
      </c>
      <c r="N1362" s="2" t="str">
        <f>IFERROR(__xludf.DUMMYFUNCTION("""COMPUTED_VALUE"""),"Credit, Debit , Apple Pay")</f>
        <v>Credit, Debit , Apple Pay</v>
      </c>
      <c r="O1362" s="2">
        <f>IFERROR(__xludf.DUMMYFUNCTION("""COMPUTED_VALUE"""),0.0)</f>
        <v>0</v>
      </c>
      <c r="P1362" s="2">
        <f>IFERROR(__xludf.DUMMYFUNCTION("""COMPUTED_VALUE"""),21.0)</f>
        <v>21</v>
      </c>
      <c r="Q1362" s="2">
        <f>IFERROR(__xludf.DUMMYFUNCTION("""COMPUTED_VALUE"""),10.0)</f>
        <v>10</v>
      </c>
      <c r="R1362" s="2">
        <f>IFERROR(__xludf.DUMMYFUNCTION("""COMPUTED_VALUE"""),2025.0)</f>
        <v>2025</v>
      </c>
      <c r="S1362" s="2" t="str">
        <f>IFERROR(__xludf.DUMMYFUNCTION("""COMPUTED_VALUE"""),"Digizag")</f>
        <v>Digizag</v>
      </c>
      <c r="T1362" s="2" t="str">
        <f>IFERROR(__xludf.DUMMYFUNCTION("""COMPUTED_VALUE"""),"Digizag")</f>
        <v>Digizag</v>
      </c>
      <c r="U1362" s="5">
        <f>IFERROR(__xludf.DUMMYFUNCTION("""COMPUTED_VALUE"""),125.25527588)</f>
        <v>125.2552759</v>
      </c>
      <c r="V1362" s="2"/>
      <c r="W1362" s="2"/>
      <c r="X1362" s="2"/>
      <c r="Y1362" s="2"/>
      <c r="Z1362" s="2"/>
    </row>
    <row r="1363">
      <c r="A1363" s="6">
        <f>IFERROR(__xludf.DUMMYFUNCTION("""COMPUTED_VALUE"""),45951.434212962966)</f>
        <v>45951.43421</v>
      </c>
      <c r="B1363" s="2" t="str">
        <f>IFERROR(__xludf.DUMMYFUNCTION("""COMPUTED_VALUE"""),"October")</f>
        <v>October</v>
      </c>
      <c r="C1363" s="2">
        <f>IFERROR(__xludf.DUMMYFUNCTION("""COMPUTED_VALUE"""),819888.0)</f>
        <v>819888</v>
      </c>
      <c r="D1363" s="2" t="str">
        <f>IFERROR(__xludf.DUMMYFUNCTION("""COMPUTED_VALUE"""),"82WP58")</f>
        <v>82WP58</v>
      </c>
      <c r="E1363" s="2" t="str">
        <f>IFERROR(__xludf.DUMMYFUNCTION("""COMPUTED_VALUE"""),"Imported from file DigiZag Bidding Codes.xlsx")</f>
        <v>Imported from file DigiZag Bidding Codes.xlsx</v>
      </c>
      <c r="F1363" s="2" t="str">
        <f>IFERROR(__xludf.DUMMYFUNCTION("""COMPUTED_VALUE"""),"EGH663012")</f>
        <v>EGH663012</v>
      </c>
      <c r="G1363" s="2" t="str">
        <f>IFERROR(__xludf.DUMMYFUNCTION("""COMPUTED_VALUE"""),"Kingdom of Saudi Arabia")</f>
        <v>Kingdom of Saudi Arabia</v>
      </c>
      <c r="H1363" s="2">
        <f>IFERROR(__xludf.DUMMYFUNCTION("""COMPUTED_VALUE"""),189.3)</f>
        <v>189.3</v>
      </c>
      <c r="I1363" s="2">
        <f>IFERROR(__xludf.DUMMYFUNCTION("""COMPUTED_VALUE"""),0.0)</f>
        <v>0</v>
      </c>
      <c r="J1363" s="2">
        <f>IFERROR(__xludf.DUMMYFUNCTION("""COMPUTED_VALUE"""),30.0)</f>
        <v>30</v>
      </c>
      <c r="K1363" s="2"/>
      <c r="L1363" s="2" t="str">
        <f>IFERROR(__xludf.DUMMYFUNCTION("""COMPUTED_VALUE"""),"Processing")</f>
        <v>Processing</v>
      </c>
      <c r="M1363" s="2" t="str">
        <f>IFERROR(__xludf.DUMMYFUNCTION("""COMPUTED_VALUE"""),"")</f>
        <v></v>
      </c>
      <c r="N1363" s="2" t="str">
        <f>IFERROR(__xludf.DUMMYFUNCTION("""COMPUTED_VALUE"""),"Credit, Debit, Apple Pay")</f>
        <v>Credit, Debit, Apple Pay</v>
      </c>
      <c r="O1363" s="2">
        <f>IFERROR(__xludf.DUMMYFUNCTION("""COMPUTED_VALUE"""),0.0)</f>
        <v>0</v>
      </c>
      <c r="P1363" s="2">
        <f>IFERROR(__xludf.DUMMYFUNCTION("""COMPUTED_VALUE"""),21.0)</f>
        <v>21</v>
      </c>
      <c r="Q1363" s="2">
        <f>IFERROR(__xludf.DUMMYFUNCTION("""COMPUTED_VALUE"""),10.0)</f>
        <v>10</v>
      </c>
      <c r="R1363" s="2">
        <f>IFERROR(__xludf.DUMMYFUNCTION("""COMPUTED_VALUE"""),2025.0)</f>
        <v>2025</v>
      </c>
      <c r="S1363" s="2" t="str">
        <f>IFERROR(__xludf.DUMMYFUNCTION("""COMPUTED_VALUE"""),"Digizag")</f>
        <v>Digizag</v>
      </c>
      <c r="T1363" s="2" t="str">
        <f>IFERROR(__xludf.DUMMYFUNCTION("""COMPUTED_VALUE"""),"Digizag")</f>
        <v>Digizag</v>
      </c>
      <c r="U1363" s="5">
        <f>IFERROR(__xludf.DUMMYFUNCTION("""COMPUTED_VALUE"""),50.47609650780001)</f>
        <v>50.47609651</v>
      </c>
      <c r="V1363" s="2"/>
      <c r="W1363" s="2"/>
      <c r="X1363" s="2"/>
      <c r="Y1363" s="2"/>
      <c r="Z1363" s="2"/>
    </row>
    <row r="1364">
      <c r="A1364" s="6">
        <f>IFERROR(__xludf.DUMMYFUNCTION("""COMPUTED_VALUE"""),45951.50840277778)</f>
        <v>45951.5084</v>
      </c>
      <c r="B1364" s="2" t="str">
        <f>IFERROR(__xludf.DUMMYFUNCTION("""COMPUTED_VALUE"""),"October")</f>
        <v>October</v>
      </c>
      <c r="C1364" s="2">
        <f>IFERROR(__xludf.DUMMYFUNCTION("""COMPUTED_VALUE"""),171195.0)</f>
        <v>171195</v>
      </c>
      <c r="D1364" s="2" t="str">
        <f>IFERROR(__xludf.DUMMYFUNCTION("""COMPUTED_VALUE"""),"DB6")</f>
        <v>DB6</v>
      </c>
      <c r="E1364" s="2" t="str">
        <f>IFERROR(__xludf.DUMMYFUNCTION("""COMPUTED_VALUE"""),"Digizag")</f>
        <v>Digizag</v>
      </c>
      <c r="F1364" s="2" t="str">
        <f>IFERROR(__xludf.DUMMYFUNCTION("""COMPUTED_VALUE"""),"JYM108935")</f>
        <v>JYM108935</v>
      </c>
      <c r="G1364" s="2" t="str">
        <f>IFERROR(__xludf.DUMMYFUNCTION("""COMPUTED_VALUE"""),"Kuwait")</f>
        <v>Kuwait</v>
      </c>
      <c r="H1364" s="2">
        <f>IFERROR(__xludf.DUMMYFUNCTION("""COMPUTED_VALUE"""),7.5)</f>
        <v>7.5</v>
      </c>
      <c r="I1364" s="2">
        <f>IFERROR(__xludf.DUMMYFUNCTION("""COMPUTED_VALUE"""),0.0)</f>
        <v>0</v>
      </c>
      <c r="J1364" s="2">
        <f>IFERROR(__xludf.DUMMYFUNCTION("""COMPUTED_VALUE"""),0.75)</f>
        <v>0.75</v>
      </c>
      <c r="K1364" s="2"/>
      <c r="L1364" s="2" t="str">
        <f>IFERROR(__xludf.DUMMYFUNCTION("""COMPUTED_VALUE"""),"Delivered")</f>
        <v>Delivered</v>
      </c>
      <c r="M1364" s="2" t="str">
        <f>IFERROR(__xludf.DUMMYFUNCTION("""COMPUTED_VALUE"""),"KD")</f>
        <v>KD</v>
      </c>
      <c r="N1364" s="2" t="str">
        <f>IFERROR(__xludf.DUMMYFUNCTION("""COMPUTED_VALUE"""),"Credit, Debit, Knet")</f>
        <v>Credit, Debit, Knet</v>
      </c>
      <c r="O1364" s="2">
        <f>IFERROR(__xludf.DUMMYFUNCTION("""COMPUTED_VALUE"""),0.0)</f>
        <v>0</v>
      </c>
      <c r="P1364" s="2">
        <f>IFERROR(__xludf.DUMMYFUNCTION("""COMPUTED_VALUE"""),21.0)</f>
        <v>21</v>
      </c>
      <c r="Q1364" s="2">
        <f>IFERROR(__xludf.DUMMYFUNCTION("""COMPUTED_VALUE"""),10.0)</f>
        <v>10</v>
      </c>
      <c r="R1364" s="2">
        <f>IFERROR(__xludf.DUMMYFUNCTION("""COMPUTED_VALUE"""),2025.0)</f>
        <v>2025</v>
      </c>
      <c r="S1364" s="2" t="str">
        <f>IFERROR(__xludf.DUMMYFUNCTION("""COMPUTED_VALUE"""),"Digizag")</f>
        <v>Digizag</v>
      </c>
      <c r="T1364" s="2" t="str">
        <f>IFERROR(__xludf.DUMMYFUNCTION("""COMPUTED_VALUE"""),"Digizag")</f>
        <v>Digizag</v>
      </c>
      <c r="U1364" s="5">
        <f>IFERROR(__xludf.DUMMYFUNCTION("""COMPUTED_VALUE"""),24.454649999999997)</f>
        <v>24.45465</v>
      </c>
      <c r="V1364" s="2"/>
      <c r="W1364" s="2"/>
      <c r="X1364" s="2"/>
      <c r="Y1364" s="2"/>
      <c r="Z1364" s="2"/>
    </row>
    <row r="1365">
      <c r="A1365" s="6">
        <f>IFERROR(__xludf.DUMMYFUNCTION("""COMPUTED_VALUE"""),45951.60565972222)</f>
        <v>45951.60566</v>
      </c>
      <c r="B1365" s="2" t="str">
        <f>IFERROR(__xludf.DUMMYFUNCTION("""COMPUTED_VALUE"""),"October")</f>
        <v>October</v>
      </c>
      <c r="C1365" s="2">
        <f>IFERROR(__xludf.DUMMYFUNCTION("""COMPUTED_VALUE"""),252629.0)</f>
        <v>252629</v>
      </c>
      <c r="D1365" s="2" t="str">
        <f>IFERROR(__xludf.DUMMYFUNCTION("""COMPUTED_VALUE"""),"ZM22")</f>
        <v>ZM22</v>
      </c>
      <c r="E1365" s="2" t="str">
        <f>IFERROR(__xludf.DUMMYFUNCTION("""COMPUTED_VALUE"""),"Imported from file Digizag.xlsx")</f>
        <v>Imported from file Digizag.xlsx</v>
      </c>
      <c r="F1365" s="2" t="str">
        <f>IFERROR(__xludf.DUMMYFUNCTION("""COMPUTED_VALUE"""),"UVN116620")</f>
        <v>UVN116620</v>
      </c>
      <c r="G1365" s="2" t="str">
        <f>IFERROR(__xludf.DUMMYFUNCTION("""COMPUTED_VALUE"""),"Kingdom of Saudi Arabia")</f>
        <v>Kingdom of Saudi Arabia</v>
      </c>
      <c r="H1365" s="2">
        <f>IFERROR(__xludf.DUMMYFUNCTION("""COMPUTED_VALUE"""),173.04)</f>
        <v>173.04</v>
      </c>
      <c r="I1365" s="2">
        <f>IFERROR(__xludf.DUMMYFUNCTION("""COMPUTED_VALUE"""),0.0)</f>
        <v>0</v>
      </c>
      <c r="J1365" s="2">
        <f>IFERROR(__xludf.DUMMYFUNCTION("""COMPUTED_VALUE"""),30.0)</f>
        <v>30</v>
      </c>
      <c r="K1365" s="2"/>
      <c r="L1365" s="2" t="str">
        <f>IFERROR(__xludf.DUMMYFUNCTION("""COMPUTED_VALUE"""),"Delivered")</f>
        <v>Delivered</v>
      </c>
      <c r="M1365" s="2" t="str">
        <f>IFERROR(__xludf.DUMMYFUNCTION("""COMPUTED_VALUE"""),"")</f>
        <v></v>
      </c>
      <c r="N1365" s="2" t="str">
        <f>IFERROR(__xludf.DUMMYFUNCTION("""COMPUTED_VALUE"""),"Credit, Debit, Apple Pay")</f>
        <v>Credit, Debit, Apple Pay</v>
      </c>
      <c r="O1365" s="2">
        <f>IFERROR(__xludf.DUMMYFUNCTION("""COMPUTED_VALUE"""),0.0)</f>
        <v>0</v>
      </c>
      <c r="P1365" s="2">
        <f>IFERROR(__xludf.DUMMYFUNCTION("""COMPUTED_VALUE"""),21.0)</f>
        <v>21</v>
      </c>
      <c r="Q1365" s="2">
        <f>IFERROR(__xludf.DUMMYFUNCTION("""COMPUTED_VALUE"""),10.0)</f>
        <v>10</v>
      </c>
      <c r="R1365" s="2">
        <f>IFERROR(__xludf.DUMMYFUNCTION("""COMPUTED_VALUE"""),2025.0)</f>
        <v>2025</v>
      </c>
      <c r="S1365" s="2" t="str">
        <f>IFERROR(__xludf.DUMMYFUNCTION("""COMPUTED_VALUE"""),"Digizag")</f>
        <v>Digizag</v>
      </c>
      <c r="T1365" s="2" t="str">
        <f>IFERROR(__xludf.DUMMYFUNCTION("""COMPUTED_VALUE"""),"Digizag")</f>
        <v>Digizag</v>
      </c>
      <c r="U1365" s="5">
        <f>IFERROR(__xludf.DUMMYFUNCTION("""COMPUTED_VALUE"""),46.14043179984)</f>
        <v>46.1404318</v>
      </c>
      <c r="V1365" s="2"/>
      <c r="W1365" s="2"/>
      <c r="X1365" s="2"/>
      <c r="Y1365" s="2"/>
      <c r="Z1365" s="2"/>
    </row>
    <row r="1366">
      <c r="A1366" s="6">
        <f>IFERROR(__xludf.DUMMYFUNCTION("""COMPUTED_VALUE"""),45951.79063657407)</f>
        <v>45951.79064</v>
      </c>
      <c r="B1366" s="2" t="str">
        <f>IFERROR(__xludf.DUMMYFUNCTION("""COMPUTED_VALUE"""),"October")</f>
        <v>October</v>
      </c>
      <c r="C1366" s="2">
        <f>IFERROR(__xludf.DUMMYFUNCTION("""COMPUTED_VALUE"""),505202.0)</f>
        <v>505202</v>
      </c>
      <c r="D1366" s="2" t="str">
        <f>IFERROR(__xludf.DUMMYFUNCTION("""COMPUTED_VALUE"""),"JM")</f>
        <v>JM</v>
      </c>
      <c r="E1366" s="2" t="str">
        <f>IFERROR(__xludf.DUMMYFUNCTION("""COMPUTED_VALUE"""),"Digizag")</f>
        <v>Digizag</v>
      </c>
      <c r="F1366" s="2" t="str">
        <f>IFERROR(__xludf.DUMMYFUNCTION("""COMPUTED_VALUE"""),"JHQ357020")</f>
        <v>JHQ357020</v>
      </c>
      <c r="G1366" s="2" t="str">
        <f>IFERROR(__xludf.DUMMYFUNCTION("""COMPUTED_VALUE"""),"Kuwait")</f>
        <v>Kuwait</v>
      </c>
      <c r="H1366" s="2">
        <f>IFERROR(__xludf.DUMMYFUNCTION("""COMPUTED_VALUE"""),7.08)</f>
        <v>7.08</v>
      </c>
      <c r="I1366" s="2">
        <f>IFERROR(__xludf.DUMMYFUNCTION("""COMPUTED_VALUE"""),0.0)</f>
        <v>0</v>
      </c>
      <c r="J1366" s="2">
        <f>IFERROR(__xludf.DUMMYFUNCTION("""COMPUTED_VALUE"""),0.708)</f>
        <v>0.708</v>
      </c>
      <c r="K1366" s="2"/>
      <c r="L1366" s="2" t="str">
        <f>IFERROR(__xludf.DUMMYFUNCTION("""COMPUTED_VALUE"""),"Delivered")</f>
        <v>Delivered</v>
      </c>
      <c r="M1366" s="2" t="str">
        <f>IFERROR(__xludf.DUMMYFUNCTION("""COMPUTED_VALUE"""),"KD")</f>
        <v>KD</v>
      </c>
      <c r="N1366" s="2" t="str">
        <f>IFERROR(__xludf.DUMMYFUNCTION("""COMPUTED_VALUE"""),"Credit, Debit, Knet")</f>
        <v>Credit, Debit, Knet</v>
      </c>
      <c r="O1366" s="2">
        <f>IFERROR(__xludf.DUMMYFUNCTION("""COMPUTED_VALUE"""),0.0)</f>
        <v>0</v>
      </c>
      <c r="P1366" s="2">
        <f>IFERROR(__xludf.DUMMYFUNCTION("""COMPUTED_VALUE"""),21.0)</f>
        <v>21</v>
      </c>
      <c r="Q1366" s="2">
        <f>IFERROR(__xludf.DUMMYFUNCTION("""COMPUTED_VALUE"""),10.0)</f>
        <v>10</v>
      </c>
      <c r="R1366" s="2">
        <f>IFERROR(__xludf.DUMMYFUNCTION("""COMPUTED_VALUE"""),2025.0)</f>
        <v>2025</v>
      </c>
      <c r="S1366" s="2" t="str">
        <f>IFERROR(__xludf.DUMMYFUNCTION("""COMPUTED_VALUE"""),"Digizag")</f>
        <v>Digizag</v>
      </c>
      <c r="T1366" s="2" t="str">
        <f>IFERROR(__xludf.DUMMYFUNCTION("""COMPUTED_VALUE"""),"Digizag")</f>
        <v>Digizag</v>
      </c>
      <c r="U1366" s="5">
        <f>IFERROR(__xludf.DUMMYFUNCTION("""COMPUTED_VALUE"""),23.0851896)</f>
        <v>23.0851896</v>
      </c>
      <c r="V1366" s="2"/>
      <c r="W1366" s="2"/>
      <c r="X1366" s="2"/>
      <c r="Y1366" s="2"/>
      <c r="Z1366" s="2"/>
    </row>
    <row r="1367">
      <c r="A1367" s="6">
        <f>IFERROR(__xludf.DUMMYFUNCTION("""COMPUTED_VALUE"""),45951.80498842592)</f>
        <v>45951.80499</v>
      </c>
      <c r="B1367" s="2" t="str">
        <f>IFERROR(__xludf.DUMMYFUNCTION("""COMPUTED_VALUE"""),"October")</f>
        <v>October</v>
      </c>
      <c r="C1367" s="2">
        <f>IFERROR(__xludf.DUMMYFUNCTION("""COMPUTED_VALUE"""),819781.0)</f>
        <v>819781</v>
      </c>
      <c r="D1367" s="2" t="str">
        <f>IFERROR(__xludf.DUMMYFUNCTION("""COMPUTED_VALUE"""),"DB22")</f>
        <v>DB22</v>
      </c>
      <c r="E1367" s="2" t="str">
        <f>IFERROR(__xludf.DUMMYFUNCTION("""COMPUTED_VALUE"""),"Imported from file Digizag.xlsx")</f>
        <v>Imported from file Digizag.xlsx</v>
      </c>
      <c r="F1367" s="2" t="str">
        <f>IFERROR(__xludf.DUMMYFUNCTION("""COMPUTED_VALUE"""),"KPT181738")</f>
        <v>KPT181738</v>
      </c>
      <c r="G1367" s="2" t="str">
        <f>IFERROR(__xludf.DUMMYFUNCTION("""COMPUTED_VALUE"""),"Kingdom of Saudi Arabia")</f>
        <v>Kingdom of Saudi Arabia</v>
      </c>
      <c r="H1367" s="2">
        <f>IFERROR(__xludf.DUMMYFUNCTION("""COMPUTED_VALUE"""),79.0)</f>
        <v>79</v>
      </c>
      <c r="I1367" s="2">
        <f>IFERROR(__xludf.DUMMYFUNCTION("""COMPUTED_VALUE"""),0.0)</f>
        <v>0</v>
      </c>
      <c r="J1367" s="2">
        <f>IFERROR(__xludf.DUMMYFUNCTION("""COMPUTED_VALUE"""),19.75)</f>
        <v>19.75</v>
      </c>
      <c r="K1367" s="2"/>
      <c r="L1367" s="2" t="str">
        <f>IFERROR(__xludf.DUMMYFUNCTION("""COMPUTED_VALUE"""),"Delivered")</f>
        <v>Delivered</v>
      </c>
      <c r="M1367" s="2" t="str">
        <f>IFERROR(__xludf.DUMMYFUNCTION("""COMPUTED_VALUE"""),"")</f>
        <v></v>
      </c>
      <c r="N1367" s="2" t="str">
        <f>IFERROR(__xludf.DUMMYFUNCTION("""COMPUTED_VALUE"""),"Credit, Debit, Apple Pay")</f>
        <v>Credit, Debit, Apple Pay</v>
      </c>
      <c r="O1367" s="2">
        <f>IFERROR(__xludf.DUMMYFUNCTION("""COMPUTED_VALUE"""),0.0)</f>
        <v>0</v>
      </c>
      <c r="P1367" s="2">
        <f>IFERROR(__xludf.DUMMYFUNCTION("""COMPUTED_VALUE"""),21.0)</f>
        <v>21</v>
      </c>
      <c r="Q1367" s="2">
        <f>IFERROR(__xludf.DUMMYFUNCTION("""COMPUTED_VALUE"""),10.0)</f>
        <v>10</v>
      </c>
      <c r="R1367" s="2">
        <f>IFERROR(__xludf.DUMMYFUNCTION("""COMPUTED_VALUE"""),2025.0)</f>
        <v>2025</v>
      </c>
      <c r="S1367" s="2" t="str">
        <f>IFERROR(__xludf.DUMMYFUNCTION("""COMPUTED_VALUE"""),"Digizag")</f>
        <v>Digizag</v>
      </c>
      <c r="T1367" s="2" t="str">
        <f>IFERROR(__xludf.DUMMYFUNCTION("""COMPUTED_VALUE"""),"Digizag")</f>
        <v>Digizag</v>
      </c>
      <c r="U1367" s="5">
        <f>IFERROR(__xludf.DUMMYFUNCTION("""COMPUTED_VALUE"""),21.065037634000003)</f>
        <v>21.06503763</v>
      </c>
      <c r="V1367" s="2"/>
      <c r="W1367" s="2"/>
      <c r="X1367" s="2"/>
      <c r="Y1367" s="2"/>
      <c r="Z1367" s="2"/>
    </row>
    <row r="1368">
      <c r="A1368" s="6">
        <f>IFERROR(__xludf.DUMMYFUNCTION("""COMPUTED_VALUE"""),45952.24050925926)</f>
        <v>45952.24051</v>
      </c>
      <c r="B1368" s="2" t="str">
        <f>IFERROR(__xludf.DUMMYFUNCTION("""COMPUTED_VALUE"""),"October")</f>
        <v>October</v>
      </c>
      <c r="C1368" s="2">
        <f>IFERROR(__xludf.DUMMYFUNCTION("""COMPUTED_VALUE"""),138171.0)</f>
        <v>138171</v>
      </c>
      <c r="D1368" s="2" t="str">
        <f>IFERROR(__xludf.DUMMYFUNCTION("""COMPUTED_VALUE"""),"DB7")</f>
        <v>DB7</v>
      </c>
      <c r="E1368" s="2" t="str">
        <f>IFERROR(__xludf.DUMMYFUNCTION("""COMPUTED_VALUE"""),"Digizag")</f>
        <v>Digizag</v>
      </c>
      <c r="F1368" s="2" t="str">
        <f>IFERROR(__xludf.DUMMYFUNCTION("""COMPUTED_VALUE"""),"MRE911779")</f>
        <v>MRE911779</v>
      </c>
      <c r="G1368" s="2" t="str">
        <f>IFERROR(__xludf.DUMMYFUNCTION("""COMPUTED_VALUE"""),"Kingdom of Saudi Arabia")</f>
        <v>Kingdom of Saudi Arabia</v>
      </c>
      <c r="H1368" s="2">
        <f>IFERROR(__xludf.DUMMYFUNCTION("""COMPUTED_VALUE"""),137.22)</f>
        <v>137.22</v>
      </c>
      <c r="I1368" s="2">
        <f>IFERROR(__xludf.DUMMYFUNCTION("""COMPUTED_VALUE"""),0.0)</f>
        <v>0</v>
      </c>
      <c r="J1368" s="2">
        <f>IFERROR(__xludf.DUMMYFUNCTION("""COMPUTED_VALUE"""),30.0)</f>
        <v>30</v>
      </c>
      <c r="K1368" s="2"/>
      <c r="L1368" s="2" t="str">
        <f>IFERROR(__xludf.DUMMYFUNCTION("""COMPUTED_VALUE"""),"Processing")</f>
        <v>Processing</v>
      </c>
      <c r="M1368" s="2" t="str">
        <f>IFERROR(__xludf.DUMMYFUNCTION("""COMPUTED_VALUE"""),"")</f>
        <v></v>
      </c>
      <c r="N1368" s="2" t="str">
        <f>IFERROR(__xludf.DUMMYFUNCTION("""COMPUTED_VALUE"""),"Credit, Debit, Apple Pay")</f>
        <v>Credit, Debit, Apple Pay</v>
      </c>
      <c r="O1368" s="2">
        <f>IFERROR(__xludf.DUMMYFUNCTION("""COMPUTED_VALUE"""),0.0)</f>
        <v>0</v>
      </c>
      <c r="P1368" s="2">
        <f>IFERROR(__xludf.DUMMYFUNCTION("""COMPUTED_VALUE"""),22.0)</f>
        <v>22</v>
      </c>
      <c r="Q1368" s="2">
        <f>IFERROR(__xludf.DUMMYFUNCTION("""COMPUTED_VALUE"""),10.0)</f>
        <v>10</v>
      </c>
      <c r="R1368" s="2">
        <f>IFERROR(__xludf.DUMMYFUNCTION("""COMPUTED_VALUE"""),2025.0)</f>
        <v>2025</v>
      </c>
      <c r="S1368" s="2" t="str">
        <f>IFERROR(__xludf.DUMMYFUNCTION("""COMPUTED_VALUE"""),"Digizag")</f>
        <v>Digizag</v>
      </c>
      <c r="T1368" s="2" t="str">
        <f>IFERROR(__xludf.DUMMYFUNCTION("""COMPUTED_VALUE"""),"Digizag")</f>
        <v>Digizag</v>
      </c>
      <c r="U1368" s="5">
        <f>IFERROR(__xludf.DUMMYFUNCTION("""COMPUTED_VALUE"""),36.58917043212001)</f>
        <v>36.58917043</v>
      </c>
      <c r="V1368" s="2"/>
      <c r="W1368" s="2"/>
      <c r="X1368" s="2"/>
      <c r="Y1368" s="2"/>
      <c r="Z1368" s="2"/>
    </row>
    <row r="1369">
      <c r="A1369" s="6">
        <f>IFERROR(__xludf.DUMMYFUNCTION("""COMPUTED_VALUE"""),45952.24822916667)</f>
        <v>45952.24823</v>
      </c>
      <c r="B1369" s="2" t="str">
        <f>IFERROR(__xludf.DUMMYFUNCTION("""COMPUTED_VALUE"""),"October")</f>
        <v>October</v>
      </c>
      <c r="C1369" s="2">
        <f>IFERROR(__xludf.DUMMYFUNCTION("""COMPUTED_VALUE"""),18759.0)</f>
        <v>18759</v>
      </c>
      <c r="D1369" s="2" t="str">
        <f>IFERROR(__xludf.DUMMYFUNCTION("""COMPUTED_VALUE"""),"JM")</f>
        <v>JM</v>
      </c>
      <c r="E1369" s="2" t="str">
        <f>IFERROR(__xludf.DUMMYFUNCTION("""COMPUTED_VALUE"""),"DigiZag")</f>
        <v>DigiZag</v>
      </c>
      <c r="F1369" s="2" t="str">
        <f>IFERROR(__xludf.DUMMYFUNCTION("""COMPUTED_VALUE"""),"DVA430904")</f>
        <v>DVA430904</v>
      </c>
      <c r="G1369" s="2" t="str">
        <f>IFERROR(__xludf.DUMMYFUNCTION("""COMPUTED_VALUE"""),"Kingdom of Saudi Arabia")</f>
        <v>Kingdom of Saudi Arabia</v>
      </c>
      <c r="H1369" s="2">
        <f>IFERROR(__xludf.DUMMYFUNCTION("""COMPUTED_VALUE"""),141.66)</f>
        <v>141.66</v>
      </c>
      <c r="I1369" s="2">
        <f>IFERROR(__xludf.DUMMYFUNCTION("""COMPUTED_VALUE"""),0.0)</f>
        <v>0</v>
      </c>
      <c r="J1369" s="2">
        <f>IFERROR(__xludf.DUMMYFUNCTION("""COMPUTED_VALUE"""),30.0)</f>
        <v>30</v>
      </c>
      <c r="K1369" s="2"/>
      <c r="L1369" s="2" t="str">
        <f>IFERROR(__xludf.DUMMYFUNCTION("""COMPUTED_VALUE"""),"Delivered")</f>
        <v>Delivered</v>
      </c>
      <c r="M1369" s="2" t="str">
        <f>IFERROR(__xludf.DUMMYFUNCTION("""COMPUTED_VALUE"""),"")</f>
        <v></v>
      </c>
      <c r="N1369" s="2" t="str">
        <f>IFERROR(__xludf.DUMMYFUNCTION("""COMPUTED_VALUE"""),"Credit, Debit, Apple Pay")</f>
        <v>Credit, Debit, Apple Pay</v>
      </c>
      <c r="O1369" s="2">
        <f>IFERROR(__xludf.DUMMYFUNCTION("""COMPUTED_VALUE"""),0.0)</f>
        <v>0</v>
      </c>
      <c r="P1369" s="2">
        <f>IFERROR(__xludf.DUMMYFUNCTION("""COMPUTED_VALUE"""),22.0)</f>
        <v>22</v>
      </c>
      <c r="Q1369" s="2">
        <f>IFERROR(__xludf.DUMMYFUNCTION("""COMPUTED_VALUE"""),10.0)</f>
        <v>10</v>
      </c>
      <c r="R1369" s="2">
        <f>IFERROR(__xludf.DUMMYFUNCTION("""COMPUTED_VALUE"""),2025.0)</f>
        <v>2025</v>
      </c>
      <c r="S1369" s="2" t="str">
        <f>IFERROR(__xludf.DUMMYFUNCTION("""COMPUTED_VALUE"""),"Digizag")</f>
        <v>Digizag</v>
      </c>
      <c r="T1369" s="2" t="str">
        <f>IFERROR(__xludf.DUMMYFUNCTION("""COMPUTED_VALUE"""),"Digizag")</f>
        <v>Digizag</v>
      </c>
      <c r="U1369" s="5">
        <f>IFERROR(__xludf.DUMMYFUNCTION("""COMPUTED_VALUE"""),37.77307887636)</f>
        <v>37.77307888</v>
      </c>
      <c r="V1369" s="2"/>
      <c r="W1369" s="2"/>
      <c r="X1369" s="2"/>
      <c r="Y1369" s="2"/>
      <c r="Z1369" s="2"/>
    </row>
    <row r="1370">
      <c r="A1370" s="6">
        <f>IFERROR(__xludf.DUMMYFUNCTION("""COMPUTED_VALUE"""),45952.47994212963)</f>
        <v>45952.47994</v>
      </c>
      <c r="B1370" s="2" t="str">
        <f>IFERROR(__xludf.DUMMYFUNCTION("""COMPUTED_VALUE"""),"October")</f>
        <v>October</v>
      </c>
      <c r="C1370" s="2">
        <f>IFERROR(__xludf.DUMMYFUNCTION("""COMPUTED_VALUE"""),100190.0)</f>
        <v>100190</v>
      </c>
      <c r="D1370" s="2" t="str">
        <f>IFERROR(__xludf.DUMMYFUNCTION("""COMPUTED_VALUE"""),"82WP58")</f>
        <v>82WP58</v>
      </c>
      <c r="E1370" s="2" t="str">
        <f>IFERROR(__xludf.DUMMYFUNCTION("""COMPUTED_VALUE"""),"Imported from file DigiZag Bidding Codes.xlsx")</f>
        <v>Imported from file DigiZag Bidding Codes.xlsx</v>
      </c>
      <c r="F1370" s="2" t="str">
        <f>IFERROR(__xludf.DUMMYFUNCTION("""COMPUTED_VALUE"""),"AXQ436576")</f>
        <v>AXQ436576</v>
      </c>
      <c r="G1370" s="2" t="str">
        <f>IFERROR(__xludf.DUMMYFUNCTION("""COMPUTED_VALUE"""),"Kingdom of Saudi Arabia")</f>
        <v>Kingdom of Saudi Arabia</v>
      </c>
      <c r="H1370" s="2">
        <f>IFERROR(__xludf.DUMMYFUNCTION("""COMPUTED_VALUE"""),181.0)</f>
        <v>181</v>
      </c>
      <c r="I1370" s="2">
        <f>IFERROR(__xludf.DUMMYFUNCTION("""COMPUTED_VALUE"""),0.0)</f>
        <v>0</v>
      </c>
      <c r="J1370" s="2">
        <f>IFERROR(__xludf.DUMMYFUNCTION("""COMPUTED_VALUE"""),30.0)</f>
        <v>30</v>
      </c>
      <c r="K1370" s="2"/>
      <c r="L1370" s="2" t="str">
        <f>IFERROR(__xludf.DUMMYFUNCTION("""COMPUTED_VALUE"""),"Delivered")</f>
        <v>Delivered</v>
      </c>
      <c r="M1370" s="2" t="str">
        <f>IFERROR(__xludf.DUMMYFUNCTION("""COMPUTED_VALUE"""),"")</f>
        <v></v>
      </c>
      <c r="N1370" s="2" t="str">
        <f>IFERROR(__xludf.DUMMYFUNCTION("""COMPUTED_VALUE"""),"Credit, Debit, Apple Pay")</f>
        <v>Credit, Debit, Apple Pay</v>
      </c>
      <c r="O1370" s="2">
        <f>IFERROR(__xludf.DUMMYFUNCTION("""COMPUTED_VALUE"""),0.0)</f>
        <v>0</v>
      </c>
      <c r="P1370" s="2">
        <f>IFERROR(__xludf.DUMMYFUNCTION("""COMPUTED_VALUE"""),22.0)</f>
        <v>22</v>
      </c>
      <c r="Q1370" s="2">
        <f>IFERROR(__xludf.DUMMYFUNCTION("""COMPUTED_VALUE"""),10.0)</f>
        <v>10</v>
      </c>
      <c r="R1370" s="2">
        <f>IFERROR(__xludf.DUMMYFUNCTION("""COMPUTED_VALUE"""),2025.0)</f>
        <v>2025</v>
      </c>
      <c r="S1370" s="2" t="str">
        <f>IFERROR(__xludf.DUMMYFUNCTION("""COMPUTED_VALUE"""),"Digizag")</f>
        <v>Digizag</v>
      </c>
      <c r="T1370" s="2" t="str">
        <f>IFERROR(__xludf.DUMMYFUNCTION("""COMPUTED_VALUE"""),"Digizag")</f>
        <v>Digizag</v>
      </c>
      <c r="U1370" s="5">
        <f>IFERROR(__xludf.DUMMYFUNCTION("""COMPUTED_VALUE"""),48.26293432600001)</f>
        <v>48.26293433</v>
      </c>
      <c r="V1370" s="2"/>
      <c r="W1370" s="2"/>
      <c r="X1370" s="2"/>
      <c r="Y1370" s="2"/>
      <c r="Z1370" s="2"/>
    </row>
    <row r="1371">
      <c r="A1371" s="6">
        <f>IFERROR(__xludf.DUMMYFUNCTION("""COMPUTED_VALUE"""),45952.489282407405)</f>
        <v>45952.48928</v>
      </c>
      <c r="B1371" s="2" t="str">
        <f>IFERROR(__xludf.DUMMYFUNCTION("""COMPUTED_VALUE"""),"October")</f>
        <v>October</v>
      </c>
      <c r="C1371" s="2">
        <f>IFERROR(__xludf.DUMMYFUNCTION("""COMPUTED_VALUE"""),425014.0)</f>
        <v>425014</v>
      </c>
      <c r="D1371" s="2" t="str">
        <f>IFERROR(__xludf.DUMMYFUNCTION("""COMPUTED_VALUE"""),"JM")</f>
        <v>JM</v>
      </c>
      <c r="E1371" s="2" t="str">
        <f>IFERROR(__xludf.DUMMYFUNCTION("""COMPUTED_VALUE"""),"DigiZag")</f>
        <v>DigiZag</v>
      </c>
      <c r="F1371" s="2" t="str">
        <f>IFERROR(__xludf.DUMMYFUNCTION("""COMPUTED_VALUE"""),"MZY993239")</f>
        <v>MZY993239</v>
      </c>
      <c r="G1371" s="2" t="str">
        <f>IFERROR(__xludf.DUMMYFUNCTION("""COMPUTED_VALUE"""),"Kingdom of Saudi Arabia")</f>
        <v>Kingdom of Saudi Arabia</v>
      </c>
      <c r="H1371" s="2">
        <f>IFERROR(__xludf.DUMMYFUNCTION("""COMPUTED_VALUE"""),64.22)</f>
        <v>64.22</v>
      </c>
      <c r="I1371" s="2">
        <f>IFERROR(__xludf.DUMMYFUNCTION("""COMPUTED_VALUE"""),0.0)</f>
        <v>0</v>
      </c>
      <c r="J1371" s="2">
        <f>IFERROR(__xludf.DUMMYFUNCTION("""COMPUTED_VALUE"""),16.05)</f>
        <v>16.05</v>
      </c>
      <c r="K1371" s="2"/>
      <c r="L1371" s="2" t="str">
        <f>IFERROR(__xludf.DUMMYFUNCTION("""COMPUTED_VALUE"""),"Delivered")</f>
        <v>Delivered</v>
      </c>
      <c r="M1371" s="2" t="str">
        <f>IFERROR(__xludf.DUMMYFUNCTION("""COMPUTED_VALUE"""),"")</f>
        <v></v>
      </c>
      <c r="N1371" s="2" t="str">
        <f>IFERROR(__xludf.DUMMYFUNCTION("""COMPUTED_VALUE"""),"Credit, Debit, Apple Pay")</f>
        <v>Credit, Debit, Apple Pay</v>
      </c>
      <c r="O1371" s="2">
        <f>IFERROR(__xludf.DUMMYFUNCTION("""COMPUTED_VALUE"""),0.0)</f>
        <v>0</v>
      </c>
      <c r="P1371" s="2">
        <f>IFERROR(__xludf.DUMMYFUNCTION("""COMPUTED_VALUE"""),22.0)</f>
        <v>22</v>
      </c>
      <c r="Q1371" s="2">
        <f>IFERROR(__xludf.DUMMYFUNCTION("""COMPUTED_VALUE"""),10.0)</f>
        <v>10</v>
      </c>
      <c r="R1371" s="2">
        <f>IFERROR(__xludf.DUMMYFUNCTION("""COMPUTED_VALUE"""),2025.0)</f>
        <v>2025</v>
      </c>
      <c r="S1371" s="2" t="str">
        <f>IFERROR(__xludf.DUMMYFUNCTION("""COMPUTED_VALUE"""),"Digizag")</f>
        <v>Digizag</v>
      </c>
      <c r="T1371" s="2" t="str">
        <f>IFERROR(__xludf.DUMMYFUNCTION("""COMPUTED_VALUE"""),"Digizag")</f>
        <v>Digizag</v>
      </c>
      <c r="U1371" s="5">
        <f>IFERROR(__xludf.DUMMYFUNCTION("""COMPUTED_VALUE"""),17.12400907412)</f>
        <v>17.12400907</v>
      </c>
      <c r="V1371" s="2"/>
      <c r="W1371" s="2"/>
      <c r="X1371" s="2"/>
      <c r="Y1371" s="2"/>
      <c r="Z1371" s="2"/>
    </row>
    <row r="1372">
      <c r="A1372" s="6">
        <f>IFERROR(__xludf.DUMMYFUNCTION("""COMPUTED_VALUE"""),45952.54436342593)</f>
        <v>45952.54436</v>
      </c>
      <c r="B1372" s="2" t="str">
        <f>IFERROR(__xludf.DUMMYFUNCTION("""COMPUTED_VALUE"""),"October")</f>
        <v>October</v>
      </c>
      <c r="C1372" s="2">
        <f>IFERROR(__xludf.DUMMYFUNCTION("""COMPUTED_VALUE"""),118395.0)</f>
        <v>118395</v>
      </c>
      <c r="D1372" s="2" t="str">
        <f>IFERROR(__xludf.DUMMYFUNCTION("""COMPUTED_VALUE"""),"ZM22")</f>
        <v>ZM22</v>
      </c>
      <c r="E1372" s="2" t="str">
        <f>IFERROR(__xludf.DUMMYFUNCTION("""COMPUTED_VALUE"""),"Imported from file Digizag.xlsx")</f>
        <v>Imported from file Digizag.xlsx</v>
      </c>
      <c r="F1372" s="2" t="str">
        <f>IFERROR(__xludf.DUMMYFUNCTION("""COMPUTED_VALUE"""),"CBR113161")</f>
        <v>CBR113161</v>
      </c>
      <c r="G1372" s="2" t="str">
        <f>IFERROR(__xludf.DUMMYFUNCTION("""COMPUTED_VALUE"""),"Kingdom of Saudi Arabia")</f>
        <v>Kingdom of Saudi Arabia</v>
      </c>
      <c r="H1372" s="2">
        <f>IFERROR(__xludf.DUMMYFUNCTION("""COMPUTED_VALUE"""),61.63)</f>
        <v>61.63</v>
      </c>
      <c r="I1372" s="2">
        <f>IFERROR(__xludf.DUMMYFUNCTION("""COMPUTED_VALUE"""),0.0)</f>
        <v>0</v>
      </c>
      <c r="J1372" s="2">
        <f>IFERROR(__xludf.DUMMYFUNCTION("""COMPUTED_VALUE"""),15.4)</f>
        <v>15.4</v>
      </c>
      <c r="K1372" s="2"/>
      <c r="L1372" s="2" t="str">
        <f>IFERROR(__xludf.DUMMYFUNCTION("""COMPUTED_VALUE"""),"Delivered")</f>
        <v>Delivered</v>
      </c>
      <c r="M1372" s="2" t="str">
        <f>IFERROR(__xludf.DUMMYFUNCTION("""COMPUTED_VALUE"""),"")</f>
        <v></v>
      </c>
      <c r="N1372" s="2" t="str">
        <f>IFERROR(__xludf.DUMMYFUNCTION("""COMPUTED_VALUE"""),"Pay in 4. No interest, no fees")</f>
        <v>Pay in 4. No interest, no fees</v>
      </c>
      <c r="O1372" s="2">
        <f>IFERROR(__xludf.DUMMYFUNCTION("""COMPUTED_VALUE"""),0.0)</f>
        <v>0</v>
      </c>
      <c r="P1372" s="2">
        <f>IFERROR(__xludf.DUMMYFUNCTION("""COMPUTED_VALUE"""),22.0)</f>
        <v>22</v>
      </c>
      <c r="Q1372" s="2">
        <f>IFERROR(__xludf.DUMMYFUNCTION("""COMPUTED_VALUE"""),10.0)</f>
        <v>10</v>
      </c>
      <c r="R1372" s="2">
        <f>IFERROR(__xludf.DUMMYFUNCTION("""COMPUTED_VALUE"""),2025.0)</f>
        <v>2025</v>
      </c>
      <c r="S1372" s="2" t="str">
        <f>IFERROR(__xludf.DUMMYFUNCTION("""COMPUTED_VALUE"""),"Digizag")</f>
        <v>Digizag</v>
      </c>
      <c r="T1372" s="2" t="str">
        <f>IFERROR(__xludf.DUMMYFUNCTION("""COMPUTED_VALUE"""),"Digizag")</f>
        <v>Digizag</v>
      </c>
      <c r="U1372" s="5">
        <f>IFERROR(__xludf.DUMMYFUNCTION("""COMPUTED_VALUE"""),16.433395814980003)</f>
        <v>16.43339581</v>
      </c>
      <c r="V1372" s="2"/>
      <c r="W1372" s="2"/>
      <c r="X1372" s="2"/>
      <c r="Y1372" s="2"/>
      <c r="Z1372" s="2"/>
    </row>
    <row r="1373">
      <c r="A1373" s="6">
        <f>IFERROR(__xludf.DUMMYFUNCTION("""COMPUTED_VALUE"""),45952.548414351855)</f>
        <v>45952.54841</v>
      </c>
      <c r="B1373" s="2" t="str">
        <f>IFERROR(__xludf.DUMMYFUNCTION("""COMPUTED_VALUE"""),"October")</f>
        <v>October</v>
      </c>
      <c r="C1373" s="2">
        <f>IFERROR(__xludf.DUMMYFUNCTION("""COMPUTED_VALUE"""),22815.0)</f>
        <v>22815</v>
      </c>
      <c r="D1373" s="2" t="str">
        <f>IFERROR(__xludf.DUMMYFUNCTION("""COMPUTED_VALUE"""),"ZM22")</f>
        <v>ZM22</v>
      </c>
      <c r="E1373" s="2" t="str">
        <f>IFERROR(__xludf.DUMMYFUNCTION("""COMPUTED_VALUE"""),"Imported from file Digizag.xlsx")</f>
        <v>Imported from file Digizag.xlsx</v>
      </c>
      <c r="F1373" s="2" t="str">
        <f>IFERROR(__xludf.DUMMYFUNCTION("""COMPUTED_VALUE"""),"JEJ264880")</f>
        <v>JEJ264880</v>
      </c>
      <c r="G1373" s="2" t="str">
        <f>IFERROR(__xludf.DUMMYFUNCTION("""COMPUTED_VALUE"""),"UAE")</f>
        <v>UAE</v>
      </c>
      <c r="H1373" s="2">
        <f>IFERROR(__xludf.DUMMYFUNCTION("""COMPUTED_VALUE"""),305.0)</f>
        <v>305</v>
      </c>
      <c r="I1373" s="2">
        <f>IFERROR(__xludf.DUMMYFUNCTION("""COMPUTED_VALUE"""),0.0)</f>
        <v>0</v>
      </c>
      <c r="J1373" s="2">
        <f>IFERROR(__xludf.DUMMYFUNCTION("""COMPUTED_VALUE"""),30.5)</f>
        <v>30.5</v>
      </c>
      <c r="K1373" s="2"/>
      <c r="L1373" s="2" t="str">
        <f>IFERROR(__xludf.DUMMYFUNCTION("""COMPUTED_VALUE"""),"Delivered")</f>
        <v>Delivered</v>
      </c>
      <c r="M1373" s="2" t="str">
        <f>IFERROR(__xludf.DUMMYFUNCTION("""COMPUTED_VALUE"""),"")</f>
        <v></v>
      </c>
      <c r="N1373" s="2" t="str">
        <f>IFERROR(__xludf.DUMMYFUNCTION("""COMPUTED_VALUE"""),"Credit, Debit , Apple Pay")</f>
        <v>Credit, Debit , Apple Pay</v>
      </c>
      <c r="O1373" s="2">
        <f>IFERROR(__xludf.DUMMYFUNCTION("""COMPUTED_VALUE"""),0.0)</f>
        <v>0</v>
      </c>
      <c r="P1373" s="2">
        <f>IFERROR(__xludf.DUMMYFUNCTION("""COMPUTED_VALUE"""),22.0)</f>
        <v>22</v>
      </c>
      <c r="Q1373" s="2">
        <f>IFERROR(__xludf.DUMMYFUNCTION("""COMPUTED_VALUE"""),10.0)</f>
        <v>10</v>
      </c>
      <c r="R1373" s="2">
        <f>IFERROR(__xludf.DUMMYFUNCTION("""COMPUTED_VALUE"""),2025.0)</f>
        <v>2025</v>
      </c>
      <c r="S1373" s="2" t="str">
        <f>IFERROR(__xludf.DUMMYFUNCTION("""COMPUTED_VALUE"""),"Digizag")</f>
        <v>Digizag</v>
      </c>
      <c r="T1373" s="2" t="str">
        <f>IFERROR(__xludf.DUMMYFUNCTION("""COMPUTED_VALUE"""),"Digizag")</f>
        <v>Digizag</v>
      </c>
      <c r="U1373" s="5">
        <f>IFERROR(__xludf.DUMMYFUNCTION("""COMPUTED_VALUE"""),83.04969378999999)</f>
        <v>83.04969379</v>
      </c>
      <c r="V1373" s="2"/>
      <c r="W1373" s="2"/>
      <c r="X1373" s="2"/>
      <c r="Y1373" s="2"/>
      <c r="Z1373" s="2"/>
    </row>
    <row r="1374">
      <c r="A1374" s="6">
        <f>IFERROR(__xludf.DUMMYFUNCTION("""COMPUTED_VALUE"""),45952.57387731481)</f>
        <v>45952.57388</v>
      </c>
      <c r="B1374" s="2" t="str">
        <f>IFERROR(__xludf.DUMMYFUNCTION("""COMPUTED_VALUE"""),"October")</f>
        <v>October</v>
      </c>
      <c r="C1374" s="2">
        <f>IFERROR(__xludf.DUMMYFUNCTION("""COMPUTED_VALUE"""),133564.0)</f>
        <v>133564</v>
      </c>
      <c r="D1374" s="2" t="str">
        <f>IFERROR(__xludf.DUMMYFUNCTION("""COMPUTED_VALUE"""),"ZM22")</f>
        <v>ZM22</v>
      </c>
      <c r="E1374" s="2" t="str">
        <f>IFERROR(__xludf.DUMMYFUNCTION("""COMPUTED_VALUE"""),"Imported from file Digizag.xlsx")</f>
        <v>Imported from file Digizag.xlsx</v>
      </c>
      <c r="F1374" s="2" t="str">
        <f>IFERROR(__xludf.DUMMYFUNCTION("""COMPUTED_VALUE"""),"WHV727108")</f>
        <v>WHV727108</v>
      </c>
      <c r="G1374" s="2" t="str">
        <f>IFERROR(__xludf.DUMMYFUNCTION("""COMPUTED_VALUE"""),"UAE")</f>
        <v>UAE</v>
      </c>
      <c r="H1374" s="2">
        <f>IFERROR(__xludf.DUMMYFUNCTION("""COMPUTED_VALUE"""),214.5)</f>
        <v>214.5</v>
      </c>
      <c r="I1374" s="2">
        <f>IFERROR(__xludf.DUMMYFUNCTION("""COMPUTED_VALUE"""),0.0)</f>
        <v>0</v>
      </c>
      <c r="J1374" s="2">
        <f>IFERROR(__xludf.DUMMYFUNCTION("""COMPUTED_VALUE"""),21.45)</f>
        <v>21.45</v>
      </c>
      <c r="K1374" s="2"/>
      <c r="L1374" s="2" t="str">
        <f>IFERROR(__xludf.DUMMYFUNCTION("""COMPUTED_VALUE"""),"Delivered")</f>
        <v>Delivered</v>
      </c>
      <c r="M1374" s="2" t="str">
        <f>IFERROR(__xludf.DUMMYFUNCTION("""COMPUTED_VALUE"""),"")</f>
        <v></v>
      </c>
      <c r="N1374" s="2" t="str">
        <f>IFERROR(__xludf.DUMMYFUNCTION("""COMPUTED_VALUE"""),"Tamara: split in 3, interest-free")</f>
        <v>Tamara: split in 3, interest-free</v>
      </c>
      <c r="O1374" s="2">
        <f>IFERROR(__xludf.DUMMYFUNCTION("""COMPUTED_VALUE"""),0.0)</f>
        <v>0</v>
      </c>
      <c r="P1374" s="2">
        <f>IFERROR(__xludf.DUMMYFUNCTION("""COMPUTED_VALUE"""),22.0)</f>
        <v>22</v>
      </c>
      <c r="Q1374" s="2">
        <f>IFERROR(__xludf.DUMMYFUNCTION("""COMPUTED_VALUE"""),10.0)</f>
        <v>10</v>
      </c>
      <c r="R1374" s="2">
        <f>IFERROR(__xludf.DUMMYFUNCTION("""COMPUTED_VALUE"""),2025.0)</f>
        <v>2025</v>
      </c>
      <c r="S1374" s="2" t="str">
        <f>IFERROR(__xludf.DUMMYFUNCTION("""COMPUTED_VALUE"""),"Digizag")</f>
        <v>Digizag</v>
      </c>
      <c r="T1374" s="2" t="str">
        <f>IFERROR(__xludf.DUMMYFUNCTION("""COMPUTED_VALUE"""),"Digizag")</f>
        <v>Digizag</v>
      </c>
      <c r="U1374" s="5">
        <f>IFERROR(__xludf.DUMMYFUNCTION("""COMPUTED_VALUE"""),58.407079730999996)</f>
        <v>58.40707973</v>
      </c>
      <c r="V1374" s="2"/>
      <c r="W1374" s="2"/>
      <c r="X1374" s="2"/>
      <c r="Y1374" s="2"/>
      <c r="Z1374" s="2"/>
    </row>
    <row r="1375">
      <c r="A1375" s="6">
        <f>IFERROR(__xludf.DUMMYFUNCTION("""COMPUTED_VALUE"""),45952.61614583333)</f>
        <v>45952.61615</v>
      </c>
      <c r="B1375" s="2" t="str">
        <f>IFERROR(__xludf.DUMMYFUNCTION("""COMPUTED_VALUE"""),"October")</f>
        <v>October</v>
      </c>
      <c r="C1375" s="2">
        <f>IFERROR(__xludf.DUMMYFUNCTION("""COMPUTED_VALUE"""),160623.0)</f>
        <v>160623</v>
      </c>
      <c r="D1375" s="2" t="str">
        <f>IFERROR(__xludf.DUMMYFUNCTION("""COMPUTED_VALUE"""),"RR22")</f>
        <v>RR22</v>
      </c>
      <c r="E1375" s="2" t="str">
        <f>IFERROR(__xludf.DUMMYFUNCTION("""COMPUTED_VALUE"""),"Imported from file Digizag.xlsx")</f>
        <v>Imported from file Digizag.xlsx</v>
      </c>
      <c r="F1375" s="2" t="str">
        <f>IFERROR(__xludf.DUMMYFUNCTION("""COMPUTED_VALUE"""),"YEW718667")</f>
        <v>YEW718667</v>
      </c>
      <c r="G1375" s="2" t="str">
        <f>IFERROR(__xludf.DUMMYFUNCTION("""COMPUTED_VALUE"""),"UAE")</f>
        <v>UAE</v>
      </c>
      <c r="H1375" s="2">
        <f>IFERROR(__xludf.DUMMYFUNCTION("""COMPUTED_VALUE"""),228.5)</f>
        <v>228.5</v>
      </c>
      <c r="I1375" s="2">
        <f>IFERROR(__xludf.DUMMYFUNCTION("""COMPUTED_VALUE"""),0.0)</f>
        <v>0</v>
      </c>
      <c r="J1375" s="2">
        <f>IFERROR(__xludf.DUMMYFUNCTION("""COMPUTED_VALUE"""),22.85)</f>
        <v>22.85</v>
      </c>
      <c r="K1375" s="2"/>
      <c r="L1375" s="2" t="str">
        <f>IFERROR(__xludf.DUMMYFUNCTION("""COMPUTED_VALUE"""),"Delivered")</f>
        <v>Delivered</v>
      </c>
      <c r="M1375" s="2" t="str">
        <f>IFERROR(__xludf.DUMMYFUNCTION("""COMPUTED_VALUE"""),"")</f>
        <v></v>
      </c>
      <c r="N1375" s="2" t="str">
        <f>IFERROR(__xludf.DUMMYFUNCTION("""COMPUTED_VALUE"""),"Cash")</f>
        <v>Cash</v>
      </c>
      <c r="O1375" s="2">
        <f>IFERROR(__xludf.DUMMYFUNCTION("""COMPUTED_VALUE"""),0.0)</f>
        <v>0</v>
      </c>
      <c r="P1375" s="2">
        <f>IFERROR(__xludf.DUMMYFUNCTION("""COMPUTED_VALUE"""),22.0)</f>
        <v>22</v>
      </c>
      <c r="Q1375" s="2">
        <f>IFERROR(__xludf.DUMMYFUNCTION("""COMPUTED_VALUE"""),10.0)</f>
        <v>10</v>
      </c>
      <c r="R1375" s="2">
        <f>IFERROR(__xludf.DUMMYFUNCTION("""COMPUTED_VALUE"""),2025.0)</f>
        <v>2025</v>
      </c>
      <c r="S1375" s="2" t="str">
        <f>IFERROR(__xludf.DUMMYFUNCTION("""COMPUTED_VALUE"""),"Digizag")</f>
        <v>Digizag</v>
      </c>
      <c r="T1375" s="2" t="str">
        <f>IFERROR(__xludf.DUMMYFUNCTION("""COMPUTED_VALUE"""),"Digizag")</f>
        <v>Digizag</v>
      </c>
      <c r="U1375" s="5">
        <f>IFERROR(__xludf.DUMMYFUNCTION("""COMPUTED_VALUE"""),62.219196823)</f>
        <v>62.21919682</v>
      </c>
      <c r="V1375" s="2"/>
      <c r="W1375" s="2"/>
      <c r="X1375" s="2"/>
      <c r="Y1375" s="2"/>
      <c r="Z1375" s="2"/>
    </row>
    <row r="1376">
      <c r="A1376" s="6">
        <f>IFERROR(__xludf.DUMMYFUNCTION("""COMPUTED_VALUE"""),45952.62244212963)</f>
        <v>45952.62244</v>
      </c>
      <c r="B1376" s="2" t="str">
        <f>IFERROR(__xludf.DUMMYFUNCTION("""COMPUTED_VALUE"""),"October")</f>
        <v>October</v>
      </c>
      <c r="C1376" s="2">
        <f>IFERROR(__xludf.DUMMYFUNCTION("""COMPUTED_VALUE"""),223040.0)</f>
        <v>223040</v>
      </c>
      <c r="D1376" s="2" t="str">
        <f>IFERROR(__xludf.DUMMYFUNCTION("""COMPUTED_VALUE"""),"82WP58")</f>
        <v>82WP58</v>
      </c>
      <c r="E1376" s="2" t="str">
        <f>IFERROR(__xludf.DUMMYFUNCTION("""COMPUTED_VALUE"""),"Imported from file DigiZag Bidding Codes.xlsx")</f>
        <v>Imported from file DigiZag Bidding Codes.xlsx</v>
      </c>
      <c r="F1376" s="2" t="str">
        <f>IFERROR(__xludf.DUMMYFUNCTION("""COMPUTED_VALUE"""),"TTH422725")</f>
        <v>TTH422725</v>
      </c>
      <c r="G1376" s="2" t="str">
        <f>IFERROR(__xludf.DUMMYFUNCTION("""COMPUTED_VALUE"""),"Kingdom of Saudi Arabia")</f>
        <v>Kingdom of Saudi Arabia</v>
      </c>
      <c r="H1376" s="2">
        <f>IFERROR(__xludf.DUMMYFUNCTION("""COMPUTED_VALUE"""),99.0)</f>
        <v>99</v>
      </c>
      <c r="I1376" s="2">
        <f>IFERROR(__xludf.DUMMYFUNCTION("""COMPUTED_VALUE"""),0.0)</f>
        <v>0</v>
      </c>
      <c r="J1376" s="2">
        <f>IFERROR(__xludf.DUMMYFUNCTION("""COMPUTED_VALUE"""),24.75)</f>
        <v>24.75</v>
      </c>
      <c r="K1376" s="2"/>
      <c r="L1376" s="2" t="str">
        <f>IFERROR(__xludf.DUMMYFUNCTION("""COMPUTED_VALUE"""),"Processing")</f>
        <v>Processing</v>
      </c>
      <c r="M1376" s="2" t="str">
        <f>IFERROR(__xludf.DUMMYFUNCTION("""COMPUTED_VALUE"""),"")</f>
        <v></v>
      </c>
      <c r="N1376" s="2" t="str">
        <f>IFERROR(__xludf.DUMMYFUNCTION("""COMPUTED_VALUE"""),"Credit, Debit, Apple Pay")</f>
        <v>Credit, Debit, Apple Pay</v>
      </c>
      <c r="O1376" s="2">
        <f>IFERROR(__xludf.DUMMYFUNCTION("""COMPUTED_VALUE"""),0.0)</f>
        <v>0</v>
      </c>
      <c r="P1376" s="2">
        <f>IFERROR(__xludf.DUMMYFUNCTION("""COMPUTED_VALUE"""),22.0)</f>
        <v>22</v>
      </c>
      <c r="Q1376" s="2">
        <f>IFERROR(__xludf.DUMMYFUNCTION("""COMPUTED_VALUE"""),10.0)</f>
        <v>10</v>
      </c>
      <c r="R1376" s="2">
        <f>IFERROR(__xludf.DUMMYFUNCTION("""COMPUTED_VALUE"""),2025.0)</f>
        <v>2025</v>
      </c>
      <c r="S1376" s="2" t="str">
        <f>IFERROR(__xludf.DUMMYFUNCTION("""COMPUTED_VALUE"""),"Digizag")</f>
        <v>Digizag</v>
      </c>
      <c r="T1376" s="2" t="str">
        <f>IFERROR(__xludf.DUMMYFUNCTION("""COMPUTED_VALUE"""),"Digizag")</f>
        <v>Digizag</v>
      </c>
      <c r="U1376" s="5">
        <f>IFERROR(__xludf.DUMMYFUNCTION("""COMPUTED_VALUE"""),26.397958554000002)</f>
        <v>26.39795855</v>
      </c>
      <c r="V1376" s="2"/>
      <c r="W1376" s="2"/>
      <c r="X1376" s="2"/>
      <c r="Y1376" s="2"/>
      <c r="Z1376" s="2"/>
    </row>
    <row r="1377">
      <c r="A1377" s="6">
        <f>IFERROR(__xludf.DUMMYFUNCTION("""COMPUTED_VALUE"""),45952.69347222222)</f>
        <v>45952.69347</v>
      </c>
      <c r="B1377" s="2" t="str">
        <f>IFERROR(__xludf.DUMMYFUNCTION("""COMPUTED_VALUE"""),"October")</f>
        <v>October</v>
      </c>
      <c r="C1377" s="2">
        <f>IFERROR(__xludf.DUMMYFUNCTION("""COMPUTED_VALUE"""),254815.0)</f>
        <v>254815</v>
      </c>
      <c r="D1377" s="2" t="str">
        <f>IFERROR(__xludf.DUMMYFUNCTION("""COMPUTED_VALUE"""),"DB7")</f>
        <v>DB7</v>
      </c>
      <c r="E1377" s="2" t="str">
        <f>IFERROR(__xludf.DUMMYFUNCTION("""COMPUTED_VALUE"""),"Digizag")</f>
        <v>Digizag</v>
      </c>
      <c r="F1377" s="2" t="str">
        <f>IFERROR(__xludf.DUMMYFUNCTION("""COMPUTED_VALUE"""),"UHC593357")</f>
        <v>UHC593357</v>
      </c>
      <c r="G1377" s="2" t="str">
        <f>IFERROR(__xludf.DUMMYFUNCTION("""COMPUTED_VALUE"""),"Kingdom of Saudi Arabia")</f>
        <v>Kingdom of Saudi Arabia</v>
      </c>
      <c r="H1377" s="2">
        <f>IFERROR(__xludf.DUMMYFUNCTION("""COMPUTED_VALUE"""),633.5)</f>
        <v>633.5</v>
      </c>
      <c r="I1377" s="2">
        <f>IFERROR(__xludf.DUMMYFUNCTION("""COMPUTED_VALUE"""),0.0)</f>
        <v>0</v>
      </c>
      <c r="J1377" s="2">
        <f>IFERROR(__xludf.DUMMYFUNCTION("""COMPUTED_VALUE"""),30.0)</f>
        <v>30</v>
      </c>
      <c r="K1377" s="2"/>
      <c r="L1377" s="2" t="str">
        <f>IFERROR(__xludf.DUMMYFUNCTION("""COMPUTED_VALUE"""),"Delivered")</f>
        <v>Delivered</v>
      </c>
      <c r="M1377" s="2" t="str">
        <f>IFERROR(__xludf.DUMMYFUNCTION("""COMPUTED_VALUE"""),"")</f>
        <v></v>
      </c>
      <c r="N1377" s="2" t="str">
        <f>IFERROR(__xludf.DUMMYFUNCTION("""COMPUTED_VALUE"""),"Credit, Debit, Apple Pay")</f>
        <v>Credit, Debit, Apple Pay</v>
      </c>
      <c r="O1377" s="2">
        <f>IFERROR(__xludf.DUMMYFUNCTION("""COMPUTED_VALUE"""),0.0)</f>
        <v>0</v>
      </c>
      <c r="P1377" s="2">
        <f>IFERROR(__xludf.DUMMYFUNCTION("""COMPUTED_VALUE"""),22.0)</f>
        <v>22</v>
      </c>
      <c r="Q1377" s="2">
        <f>IFERROR(__xludf.DUMMYFUNCTION("""COMPUTED_VALUE"""),10.0)</f>
        <v>10</v>
      </c>
      <c r="R1377" s="2">
        <f>IFERROR(__xludf.DUMMYFUNCTION("""COMPUTED_VALUE"""),2025.0)</f>
        <v>2025</v>
      </c>
      <c r="S1377" s="2" t="str">
        <f>IFERROR(__xludf.DUMMYFUNCTION("""COMPUTED_VALUE"""),"Digizag")</f>
        <v>Digizag</v>
      </c>
      <c r="T1377" s="2" t="str">
        <f>IFERROR(__xludf.DUMMYFUNCTION("""COMPUTED_VALUE"""),"Digizag")</f>
        <v>Digizag</v>
      </c>
      <c r="U1377" s="5">
        <f>IFERROR(__xludf.DUMMYFUNCTION("""COMPUTED_VALUE"""),168.920270141)</f>
        <v>168.9202701</v>
      </c>
      <c r="V1377" s="2"/>
      <c r="W1377" s="2"/>
      <c r="X1377" s="2"/>
      <c r="Y1377" s="2"/>
      <c r="Z1377" s="2"/>
    </row>
    <row r="1378">
      <c r="A1378" s="6">
        <f>IFERROR(__xludf.DUMMYFUNCTION("""COMPUTED_VALUE"""),45952.7175462963)</f>
        <v>45952.71755</v>
      </c>
      <c r="B1378" s="2" t="str">
        <f>IFERROR(__xludf.DUMMYFUNCTION("""COMPUTED_VALUE"""),"October")</f>
        <v>October</v>
      </c>
      <c r="C1378" s="2">
        <f>IFERROR(__xludf.DUMMYFUNCTION("""COMPUTED_VALUE"""),460480.0)</f>
        <v>460480</v>
      </c>
      <c r="D1378" s="2" t="str">
        <f>IFERROR(__xludf.DUMMYFUNCTION("""COMPUTED_VALUE"""),"DB3")</f>
        <v>DB3</v>
      </c>
      <c r="E1378" s="2" t="str">
        <f>IFERROR(__xludf.DUMMYFUNCTION("""COMPUTED_VALUE"""),"Imported from file Digizag.xlsx")</f>
        <v>Imported from file Digizag.xlsx</v>
      </c>
      <c r="F1378" s="2" t="str">
        <f>IFERROR(__xludf.DUMMYFUNCTION("""COMPUTED_VALUE"""),"UJH696075")</f>
        <v>UJH696075</v>
      </c>
      <c r="G1378" s="2" t="str">
        <f>IFERROR(__xludf.DUMMYFUNCTION("""COMPUTED_VALUE"""),"Kuwait")</f>
        <v>Kuwait</v>
      </c>
      <c r="H1378" s="2">
        <f>IFERROR(__xludf.DUMMYFUNCTION("""COMPUTED_VALUE"""),5.9)</f>
        <v>5.9</v>
      </c>
      <c r="I1378" s="2">
        <f>IFERROR(__xludf.DUMMYFUNCTION("""COMPUTED_VALUE"""),0.0)</f>
        <v>0</v>
      </c>
      <c r="J1378" s="2">
        <f>IFERROR(__xludf.DUMMYFUNCTION("""COMPUTED_VALUE"""),0.59)</f>
        <v>0.59</v>
      </c>
      <c r="K1378" s="2"/>
      <c r="L1378" s="2" t="str">
        <f>IFERROR(__xludf.DUMMYFUNCTION("""COMPUTED_VALUE"""),"Delivered")</f>
        <v>Delivered</v>
      </c>
      <c r="M1378" s="2" t="str">
        <f>IFERROR(__xludf.DUMMYFUNCTION("""COMPUTED_VALUE"""),"KD")</f>
        <v>KD</v>
      </c>
      <c r="N1378" s="2" t="str">
        <f>IFERROR(__xludf.DUMMYFUNCTION("""COMPUTED_VALUE"""),"Credit, Debit, Knet")</f>
        <v>Credit, Debit, Knet</v>
      </c>
      <c r="O1378" s="2">
        <f>IFERROR(__xludf.DUMMYFUNCTION("""COMPUTED_VALUE"""),0.0)</f>
        <v>0</v>
      </c>
      <c r="P1378" s="2">
        <f>IFERROR(__xludf.DUMMYFUNCTION("""COMPUTED_VALUE"""),22.0)</f>
        <v>22</v>
      </c>
      <c r="Q1378" s="2">
        <f>IFERROR(__xludf.DUMMYFUNCTION("""COMPUTED_VALUE"""),10.0)</f>
        <v>10</v>
      </c>
      <c r="R1378" s="2">
        <f>IFERROR(__xludf.DUMMYFUNCTION("""COMPUTED_VALUE"""),2025.0)</f>
        <v>2025</v>
      </c>
      <c r="S1378" s="2" t="str">
        <f>IFERROR(__xludf.DUMMYFUNCTION("""COMPUTED_VALUE"""),"Digizag")</f>
        <v>Digizag</v>
      </c>
      <c r="T1378" s="2" t="str">
        <f>IFERROR(__xludf.DUMMYFUNCTION("""COMPUTED_VALUE"""),"Digizag")</f>
        <v>Digizag</v>
      </c>
      <c r="U1378" s="5">
        <f>IFERROR(__xludf.DUMMYFUNCTION("""COMPUTED_VALUE"""),19.237658)</f>
        <v>19.237658</v>
      </c>
      <c r="V1378" s="2"/>
      <c r="W1378" s="2"/>
      <c r="X1378" s="2"/>
      <c r="Y1378" s="2"/>
      <c r="Z1378" s="2"/>
    </row>
    <row r="1379">
      <c r="A1379" s="6">
        <f>IFERROR(__xludf.DUMMYFUNCTION("""COMPUTED_VALUE"""),45952.78847222222)</f>
        <v>45952.78847</v>
      </c>
      <c r="B1379" s="2" t="str">
        <f>IFERROR(__xludf.DUMMYFUNCTION("""COMPUTED_VALUE"""),"October")</f>
        <v>October</v>
      </c>
      <c r="C1379" s="2">
        <f>IFERROR(__xludf.DUMMYFUNCTION("""COMPUTED_VALUE"""),509140.0)</f>
        <v>509140</v>
      </c>
      <c r="D1379" s="2" t="str">
        <f>IFERROR(__xludf.DUMMYFUNCTION("""COMPUTED_VALUE"""),"JM")</f>
        <v>JM</v>
      </c>
      <c r="E1379" s="2" t="str">
        <f>IFERROR(__xludf.DUMMYFUNCTION("""COMPUTED_VALUE"""),"DigiZag")</f>
        <v>DigiZag</v>
      </c>
      <c r="F1379" s="2" t="str">
        <f>IFERROR(__xludf.DUMMYFUNCTION("""COMPUTED_VALUE"""),"QSN594145")</f>
        <v>QSN594145</v>
      </c>
      <c r="G1379" s="2" t="str">
        <f>IFERROR(__xludf.DUMMYFUNCTION("""COMPUTED_VALUE"""),"Kingdom of Saudi Arabia")</f>
        <v>Kingdom of Saudi Arabia</v>
      </c>
      <c r="H1379" s="2">
        <f>IFERROR(__xludf.DUMMYFUNCTION("""COMPUTED_VALUE"""),190.43)</f>
        <v>190.43</v>
      </c>
      <c r="I1379" s="2">
        <f>IFERROR(__xludf.DUMMYFUNCTION("""COMPUTED_VALUE"""),0.0)</f>
        <v>0</v>
      </c>
      <c r="J1379" s="2">
        <f>IFERROR(__xludf.DUMMYFUNCTION("""COMPUTED_VALUE"""),30.0)</f>
        <v>30</v>
      </c>
      <c r="K1379" s="2"/>
      <c r="L1379" s="2" t="str">
        <f>IFERROR(__xludf.DUMMYFUNCTION("""COMPUTED_VALUE"""),"Delivered")</f>
        <v>Delivered</v>
      </c>
      <c r="M1379" s="2" t="str">
        <f>IFERROR(__xludf.DUMMYFUNCTION("""COMPUTED_VALUE"""),"")</f>
        <v></v>
      </c>
      <c r="N1379" s="2" t="str">
        <f>IFERROR(__xludf.DUMMYFUNCTION("""COMPUTED_VALUE"""),"Credit, Debit, Apple Pay")</f>
        <v>Credit, Debit, Apple Pay</v>
      </c>
      <c r="O1379" s="2">
        <f>IFERROR(__xludf.DUMMYFUNCTION("""COMPUTED_VALUE"""),0.0)</f>
        <v>0</v>
      </c>
      <c r="P1379" s="2">
        <f>IFERROR(__xludf.DUMMYFUNCTION("""COMPUTED_VALUE"""),22.0)</f>
        <v>22</v>
      </c>
      <c r="Q1379" s="2">
        <f>IFERROR(__xludf.DUMMYFUNCTION("""COMPUTED_VALUE"""),10.0)</f>
        <v>10</v>
      </c>
      <c r="R1379" s="2">
        <f>IFERROR(__xludf.DUMMYFUNCTION("""COMPUTED_VALUE"""),2025.0)</f>
        <v>2025</v>
      </c>
      <c r="S1379" s="2" t="str">
        <f>IFERROR(__xludf.DUMMYFUNCTION("""COMPUTED_VALUE"""),"Digizag")</f>
        <v>Digizag</v>
      </c>
      <c r="T1379" s="2" t="str">
        <f>IFERROR(__xludf.DUMMYFUNCTION("""COMPUTED_VALUE"""),"Digizag")</f>
        <v>Digizag</v>
      </c>
      <c r="U1379" s="5">
        <f>IFERROR(__xludf.DUMMYFUNCTION("""COMPUTED_VALUE"""),50.77740653978001)</f>
        <v>50.77740654</v>
      </c>
      <c r="V1379" s="2"/>
      <c r="W1379" s="2"/>
      <c r="X1379" s="2"/>
      <c r="Y1379" s="2"/>
      <c r="Z1379" s="2"/>
    </row>
    <row r="1380">
      <c r="A1380" s="6">
        <f>IFERROR(__xludf.DUMMYFUNCTION("""COMPUTED_VALUE"""),45952.81753472222)</f>
        <v>45952.81753</v>
      </c>
      <c r="B1380" s="2" t="str">
        <f>IFERROR(__xludf.DUMMYFUNCTION("""COMPUTED_VALUE"""),"October")</f>
        <v>October</v>
      </c>
      <c r="C1380" s="2">
        <f>IFERROR(__xludf.DUMMYFUNCTION("""COMPUTED_VALUE"""),143305.0)</f>
        <v>143305</v>
      </c>
      <c r="D1380" s="2" t="str">
        <f>IFERROR(__xludf.DUMMYFUNCTION("""COMPUTED_VALUE"""),"CC22")</f>
        <v>CC22</v>
      </c>
      <c r="E1380" s="2" t="str">
        <f>IFERROR(__xludf.DUMMYFUNCTION("""COMPUTED_VALUE"""),"Imported from file Digizag.xlsx")</f>
        <v>Imported from file Digizag.xlsx</v>
      </c>
      <c r="F1380" s="2" t="str">
        <f>IFERROR(__xludf.DUMMYFUNCTION("""COMPUTED_VALUE"""),"BAC903252")</f>
        <v>BAC903252</v>
      </c>
      <c r="G1380" s="2" t="str">
        <f>IFERROR(__xludf.DUMMYFUNCTION("""COMPUTED_VALUE"""),"Kingdom of Saudi Arabia")</f>
        <v>Kingdom of Saudi Arabia</v>
      </c>
      <c r="H1380" s="2">
        <f>IFERROR(__xludf.DUMMYFUNCTION("""COMPUTED_VALUE"""),113.9)</f>
        <v>113.9</v>
      </c>
      <c r="I1380" s="2">
        <f>IFERROR(__xludf.DUMMYFUNCTION("""COMPUTED_VALUE"""),0.0)</f>
        <v>0</v>
      </c>
      <c r="J1380" s="2">
        <f>IFERROR(__xludf.DUMMYFUNCTION("""COMPUTED_VALUE"""),28.47)</f>
        <v>28.47</v>
      </c>
      <c r="K1380" s="2"/>
      <c r="L1380" s="2" t="str">
        <f>IFERROR(__xludf.DUMMYFUNCTION("""COMPUTED_VALUE"""),"Delivered")</f>
        <v>Delivered</v>
      </c>
      <c r="M1380" s="2" t="str">
        <f>IFERROR(__xludf.DUMMYFUNCTION("""COMPUTED_VALUE"""),"")</f>
        <v></v>
      </c>
      <c r="N1380" s="2" t="str">
        <f>IFERROR(__xludf.DUMMYFUNCTION("""COMPUTED_VALUE"""),"Credit, Debit, Apple Pay")</f>
        <v>Credit, Debit, Apple Pay</v>
      </c>
      <c r="O1380" s="2">
        <f>IFERROR(__xludf.DUMMYFUNCTION("""COMPUTED_VALUE"""),0.0)</f>
        <v>0</v>
      </c>
      <c r="P1380" s="2">
        <f>IFERROR(__xludf.DUMMYFUNCTION("""COMPUTED_VALUE"""),22.0)</f>
        <v>22</v>
      </c>
      <c r="Q1380" s="2">
        <f>IFERROR(__xludf.DUMMYFUNCTION("""COMPUTED_VALUE"""),10.0)</f>
        <v>10</v>
      </c>
      <c r="R1380" s="2">
        <f>IFERROR(__xludf.DUMMYFUNCTION("""COMPUTED_VALUE"""),2025.0)</f>
        <v>2025</v>
      </c>
      <c r="S1380" s="2" t="str">
        <f>IFERROR(__xludf.DUMMYFUNCTION("""COMPUTED_VALUE"""),"Digizag")</f>
        <v>Digizag</v>
      </c>
      <c r="T1380" s="2" t="str">
        <f>IFERROR(__xludf.DUMMYFUNCTION("""COMPUTED_VALUE"""),"Digizag")</f>
        <v>Digizag</v>
      </c>
      <c r="U1380" s="5">
        <f>IFERROR(__xludf.DUMMYFUNCTION("""COMPUTED_VALUE"""),30.370984639400003)</f>
        <v>30.37098464</v>
      </c>
      <c r="V1380" s="2"/>
      <c r="W1380" s="2"/>
      <c r="X1380" s="2"/>
      <c r="Y1380" s="2"/>
      <c r="Z1380" s="2"/>
    </row>
    <row r="1381">
      <c r="A1381" s="6">
        <f>IFERROR(__xludf.DUMMYFUNCTION("""COMPUTED_VALUE"""),45952.85642361111)</f>
        <v>45952.85642</v>
      </c>
      <c r="B1381" s="2" t="str">
        <f>IFERROR(__xludf.DUMMYFUNCTION("""COMPUTED_VALUE"""),"October")</f>
        <v>October</v>
      </c>
      <c r="C1381" s="2">
        <f>IFERROR(__xludf.DUMMYFUNCTION("""COMPUTED_VALUE"""),645006.0)</f>
        <v>645006</v>
      </c>
      <c r="D1381" s="2" t="str">
        <f>IFERROR(__xludf.DUMMYFUNCTION("""COMPUTED_VALUE"""),"82WP58")</f>
        <v>82WP58</v>
      </c>
      <c r="E1381" s="2" t="str">
        <f>IFERROR(__xludf.DUMMYFUNCTION("""COMPUTED_VALUE"""),"Imported from file DigiZag Bidding Codes.xlsx")</f>
        <v>Imported from file DigiZag Bidding Codes.xlsx</v>
      </c>
      <c r="F1381" s="2" t="str">
        <f>IFERROR(__xludf.DUMMYFUNCTION("""COMPUTED_VALUE"""),"UUV810769")</f>
        <v>UUV810769</v>
      </c>
      <c r="G1381" s="2" t="str">
        <f>IFERROR(__xludf.DUMMYFUNCTION("""COMPUTED_VALUE"""),"Kingdom of Saudi Arabia")</f>
        <v>Kingdom of Saudi Arabia</v>
      </c>
      <c r="H1381" s="2">
        <f>IFERROR(__xludf.DUMMYFUNCTION("""COMPUTED_VALUE"""),93.38)</f>
        <v>93.38</v>
      </c>
      <c r="I1381" s="2">
        <f>IFERROR(__xludf.DUMMYFUNCTION("""COMPUTED_VALUE"""),0.0)</f>
        <v>0</v>
      </c>
      <c r="J1381" s="2">
        <f>IFERROR(__xludf.DUMMYFUNCTION("""COMPUTED_VALUE"""),23.34)</f>
        <v>23.34</v>
      </c>
      <c r="K1381" s="2"/>
      <c r="L1381" s="2" t="str">
        <f>IFERROR(__xludf.DUMMYFUNCTION("""COMPUTED_VALUE"""),"Delivered")</f>
        <v>Delivered</v>
      </c>
      <c r="M1381" s="2" t="str">
        <f>IFERROR(__xludf.DUMMYFUNCTION("""COMPUTED_VALUE"""),"")</f>
        <v></v>
      </c>
      <c r="N1381" s="2" t="str">
        <f>IFERROR(__xludf.DUMMYFUNCTION("""COMPUTED_VALUE"""),"Credit, Debit, Apple Pay")</f>
        <v>Credit, Debit, Apple Pay</v>
      </c>
      <c r="O1381" s="2">
        <f>IFERROR(__xludf.DUMMYFUNCTION("""COMPUTED_VALUE"""),0.0)</f>
        <v>0</v>
      </c>
      <c r="P1381" s="2">
        <f>IFERROR(__xludf.DUMMYFUNCTION("""COMPUTED_VALUE"""),22.0)</f>
        <v>22</v>
      </c>
      <c r="Q1381" s="2">
        <f>IFERROR(__xludf.DUMMYFUNCTION("""COMPUTED_VALUE"""),10.0)</f>
        <v>10</v>
      </c>
      <c r="R1381" s="2">
        <f>IFERROR(__xludf.DUMMYFUNCTION("""COMPUTED_VALUE"""),2025.0)</f>
        <v>2025</v>
      </c>
      <c r="S1381" s="2" t="str">
        <f>IFERROR(__xludf.DUMMYFUNCTION("""COMPUTED_VALUE"""),"Digizag")</f>
        <v>Digizag</v>
      </c>
      <c r="T1381" s="2" t="str">
        <f>IFERROR(__xludf.DUMMYFUNCTION("""COMPUTED_VALUE"""),"Digizag")</f>
        <v>Digizag</v>
      </c>
      <c r="U1381" s="5">
        <f>IFERROR(__xludf.DUMMYFUNCTION("""COMPUTED_VALUE"""),24.89940777548)</f>
        <v>24.89940778</v>
      </c>
      <c r="V1381" s="2"/>
      <c r="W1381" s="2"/>
      <c r="X1381" s="2"/>
      <c r="Y1381" s="2"/>
      <c r="Z1381" s="2"/>
    </row>
    <row r="1382">
      <c r="A1382" s="6">
        <f>IFERROR(__xludf.DUMMYFUNCTION("""COMPUTED_VALUE"""),45953.07915509259)</f>
        <v>45953.07916</v>
      </c>
      <c r="B1382" s="2" t="str">
        <f>IFERROR(__xludf.DUMMYFUNCTION("""COMPUTED_VALUE"""),"October")</f>
        <v>October</v>
      </c>
      <c r="C1382" s="2">
        <f>IFERROR(__xludf.DUMMYFUNCTION("""COMPUTED_VALUE"""),496097.0)</f>
        <v>496097</v>
      </c>
      <c r="D1382" s="2" t="str">
        <f>IFERROR(__xludf.DUMMYFUNCTION("""COMPUTED_VALUE"""),"JM")</f>
        <v>JM</v>
      </c>
      <c r="E1382" s="2" t="str">
        <f>IFERROR(__xludf.DUMMYFUNCTION("""COMPUTED_VALUE"""),"DigiZag")</f>
        <v>DigiZag</v>
      </c>
      <c r="F1382" s="2" t="str">
        <f>IFERROR(__xludf.DUMMYFUNCTION("""COMPUTED_VALUE"""),"GWW941283")</f>
        <v>GWW941283</v>
      </c>
      <c r="G1382" s="2" t="str">
        <f>IFERROR(__xludf.DUMMYFUNCTION("""COMPUTED_VALUE"""),"Kingdom of Saudi Arabia")</f>
        <v>Kingdom of Saudi Arabia</v>
      </c>
      <c r="H1382" s="2">
        <f>IFERROR(__xludf.DUMMYFUNCTION("""COMPUTED_VALUE"""),229.82)</f>
        <v>229.82</v>
      </c>
      <c r="I1382" s="2">
        <f>IFERROR(__xludf.DUMMYFUNCTION("""COMPUTED_VALUE"""),0.0)</f>
        <v>0</v>
      </c>
      <c r="J1382" s="2">
        <f>IFERROR(__xludf.DUMMYFUNCTION("""COMPUTED_VALUE"""),30.0)</f>
        <v>30</v>
      </c>
      <c r="K1382" s="2"/>
      <c r="L1382" s="2" t="str">
        <f>IFERROR(__xludf.DUMMYFUNCTION("""COMPUTED_VALUE"""),"Delivered")</f>
        <v>Delivered</v>
      </c>
      <c r="M1382" s="2" t="str">
        <f>IFERROR(__xludf.DUMMYFUNCTION("""COMPUTED_VALUE"""),"")</f>
        <v></v>
      </c>
      <c r="N1382" s="2" t="str">
        <f>IFERROR(__xludf.DUMMYFUNCTION("""COMPUTED_VALUE"""),"Credit, Debit, Apple Pay")</f>
        <v>Credit, Debit, Apple Pay</v>
      </c>
      <c r="O1382" s="2">
        <f>IFERROR(__xludf.DUMMYFUNCTION("""COMPUTED_VALUE"""),0.0)</f>
        <v>0</v>
      </c>
      <c r="P1382" s="2">
        <f>IFERROR(__xludf.DUMMYFUNCTION("""COMPUTED_VALUE"""),23.0)</f>
        <v>23</v>
      </c>
      <c r="Q1382" s="2">
        <f>IFERROR(__xludf.DUMMYFUNCTION("""COMPUTED_VALUE"""),10.0)</f>
        <v>10</v>
      </c>
      <c r="R1382" s="2">
        <f>IFERROR(__xludf.DUMMYFUNCTION("""COMPUTED_VALUE"""),2025.0)</f>
        <v>2025</v>
      </c>
      <c r="S1382" s="2" t="str">
        <f>IFERROR(__xludf.DUMMYFUNCTION("""COMPUTED_VALUE"""),"Digizag")</f>
        <v>Digizag</v>
      </c>
      <c r="T1382" s="2" t="str">
        <f>IFERROR(__xludf.DUMMYFUNCTION("""COMPUTED_VALUE"""),"Digizag")</f>
        <v>Digizag</v>
      </c>
      <c r="U1382" s="5">
        <f>IFERROR(__xludf.DUMMYFUNCTION("""COMPUTED_VALUE"""),61.28059429172001)</f>
        <v>61.28059429</v>
      </c>
      <c r="V1382" s="2"/>
      <c r="W1382" s="2"/>
      <c r="X1382" s="2"/>
      <c r="Y1382" s="2"/>
      <c r="Z1382" s="2"/>
    </row>
    <row r="1383">
      <c r="A1383" s="6">
        <f>IFERROR(__xludf.DUMMYFUNCTION("""COMPUTED_VALUE"""),45953.314351851855)</f>
        <v>45953.31435</v>
      </c>
      <c r="B1383" s="2" t="str">
        <f>IFERROR(__xludf.DUMMYFUNCTION("""COMPUTED_VALUE"""),"October")</f>
        <v>October</v>
      </c>
      <c r="C1383" s="2">
        <f>IFERROR(__xludf.DUMMYFUNCTION("""COMPUTED_VALUE"""),820838.0)</f>
        <v>820838</v>
      </c>
      <c r="D1383" s="2" t="str">
        <f>IFERROR(__xludf.DUMMYFUNCTION("""COMPUTED_VALUE"""),"MNN27")</f>
        <v>MNN27</v>
      </c>
      <c r="E1383" s="2" t="str">
        <f>IFERROR(__xludf.DUMMYFUNCTION("""COMPUTED_VALUE"""),"Imported from file DigiZag Bidding Codes.xlsx")</f>
        <v>Imported from file DigiZag Bidding Codes.xlsx</v>
      </c>
      <c r="F1383" s="2" t="str">
        <f>IFERROR(__xludf.DUMMYFUNCTION("""COMPUTED_VALUE"""),"GGH214042")</f>
        <v>GGH214042</v>
      </c>
      <c r="G1383" s="2" t="str">
        <f>IFERROR(__xludf.DUMMYFUNCTION("""COMPUTED_VALUE"""),"Kingdom of Saudi Arabia")</f>
        <v>Kingdom of Saudi Arabia</v>
      </c>
      <c r="H1383" s="2">
        <f>IFERROR(__xludf.DUMMYFUNCTION("""COMPUTED_VALUE"""),199.86)</f>
        <v>199.86</v>
      </c>
      <c r="I1383" s="2">
        <f>IFERROR(__xludf.DUMMYFUNCTION("""COMPUTED_VALUE"""),0.0)</f>
        <v>0</v>
      </c>
      <c r="J1383" s="2">
        <f>IFERROR(__xludf.DUMMYFUNCTION("""COMPUTED_VALUE"""),30.0)</f>
        <v>30</v>
      </c>
      <c r="K1383" s="2"/>
      <c r="L1383" s="2" t="str">
        <f>IFERROR(__xludf.DUMMYFUNCTION("""COMPUTED_VALUE"""),"Delivered")</f>
        <v>Delivered</v>
      </c>
      <c r="M1383" s="2" t="str">
        <f>IFERROR(__xludf.DUMMYFUNCTION("""COMPUTED_VALUE"""),"")</f>
        <v></v>
      </c>
      <c r="N1383" s="2" t="str">
        <f>IFERROR(__xludf.DUMMYFUNCTION("""COMPUTED_VALUE"""),"Credit, Debit, Apple Pay")</f>
        <v>Credit, Debit, Apple Pay</v>
      </c>
      <c r="O1383" s="2">
        <f>IFERROR(__xludf.DUMMYFUNCTION("""COMPUTED_VALUE"""),0.0)</f>
        <v>0</v>
      </c>
      <c r="P1383" s="2">
        <f>IFERROR(__xludf.DUMMYFUNCTION("""COMPUTED_VALUE"""),23.0)</f>
        <v>23</v>
      </c>
      <c r="Q1383" s="2">
        <f>IFERROR(__xludf.DUMMYFUNCTION("""COMPUTED_VALUE"""),10.0)</f>
        <v>10</v>
      </c>
      <c r="R1383" s="2">
        <f>IFERROR(__xludf.DUMMYFUNCTION("""COMPUTED_VALUE"""),2025.0)</f>
        <v>2025</v>
      </c>
      <c r="S1383" s="2" t="str">
        <f>IFERROR(__xludf.DUMMYFUNCTION("""COMPUTED_VALUE"""),"Digizag")</f>
        <v>Digizag</v>
      </c>
      <c r="T1383" s="2" t="str">
        <f>IFERROR(__xludf.DUMMYFUNCTION("""COMPUTED_VALUE"""),"Digizag")</f>
        <v>Digizag</v>
      </c>
      <c r="U1383" s="5">
        <f>IFERROR(__xludf.DUMMYFUNCTION("""COMPUTED_VALUE"""),53.291878753560006)</f>
        <v>53.29187875</v>
      </c>
      <c r="V1383" s="2"/>
      <c r="W1383" s="2"/>
      <c r="X1383" s="2"/>
      <c r="Y1383" s="2"/>
      <c r="Z1383" s="2"/>
    </row>
    <row r="1384">
      <c r="A1384" s="6">
        <f>IFERROR(__xludf.DUMMYFUNCTION("""COMPUTED_VALUE"""),45953.40483796296)</f>
        <v>45953.40484</v>
      </c>
      <c r="B1384" s="2" t="str">
        <f>IFERROR(__xludf.DUMMYFUNCTION("""COMPUTED_VALUE"""),"October")</f>
        <v>October</v>
      </c>
      <c r="C1384" s="2">
        <f>IFERROR(__xludf.DUMMYFUNCTION("""COMPUTED_VALUE"""),820892.0)</f>
        <v>820892</v>
      </c>
      <c r="D1384" s="2" t="str">
        <f>IFERROR(__xludf.DUMMYFUNCTION("""COMPUTED_VALUE"""),"MNN27")</f>
        <v>MNN27</v>
      </c>
      <c r="E1384" s="2" t="str">
        <f>IFERROR(__xludf.DUMMYFUNCTION("""COMPUTED_VALUE"""),"Imported from file DigiZag Codes 25Feb25.xlsx")</f>
        <v>Imported from file DigiZag Codes 25Feb25.xlsx</v>
      </c>
      <c r="F1384" s="2" t="str">
        <f>IFERROR(__xludf.DUMMYFUNCTION("""COMPUTED_VALUE"""),"DMJ897016")</f>
        <v>DMJ897016</v>
      </c>
      <c r="G1384" s="2" t="str">
        <f>IFERROR(__xludf.DUMMYFUNCTION("""COMPUTED_VALUE"""),"Kuwait")</f>
        <v>Kuwait</v>
      </c>
      <c r="H1384" s="2">
        <f>IFERROR(__xludf.DUMMYFUNCTION("""COMPUTED_VALUE"""),38.35)</f>
        <v>38.35</v>
      </c>
      <c r="I1384" s="2">
        <f>IFERROR(__xludf.DUMMYFUNCTION("""COMPUTED_VALUE"""),0.0)</f>
        <v>0</v>
      </c>
      <c r="J1384" s="2">
        <f>IFERROR(__xludf.DUMMYFUNCTION("""COMPUTED_VALUE"""),3.835)</f>
        <v>3.835</v>
      </c>
      <c r="K1384" s="2"/>
      <c r="L1384" s="2" t="str">
        <f>IFERROR(__xludf.DUMMYFUNCTION("""COMPUTED_VALUE"""),"Delivered")</f>
        <v>Delivered</v>
      </c>
      <c r="M1384" s="2" t="str">
        <f>IFERROR(__xludf.DUMMYFUNCTION("""COMPUTED_VALUE"""),"KD")</f>
        <v>KD</v>
      </c>
      <c r="N1384" s="2" t="str">
        <f>IFERROR(__xludf.DUMMYFUNCTION("""COMPUTED_VALUE"""),"Credit, Debit, Knet")</f>
        <v>Credit, Debit, Knet</v>
      </c>
      <c r="O1384" s="2">
        <f>IFERROR(__xludf.DUMMYFUNCTION("""COMPUTED_VALUE"""),0.0)</f>
        <v>0</v>
      </c>
      <c r="P1384" s="2">
        <f>IFERROR(__xludf.DUMMYFUNCTION("""COMPUTED_VALUE"""),23.0)</f>
        <v>23</v>
      </c>
      <c r="Q1384" s="2">
        <f>IFERROR(__xludf.DUMMYFUNCTION("""COMPUTED_VALUE"""),10.0)</f>
        <v>10</v>
      </c>
      <c r="R1384" s="2">
        <f>IFERROR(__xludf.DUMMYFUNCTION("""COMPUTED_VALUE"""),2025.0)</f>
        <v>2025</v>
      </c>
      <c r="S1384" s="2" t="str">
        <f>IFERROR(__xludf.DUMMYFUNCTION("""COMPUTED_VALUE"""),"Digizag")</f>
        <v>Digizag</v>
      </c>
      <c r="T1384" s="2" t="str">
        <f>IFERROR(__xludf.DUMMYFUNCTION("""COMPUTED_VALUE"""),"Digizag")</f>
        <v>Digizag</v>
      </c>
      <c r="U1384" s="5">
        <f>IFERROR(__xludf.DUMMYFUNCTION("""COMPUTED_VALUE"""),125.044777)</f>
        <v>125.044777</v>
      </c>
      <c r="V1384" s="2"/>
      <c r="W1384" s="2"/>
      <c r="X1384" s="2"/>
      <c r="Y1384" s="2"/>
      <c r="Z1384" s="2"/>
    </row>
    <row r="1385">
      <c r="A1385" s="6">
        <f>IFERROR(__xludf.DUMMYFUNCTION("""COMPUTED_VALUE"""),45953.40675925926)</f>
        <v>45953.40676</v>
      </c>
      <c r="B1385" s="2" t="str">
        <f>IFERROR(__xludf.DUMMYFUNCTION("""COMPUTED_VALUE"""),"October")</f>
        <v>October</v>
      </c>
      <c r="C1385" s="2">
        <f>IFERROR(__xludf.DUMMYFUNCTION("""COMPUTED_VALUE"""),156296.0)</f>
        <v>156296</v>
      </c>
      <c r="D1385" s="2" t="str">
        <f>IFERROR(__xludf.DUMMYFUNCTION("""COMPUTED_VALUE"""),"CC22")</f>
        <v>CC22</v>
      </c>
      <c r="E1385" s="2" t="str">
        <f>IFERROR(__xludf.DUMMYFUNCTION("""COMPUTED_VALUE"""),"Imported from file Digizag.xlsx")</f>
        <v>Imported from file Digizag.xlsx</v>
      </c>
      <c r="F1385" s="2" t="str">
        <f>IFERROR(__xludf.DUMMYFUNCTION("""COMPUTED_VALUE"""),"PVY576318")</f>
        <v>PVY576318</v>
      </c>
      <c r="G1385" s="2" t="str">
        <f>IFERROR(__xludf.DUMMYFUNCTION("""COMPUTED_VALUE"""),"Kingdom of Saudi Arabia")</f>
        <v>Kingdom of Saudi Arabia</v>
      </c>
      <c r="H1385" s="2">
        <f>IFERROR(__xludf.DUMMYFUNCTION("""COMPUTED_VALUE"""),128.09)</f>
        <v>128.09</v>
      </c>
      <c r="I1385" s="2">
        <f>IFERROR(__xludf.DUMMYFUNCTION("""COMPUTED_VALUE"""),0.0)</f>
        <v>0</v>
      </c>
      <c r="J1385" s="2">
        <f>IFERROR(__xludf.DUMMYFUNCTION("""COMPUTED_VALUE"""),30.0)</f>
        <v>30</v>
      </c>
      <c r="K1385" s="2"/>
      <c r="L1385" s="2" t="str">
        <f>IFERROR(__xludf.DUMMYFUNCTION("""COMPUTED_VALUE"""),"Delivered")</f>
        <v>Delivered</v>
      </c>
      <c r="M1385" s="2" t="str">
        <f>IFERROR(__xludf.DUMMYFUNCTION("""COMPUTED_VALUE"""),"")</f>
        <v></v>
      </c>
      <c r="N1385" s="2" t="str">
        <f>IFERROR(__xludf.DUMMYFUNCTION("""COMPUTED_VALUE"""),"Credit, Debit, Apple Pay")</f>
        <v>Credit, Debit, Apple Pay</v>
      </c>
      <c r="O1385" s="2">
        <f>IFERROR(__xludf.DUMMYFUNCTION("""COMPUTED_VALUE"""),0.0)</f>
        <v>0</v>
      </c>
      <c r="P1385" s="2">
        <f>IFERROR(__xludf.DUMMYFUNCTION("""COMPUTED_VALUE"""),23.0)</f>
        <v>23</v>
      </c>
      <c r="Q1385" s="2">
        <f>IFERROR(__xludf.DUMMYFUNCTION("""COMPUTED_VALUE"""),10.0)</f>
        <v>10</v>
      </c>
      <c r="R1385" s="2">
        <f>IFERROR(__xludf.DUMMYFUNCTION("""COMPUTED_VALUE"""),2025.0)</f>
        <v>2025</v>
      </c>
      <c r="S1385" s="2" t="str">
        <f>IFERROR(__xludf.DUMMYFUNCTION("""COMPUTED_VALUE"""),"Digizag")</f>
        <v>Digizag</v>
      </c>
      <c r="T1385" s="2" t="str">
        <f>IFERROR(__xludf.DUMMYFUNCTION("""COMPUTED_VALUE"""),"Digizag")</f>
        <v>Digizag</v>
      </c>
      <c r="U1385" s="5">
        <f>IFERROR(__xludf.DUMMYFUNCTION("""COMPUTED_VALUE"""),34.154692032140005)</f>
        <v>34.15469203</v>
      </c>
      <c r="V1385" s="2"/>
      <c r="W1385" s="2"/>
      <c r="X1385" s="2"/>
      <c r="Y1385" s="2"/>
      <c r="Z1385" s="2"/>
    </row>
    <row r="1386">
      <c r="A1386" s="6">
        <f>IFERROR(__xludf.DUMMYFUNCTION("""COMPUTED_VALUE"""),45953.50009259259)</f>
        <v>45953.50009</v>
      </c>
      <c r="B1386" s="2" t="str">
        <f>IFERROR(__xludf.DUMMYFUNCTION("""COMPUTED_VALUE"""),"October")</f>
        <v>October</v>
      </c>
      <c r="C1386" s="2">
        <f>IFERROR(__xludf.DUMMYFUNCTION("""COMPUTED_VALUE"""),537212.0)</f>
        <v>537212</v>
      </c>
      <c r="D1386" s="2" t="str">
        <f>IFERROR(__xludf.DUMMYFUNCTION("""COMPUTED_VALUE"""),"DG2")</f>
        <v>DG2</v>
      </c>
      <c r="E1386" s="2" t="str">
        <f>IFERROR(__xludf.DUMMYFUNCTION("""COMPUTED_VALUE"""),"Imported from file Digizag.xlsx")</f>
        <v>Imported from file Digizag.xlsx</v>
      </c>
      <c r="F1386" s="2" t="str">
        <f>IFERROR(__xludf.DUMMYFUNCTION("""COMPUTED_VALUE"""),"NHE233253")</f>
        <v>NHE233253</v>
      </c>
      <c r="G1386" s="2" t="str">
        <f>IFERROR(__xludf.DUMMYFUNCTION("""COMPUTED_VALUE"""),"Kuwait")</f>
        <v>Kuwait</v>
      </c>
      <c r="H1386" s="2">
        <f>IFERROR(__xludf.DUMMYFUNCTION("""COMPUTED_VALUE"""),14.95)</f>
        <v>14.95</v>
      </c>
      <c r="I1386" s="2">
        <f>IFERROR(__xludf.DUMMYFUNCTION("""COMPUTED_VALUE"""),0.0)</f>
        <v>0</v>
      </c>
      <c r="J1386" s="2">
        <f>IFERROR(__xludf.DUMMYFUNCTION("""COMPUTED_VALUE"""),1.495)</f>
        <v>1.495</v>
      </c>
      <c r="K1386" s="2"/>
      <c r="L1386" s="2" t="str">
        <f>IFERROR(__xludf.DUMMYFUNCTION("""COMPUTED_VALUE"""),"Delivered")</f>
        <v>Delivered</v>
      </c>
      <c r="M1386" s="2" t="str">
        <f>IFERROR(__xludf.DUMMYFUNCTION("""COMPUTED_VALUE"""),"KD")</f>
        <v>KD</v>
      </c>
      <c r="N1386" s="2" t="str">
        <f>IFERROR(__xludf.DUMMYFUNCTION("""COMPUTED_VALUE"""),"Credit, Debit, Knet")</f>
        <v>Credit, Debit, Knet</v>
      </c>
      <c r="O1386" s="2">
        <f>IFERROR(__xludf.DUMMYFUNCTION("""COMPUTED_VALUE"""),0.0)</f>
        <v>0</v>
      </c>
      <c r="P1386" s="2">
        <f>IFERROR(__xludf.DUMMYFUNCTION("""COMPUTED_VALUE"""),23.0)</f>
        <v>23</v>
      </c>
      <c r="Q1386" s="2">
        <f>IFERROR(__xludf.DUMMYFUNCTION("""COMPUTED_VALUE"""),10.0)</f>
        <v>10</v>
      </c>
      <c r="R1386" s="2">
        <f>IFERROR(__xludf.DUMMYFUNCTION("""COMPUTED_VALUE"""),2025.0)</f>
        <v>2025</v>
      </c>
      <c r="S1386" s="2" t="str">
        <f>IFERROR(__xludf.DUMMYFUNCTION("""COMPUTED_VALUE"""),"Digizag")</f>
        <v>Digizag</v>
      </c>
      <c r="T1386" s="2" t="str">
        <f>IFERROR(__xludf.DUMMYFUNCTION("""COMPUTED_VALUE"""),"Digizag")</f>
        <v>Digizag</v>
      </c>
      <c r="U1386" s="5">
        <f>IFERROR(__xludf.DUMMYFUNCTION("""COMPUTED_VALUE"""),48.746269)</f>
        <v>48.746269</v>
      </c>
      <c r="V1386" s="2"/>
      <c r="W1386" s="2"/>
      <c r="X1386" s="2"/>
      <c r="Y1386" s="2"/>
      <c r="Z1386" s="2"/>
    </row>
    <row r="1387">
      <c r="A1387" s="6">
        <f>IFERROR(__xludf.DUMMYFUNCTION("""COMPUTED_VALUE"""),45953.52744212963)</f>
        <v>45953.52744</v>
      </c>
      <c r="B1387" s="2" t="str">
        <f>IFERROR(__xludf.DUMMYFUNCTION("""COMPUTED_VALUE"""),"October")</f>
        <v>October</v>
      </c>
      <c r="C1387" s="2">
        <f>IFERROR(__xludf.DUMMYFUNCTION("""COMPUTED_VALUE"""),413465.0)</f>
        <v>413465</v>
      </c>
      <c r="D1387" s="2" t="str">
        <f>IFERROR(__xludf.DUMMYFUNCTION("""COMPUTED_VALUE"""),"DB3")</f>
        <v>DB3</v>
      </c>
      <c r="E1387" s="2" t="str">
        <f>IFERROR(__xludf.DUMMYFUNCTION("""COMPUTED_VALUE"""),"Imported from file Digizag.xlsx")</f>
        <v>Imported from file Digizag.xlsx</v>
      </c>
      <c r="F1387" s="2" t="str">
        <f>IFERROR(__xludf.DUMMYFUNCTION("""COMPUTED_VALUE"""),"XXQ977310")</f>
        <v>XXQ977310</v>
      </c>
      <c r="G1387" s="2" t="str">
        <f>IFERROR(__xludf.DUMMYFUNCTION("""COMPUTED_VALUE"""),"Kingdom of Saudi Arabia")</f>
        <v>Kingdom of Saudi Arabia</v>
      </c>
      <c r="H1387" s="2">
        <f>IFERROR(__xludf.DUMMYFUNCTION("""COMPUTED_VALUE"""),115.57)</f>
        <v>115.57</v>
      </c>
      <c r="I1387" s="2">
        <f>IFERROR(__xludf.DUMMYFUNCTION("""COMPUTED_VALUE"""),0.0)</f>
        <v>0</v>
      </c>
      <c r="J1387" s="2">
        <f>IFERROR(__xludf.DUMMYFUNCTION("""COMPUTED_VALUE"""),28.89)</f>
        <v>28.89</v>
      </c>
      <c r="K1387" s="2"/>
      <c r="L1387" s="2" t="str">
        <f>IFERROR(__xludf.DUMMYFUNCTION("""COMPUTED_VALUE"""),"Delivered")</f>
        <v>Delivered</v>
      </c>
      <c r="M1387" s="2" t="str">
        <f>IFERROR(__xludf.DUMMYFUNCTION("""COMPUTED_VALUE"""),"")</f>
        <v></v>
      </c>
      <c r="N1387" s="2" t="str">
        <f>IFERROR(__xludf.DUMMYFUNCTION("""COMPUTED_VALUE"""),"Credit, Debit, Apple Pay")</f>
        <v>Credit, Debit, Apple Pay</v>
      </c>
      <c r="O1387" s="2">
        <f>IFERROR(__xludf.DUMMYFUNCTION("""COMPUTED_VALUE"""),0.0)</f>
        <v>0</v>
      </c>
      <c r="P1387" s="2">
        <f>IFERROR(__xludf.DUMMYFUNCTION("""COMPUTED_VALUE"""),23.0)</f>
        <v>23</v>
      </c>
      <c r="Q1387" s="2">
        <f>IFERROR(__xludf.DUMMYFUNCTION("""COMPUTED_VALUE"""),10.0)</f>
        <v>10</v>
      </c>
      <c r="R1387" s="2">
        <f>IFERROR(__xludf.DUMMYFUNCTION("""COMPUTED_VALUE"""),2025.0)</f>
        <v>2025</v>
      </c>
      <c r="S1387" s="2" t="str">
        <f>IFERROR(__xludf.DUMMYFUNCTION("""COMPUTED_VALUE"""),"Digizag")</f>
        <v>Digizag</v>
      </c>
      <c r="T1387" s="2" t="str">
        <f>IFERROR(__xludf.DUMMYFUNCTION("""COMPUTED_VALUE"""),"Digizag")</f>
        <v>Digizag</v>
      </c>
      <c r="U1387" s="5">
        <f>IFERROR(__xludf.DUMMYFUNCTION("""COMPUTED_VALUE"""),30.816283536220002)</f>
        <v>30.81628354</v>
      </c>
      <c r="V1387" s="2"/>
      <c r="W1387" s="2"/>
      <c r="X1387" s="2"/>
      <c r="Y1387" s="2"/>
      <c r="Z1387" s="2"/>
    </row>
    <row r="1388">
      <c r="A1388" s="6">
        <f>IFERROR(__xludf.DUMMYFUNCTION("""COMPUTED_VALUE"""),45953.553090277775)</f>
        <v>45953.55309</v>
      </c>
      <c r="B1388" s="2" t="str">
        <f>IFERROR(__xludf.DUMMYFUNCTION("""COMPUTED_VALUE"""),"October")</f>
        <v>October</v>
      </c>
      <c r="C1388" s="2">
        <f>IFERROR(__xludf.DUMMYFUNCTION("""COMPUTED_VALUE"""),756565.0)</f>
        <v>756565</v>
      </c>
      <c r="D1388" s="2" t="str">
        <f>IFERROR(__xludf.DUMMYFUNCTION("""COMPUTED_VALUE"""),"JM")</f>
        <v>JM</v>
      </c>
      <c r="E1388" s="2" t="str">
        <f>IFERROR(__xludf.DUMMYFUNCTION("""COMPUTED_VALUE"""),"Digizag")</f>
        <v>Digizag</v>
      </c>
      <c r="F1388" s="2" t="str">
        <f>IFERROR(__xludf.DUMMYFUNCTION("""COMPUTED_VALUE"""),"XHA286279")</f>
        <v>XHA286279</v>
      </c>
      <c r="G1388" s="2" t="str">
        <f>IFERROR(__xludf.DUMMYFUNCTION("""COMPUTED_VALUE"""),"Kuwait")</f>
        <v>Kuwait</v>
      </c>
      <c r="H1388" s="2">
        <f>IFERROR(__xludf.DUMMYFUNCTION("""COMPUTED_VALUE"""),8.75)</f>
        <v>8.75</v>
      </c>
      <c r="I1388" s="2">
        <f>IFERROR(__xludf.DUMMYFUNCTION("""COMPUTED_VALUE"""),0.0)</f>
        <v>0</v>
      </c>
      <c r="J1388" s="2">
        <f>IFERROR(__xludf.DUMMYFUNCTION("""COMPUTED_VALUE"""),0.875)</f>
        <v>0.875</v>
      </c>
      <c r="K1388" s="2"/>
      <c r="L1388" s="2" t="str">
        <f>IFERROR(__xludf.DUMMYFUNCTION("""COMPUTED_VALUE"""),"Delivered")</f>
        <v>Delivered</v>
      </c>
      <c r="M1388" s="2" t="str">
        <f>IFERROR(__xludf.DUMMYFUNCTION("""COMPUTED_VALUE"""),"KD")</f>
        <v>KD</v>
      </c>
      <c r="N1388" s="2" t="str">
        <f>IFERROR(__xludf.DUMMYFUNCTION("""COMPUTED_VALUE"""),"Credit, Debit, Knet")</f>
        <v>Credit, Debit, Knet</v>
      </c>
      <c r="O1388" s="2">
        <f>IFERROR(__xludf.DUMMYFUNCTION("""COMPUTED_VALUE"""),0.0)</f>
        <v>0</v>
      </c>
      <c r="P1388" s="2">
        <f>IFERROR(__xludf.DUMMYFUNCTION("""COMPUTED_VALUE"""),23.0)</f>
        <v>23</v>
      </c>
      <c r="Q1388" s="2">
        <f>IFERROR(__xludf.DUMMYFUNCTION("""COMPUTED_VALUE"""),10.0)</f>
        <v>10</v>
      </c>
      <c r="R1388" s="2">
        <f>IFERROR(__xludf.DUMMYFUNCTION("""COMPUTED_VALUE"""),2025.0)</f>
        <v>2025</v>
      </c>
      <c r="S1388" s="2" t="str">
        <f>IFERROR(__xludf.DUMMYFUNCTION("""COMPUTED_VALUE"""),"Digizag")</f>
        <v>Digizag</v>
      </c>
      <c r="T1388" s="2" t="str">
        <f>IFERROR(__xludf.DUMMYFUNCTION("""COMPUTED_VALUE"""),"Digizag")</f>
        <v>Digizag</v>
      </c>
      <c r="U1388" s="5">
        <f>IFERROR(__xludf.DUMMYFUNCTION("""COMPUTED_VALUE"""),28.530424999999997)</f>
        <v>28.530425</v>
      </c>
      <c r="V1388" s="2"/>
      <c r="W1388" s="2"/>
      <c r="X1388" s="2"/>
      <c r="Y1388" s="2"/>
      <c r="Z1388" s="2"/>
    </row>
    <row r="1389">
      <c r="A1389" s="6">
        <f>IFERROR(__xludf.DUMMYFUNCTION("""COMPUTED_VALUE"""),45953.55986111111)</f>
        <v>45953.55986</v>
      </c>
      <c r="B1389" s="2" t="str">
        <f>IFERROR(__xludf.DUMMYFUNCTION("""COMPUTED_VALUE"""),"October")</f>
        <v>October</v>
      </c>
      <c r="C1389" s="2">
        <f>IFERROR(__xludf.DUMMYFUNCTION("""COMPUTED_VALUE"""),502135.0)</f>
        <v>502135</v>
      </c>
      <c r="D1389" s="2" t="str">
        <f>IFERROR(__xludf.DUMMYFUNCTION("""COMPUTED_VALUE"""),"JM")</f>
        <v>JM</v>
      </c>
      <c r="E1389" s="2" t="str">
        <f>IFERROR(__xludf.DUMMYFUNCTION("""COMPUTED_VALUE"""),"Digizag")</f>
        <v>Digizag</v>
      </c>
      <c r="F1389" s="2" t="str">
        <f>IFERROR(__xludf.DUMMYFUNCTION("""COMPUTED_VALUE"""),"UNW491150")</f>
        <v>UNW491150</v>
      </c>
      <c r="G1389" s="2" t="str">
        <f>IFERROR(__xludf.DUMMYFUNCTION("""COMPUTED_VALUE"""),"Kuwait")</f>
        <v>Kuwait</v>
      </c>
      <c r="H1389" s="2">
        <f>IFERROR(__xludf.DUMMYFUNCTION("""COMPUTED_VALUE"""),14.9)</f>
        <v>14.9</v>
      </c>
      <c r="I1389" s="2">
        <f>IFERROR(__xludf.DUMMYFUNCTION("""COMPUTED_VALUE"""),0.0)</f>
        <v>0</v>
      </c>
      <c r="J1389" s="2">
        <f>IFERROR(__xludf.DUMMYFUNCTION("""COMPUTED_VALUE"""),1.49)</f>
        <v>1.49</v>
      </c>
      <c r="K1389" s="2"/>
      <c r="L1389" s="2" t="str">
        <f>IFERROR(__xludf.DUMMYFUNCTION("""COMPUTED_VALUE"""),"Delivered")</f>
        <v>Delivered</v>
      </c>
      <c r="M1389" s="2" t="str">
        <f>IFERROR(__xludf.DUMMYFUNCTION("""COMPUTED_VALUE"""),"KD")</f>
        <v>KD</v>
      </c>
      <c r="N1389" s="2" t="str">
        <f>IFERROR(__xludf.DUMMYFUNCTION("""COMPUTED_VALUE"""),"Credit, Debit, Knet")</f>
        <v>Credit, Debit, Knet</v>
      </c>
      <c r="O1389" s="2">
        <f>IFERROR(__xludf.DUMMYFUNCTION("""COMPUTED_VALUE"""),0.0)</f>
        <v>0</v>
      </c>
      <c r="P1389" s="2">
        <f>IFERROR(__xludf.DUMMYFUNCTION("""COMPUTED_VALUE"""),23.0)</f>
        <v>23</v>
      </c>
      <c r="Q1389" s="2">
        <f>IFERROR(__xludf.DUMMYFUNCTION("""COMPUTED_VALUE"""),10.0)</f>
        <v>10</v>
      </c>
      <c r="R1389" s="2">
        <f>IFERROR(__xludf.DUMMYFUNCTION("""COMPUTED_VALUE"""),2025.0)</f>
        <v>2025</v>
      </c>
      <c r="S1389" s="2" t="str">
        <f>IFERROR(__xludf.DUMMYFUNCTION("""COMPUTED_VALUE"""),"Digizag")</f>
        <v>Digizag</v>
      </c>
      <c r="T1389" s="2" t="str">
        <f>IFERROR(__xludf.DUMMYFUNCTION("""COMPUTED_VALUE"""),"Digizag")</f>
        <v>Digizag</v>
      </c>
      <c r="U1389" s="5">
        <f>IFERROR(__xludf.DUMMYFUNCTION("""COMPUTED_VALUE"""),48.583238)</f>
        <v>48.583238</v>
      </c>
      <c r="V1389" s="2"/>
      <c r="W1389" s="2"/>
      <c r="X1389" s="2"/>
      <c r="Y1389" s="2"/>
      <c r="Z1389" s="2"/>
    </row>
    <row r="1390">
      <c r="A1390" s="6">
        <f>IFERROR(__xludf.DUMMYFUNCTION("""COMPUTED_VALUE"""),45953.6199537037)</f>
        <v>45953.61995</v>
      </c>
      <c r="B1390" s="2" t="str">
        <f>IFERROR(__xludf.DUMMYFUNCTION("""COMPUTED_VALUE"""),"October")</f>
        <v>October</v>
      </c>
      <c r="C1390" s="2">
        <f>IFERROR(__xludf.DUMMYFUNCTION("""COMPUTED_VALUE"""),538028.0)</f>
        <v>538028</v>
      </c>
      <c r="D1390" s="2" t="str">
        <f>IFERROR(__xludf.DUMMYFUNCTION("""COMPUTED_VALUE"""),"DB7")</f>
        <v>DB7</v>
      </c>
      <c r="E1390" s="2" t="str">
        <f>IFERROR(__xludf.DUMMYFUNCTION("""COMPUTED_VALUE"""),"Digizag")</f>
        <v>Digizag</v>
      </c>
      <c r="F1390" s="2" t="str">
        <f>IFERROR(__xludf.DUMMYFUNCTION("""COMPUTED_VALUE"""),"NVU486831")</f>
        <v>NVU486831</v>
      </c>
      <c r="G1390" s="2" t="str">
        <f>IFERROR(__xludf.DUMMYFUNCTION("""COMPUTED_VALUE"""),"Kingdom of Saudi Arabia")</f>
        <v>Kingdom of Saudi Arabia</v>
      </c>
      <c r="H1390" s="2">
        <f>IFERROR(__xludf.DUMMYFUNCTION("""COMPUTED_VALUE"""),757.55)</f>
        <v>757.55</v>
      </c>
      <c r="I1390" s="2">
        <f>IFERROR(__xludf.DUMMYFUNCTION("""COMPUTED_VALUE"""),0.0)</f>
        <v>0</v>
      </c>
      <c r="J1390" s="2">
        <f>IFERROR(__xludf.DUMMYFUNCTION("""COMPUTED_VALUE"""),30.0)</f>
        <v>30</v>
      </c>
      <c r="K1390" s="2"/>
      <c r="L1390" s="2" t="str">
        <f>IFERROR(__xludf.DUMMYFUNCTION("""COMPUTED_VALUE"""),"Delivered")</f>
        <v>Delivered</v>
      </c>
      <c r="M1390" s="2" t="str">
        <f>IFERROR(__xludf.DUMMYFUNCTION("""COMPUTED_VALUE"""),"")</f>
        <v></v>
      </c>
      <c r="N1390" s="2" t="str">
        <f>IFERROR(__xludf.DUMMYFUNCTION("""COMPUTED_VALUE"""),"Credit, Debit, Apple Pay")</f>
        <v>Credit, Debit, Apple Pay</v>
      </c>
      <c r="O1390" s="2">
        <f>IFERROR(__xludf.DUMMYFUNCTION("""COMPUTED_VALUE"""),0.0)</f>
        <v>0</v>
      </c>
      <c r="P1390" s="2">
        <f>IFERROR(__xludf.DUMMYFUNCTION("""COMPUTED_VALUE"""),23.0)</f>
        <v>23</v>
      </c>
      <c r="Q1390" s="2">
        <f>IFERROR(__xludf.DUMMYFUNCTION("""COMPUTED_VALUE"""),10.0)</f>
        <v>10</v>
      </c>
      <c r="R1390" s="2">
        <f>IFERROR(__xludf.DUMMYFUNCTION("""COMPUTED_VALUE"""),2025.0)</f>
        <v>2025</v>
      </c>
      <c r="S1390" s="2" t="str">
        <f>IFERROR(__xludf.DUMMYFUNCTION("""COMPUTED_VALUE"""),"Digizag")</f>
        <v>Digizag</v>
      </c>
      <c r="T1390" s="2" t="str">
        <f>IFERROR(__xludf.DUMMYFUNCTION("""COMPUTED_VALUE"""),"Digizag")</f>
        <v>Digizag</v>
      </c>
      <c r="U1390" s="5">
        <f>IFERROR(__xludf.DUMMYFUNCTION("""COMPUTED_VALUE"""),201.9977121473)</f>
        <v>201.9977121</v>
      </c>
      <c r="V1390" s="2"/>
      <c r="W1390" s="2"/>
      <c r="X1390" s="2"/>
      <c r="Y1390" s="2"/>
      <c r="Z1390" s="2"/>
    </row>
    <row r="1391">
      <c r="A1391" s="6">
        <f>IFERROR(__xludf.DUMMYFUNCTION("""COMPUTED_VALUE"""),45953.6550462963)</f>
        <v>45953.65505</v>
      </c>
      <c r="B1391" s="2" t="str">
        <f>IFERROR(__xludf.DUMMYFUNCTION("""COMPUTED_VALUE"""),"October")</f>
        <v>October</v>
      </c>
      <c r="C1391" s="2">
        <f>IFERROR(__xludf.DUMMYFUNCTION("""COMPUTED_VALUE"""),820838.0)</f>
        <v>820838</v>
      </c>
      <c r="D1391" s="2" t="str">
        <f>IFERROR(__xludf.DUMMYFUNCTION("""COMPUTED_VALUE"""),"MNN27")</f>
        <v>MNN27</v>
      </c>
      <c r="E1391" s="2" t="str">
        <f>IFERROR(__xludf.DUMMYFUNCTION("""COMPUTED_VALUE"""),"Imported from file DigiZag Bidding Codes.xlsx")</f>
        <v>Imported from file DigiZag Bidding Codes.xlsx</v>
      </c>
      <c r="F1391" s="2" t="str">
        <f>IFERROR(__xludf.DUMMYFUNCTION("""COMPUTED_VALUE"""),"SDZ909096")</f>
        <v>SDZ909096</v>
      </c>
      <c r="G1391" s="2" t="str">
        <f>IFERROR(__xludf.DUMMYFUNCTION("""COMPUTED_VALUE"""),"Kingdom of Saudi Arabia")</f>
        <v>Kingdom of Saudi Arabia</v>
      </c>
      <c r="H1391" s="2">
        <f>IFERROR(__xludf.DUMMYFUNCTION("""COMPUTED_VALUE"""),107.83)</f>
        <v>107.83</v>
      </c>
      <c r="I1391" s="2">
        <f>IFERROR(__xludf.DUMMYFUNCTION("""COMPUTED_VALUE"""),0.0)</f>
        <v>0</v>
      </c>
      <c r="J1391" s="2">
        <f>IFERROR(__xludf.DUMMYFUNCTION("""COMPUTED_VALUE"""),26.95)</f>
        <v>26.95</v>
      </c>
      <c r="K1391" s="2"/>
      <c r="L1391" s="2" t="str">
        <f>IFERROR(__xludf.DUMMYFUNCTION("""COMPUTED_VALUE"""),"Delivered")</f>
        <v>Delivered</v>
      </c>
      <c r="M1391" s="2" t="str">
        <f>IFERROR(__xludf.DUMMYFUNCTION("""COMPUTED_VALUE"""),"")</f>
        <v></v>
      </c>
      <c r="N1391" s="2" t="str">
        <f>IFERROR(__xludf.DUMMYFUNCTION("""COMPUTED_VALUE"""),"Credit, Debit, Apple Pay")</f>
        <v>Credit, Debit, Apple Pay</v>
      </c>
      <c r="O1391" s="2">
        <f>IFERROR(__xludf.DUMMYFUNCTION("""COMPUTED_VALUE"""),0.0)</f>
        <v>0</v>
      </c>
      <c r="P1391" s="2">
        <f>IFERROR(__xludf.DUMMYFUNCTION("""COMPUTED_VALUE"""),23.0)</f>
        <v>23</v>
      </c>
      <c r="Q1391" s="2">
        <f>IFERROR(__xludf.DUMMYFUNCTION("""COMPUTED_VALUE"""),10.0)</f>
        <v>10</v>
      </c>
      <c r="R1391" s="2">
        <f>IFERROR(__xludf.DUMMYFUNCTION("""COMPUTED_VALUE"""),2025.0)</f>
        <v>2025</v>
      </c>
      <c r="S1391" s="2" t="str">
        <f>IFERROR(__xludf.DUMMYFUNCTION("""COMPUTED_VALUE"""),"Digizag")</f>
        <v>Digizag</v>
      </c>
      <c r="T1391" s="2" t="str">
        <f>IFERROR(__xludf.DUMMYFUNCTION("""COMPUTED_VALUE"""),"Digizag")</f>
        <v>Digizag</v>
      </c>
      <c r="U1391" s="5">
        <f>IFERROR(__xludf.DUMMYFUNCTION("""COMPUTED_VALUE"""),28.752443140180002)</f>
        <v>28.75244314</v>
      </c>
      <c r="V1391" s="2"/>
      <c r="W1391" s="2"/>
      <c r="X1391" s="2"/>
      <c r="Y1391" s="2"/>
      <c r="Z1391" s="2"/>
    </row>
    <row r="1392">
      <c r="A1392" s="6">
        <f>IFERROR(__xludf.DUMMYFUNCTION("""COMPUTED_VALUE"""),45953.67532407407)</f>
        <v>45953.67532</v>
      </c>
      <c r="B1392" s="2" t="str">
        <f>IFERROR(__xludf.DUMMYFUNCTION("""COMPUTED_VALUE"""),"October")</f>
        <v>October</v>
      </c>
      <c r="C1392" s="2">
        <f>IFERROR(__xludf.DUMMYFUNCTION("""COMPUTED_VALUE"""),4685.0)</f>
        <v>4685</v>
      </c>
      <c r="D1392" s="2" t="str">
        <f>IFERROR(__xludf.DUMMYFUNCTION("""COMPUTED_VALUE"""),"DB1")</f>
        <v>DB1</v>
      </c>
      <c r="E1392" s="2" t="str">
        <f>IFERROR(__xludf.DUMMYFUNCTION("""COMPUTED_VALUE"""),"Imported from file Digizag.xlsx")</f>
        <v>Imported from file Digizag.xlsx</v>
      </c>
      <c r="F1392" s="2" t="str">
        <f>IFERROR(__xludf.DUMMYFUNCTION("""COMPUTED_VALUE"""),"HSN298990")</f>
        <v>HSN298990</v>
      </c>
      <c r="G1392" s="2" t="str">
        <f>IFERROR(__xludf.DUMMYFUNCTION("""COMPUTED_VALUE"""),"Kingdom of Saudi Arabia")</f>
        <v>Kingdom of Saudi Arabia</v>
      </c>
      <c r="H1392" s="2">
        <f>IFERROR(__xludf.DUMMYFUNCTION("""COMPUTED_VALUE"""),235.96)</f>
        <v>235.96</v>
      </c>
      <c r="I1392" s="2">
        <f>IFERROR(__xludf.DUMMYFUNCTION("""COMPUTED_VALUE"""),0.0)</f>
        <v>0</v>
      </c>
      <c r="J1392" s="2">
        <f>IFERROR(__xludf.DUMMYFUNCTION("""COMPUTED_VALUE"""),30.0)</f>
        <v>30</v>
      </c>
      <c r="K1392" s="2"/>
      <c r="L1392" s="2" t="str">
        <f>IFERROR(__xludf.DUMMYFUNCTION("""COMPUTED_VALUE"""),"Delivered")</f>
        <v>Delivered</v>
      </c>
      <c r="M1392" s="2" t="str">
        <f>IFERROR(__xludf.DUMMYFUNCTION("""COMPUTED_VALUE"""),"")</f>
        <v></v>
      </c>
      <c r="N1392" s="2" t="str">
        <f>IFERROR(__xludf.DUMMYFUNCTION("""COMPUTED_VALUE"""),"Tamara: Split in 3, interest-free")</f>
        <v>Tamara: Split in 3, interest-free</v>
      </c>
      <c r="O1392" s="2">
        <f>IFERROR(__xludf.DUMMYFUNCTION("""COMPUTED_VALUE"""),0.0)</f>
        <v>0</v>
      </c>
      <c r="P1392" s="2">
        <f>IFERROR(__xludf.DUMMYFUNCTION("""COMPUTED_VALUE"""),23.0)</f>
        <v>23</v>
      </c>
      <c r="Q1392" s="2">
        <f>IFERROR(__xludf.DUMMYFUNCTION("""COMPUTED_VALUE"""),10.0)</f>
        <v>10</v>
      </c>
      <c r="R1392" s="2">
        <f>IFERROR(__xludf.DUMMYFUNCTION("""COMPUTED_VALUE"""),2025.0)</f>
        <v>2025</v>
      </c>
      <c r="S1392" s="2" t="str">
        <f>IFERROR(__xludf.DUMMYFUNCTION("""COMPUTED_VALUE"""),"Digizag")</f>
        <v>Digizag</v>
      </c>
      <c r="T1392" s="2" t="str">
        <f>IFERROR(__xludf.DUMMYFUNCTION("""COMPUTED_VALUE"""),"Digizag")</f>
        <v>Digizag</v>
      </c>
      <c r="U1392" s="5">
        <f>IFERROR(__xludf.DUMMYFUNCTION("""COMPUTED_VALUE"""),62.917801014160005)</f>
        <v>62.91780101</v>
      </c>
      <c r="V1392" s="2"/>
      <c r="W1392" s="2"/>
      <c r="X1392" s="2"/>
      <c r="Y1392" s="2"/>
      <c r="Z1392" s="2"/>
    </row>
    <row r="1393">
      <c r="A1393" s="6">
        <f>IFERROR(__xludf.DUMMYFUNCTION("""COMPUTED_VALUE"""),45953.72277777778)</f>
        <v>45953.72278</v>
      </c>
      <c r="B1393" s="2" t="str">
        <f>IFERROR(__xludf.DUMMYFUNCTION("""COMPUTED_VALUE"""),"October")</f>
        <v>October</v>
      </c>
      <c r="C1393" s="2">
        <f>IFERROR(__xludf.DUMMYFUNCTION("""COMPUTED_VALUE"""),566634.0)</f>
        <v>566634</v>
      </c>
      <c r="D1393" s="2" t="str">
        <f>IFERROR(__xludf.DUMMYFUNCTION("""COMPUTED_VALUE"""),"JM")</f>
        <v>JM</v>
      </c>
      <c r="E1393" s="2" t="str">
        <f>IFERROR(__xludf.DUMMYFUNCTION("""COMPUTED_VALUE"""),"DigiZag")</f>
        <v>DigiZag</v>
      </c>
      <c r="F1393" s="2" t="str">
        <f>IFERROR(__xludf.DUMMYFUNCTION("""COMPUTED_VALUE"""),"KYZ733774")</f>
        <v>KYZ733774</v>
      </c>
      <c r="G1393" s="2" t="str">
        <f>IFERROR(__xludf.DUMMYFUNCTION("""COMPUTED_VALUE"""),"Kingdom of Saudi Arabia")</f>
        <v>Kingdom of Saudi Arabia</v>
      </c>
      <c r="H1393" s="2">
        <f>IFERROR(__xludf.DUMMYFUNCTION("""COMPUTED_VALUE"""),289.91)</f>
        <v>289.91</v>
      </c>
      <c r="I1393" s="2">
        <f>IFERROR(__xludf.DUMMYFUNCTION("""COMPUTED_VALUE"""),0.0)</f>
        <v>0</v>
      </c>
      <c r="J1393" s="2">
        <f>IFERROR(__xludf.DUMMYFUNCTION("""COMPUTED_VALUE"""),30.0)</f>
        <v>30</v>
      </c>
      <c r="K1393" s="2"/>
      <c r="L1393" s="2" t="str">
        <f>IFERROR(__xludf.DUMMYFUNCTION("""COMPUTED_VALUE"""),"Delivered")</f>
        <v>Delivered</v>
      </c>
      <c r="M1393" s="2" t="str">
        <f>IFERROR(__xludf.DUMMYFUNCTION("""COMPUTED_VALUE"""),"")</f>
        <v></v>
      </c>
      <c r="N1393" s="2" t="str">
        <f>IFERROR(__xludf.DUMMYFUNCTION("""COMPUTED_VALUE"""),"Credit, Debit, Apple Pay")</f>
        <v>Credit, Debit, Apple Pay</v>
      </c>
      <c r="O1393" s="2">
        <f>IFERROR(__xludf.DUMMYFUNCTION("""COMPUTED_VALUE"""),0.0)</f>
        <v>0</v>
      </c>
      <c r="P1393" s="2">
        <f>IFERROR(__xludf.DUMMYFUNCTION("""COMPUTED_VALUE"""),23.0)</f>
        <v>23</v>
      </c>
      <c r="Q1393" s="2">
        <f>IFERROR(__xludf.DUMMYFUNCTION("""COMPUTED_VALUE"""),10.0)</f>
        <v>10</v>
      </c>
      <c r="R1393" s="2">
        <f>IFERROR(__xludf.DUMMYFUNCTION("""COMPUTED_VALUE"""),2025.0)</f>
        <v>2025</v>
      </c>
      <c r="S1393" s="2" t="str">
        <f>IFERROR(__xludf.DUMMYFUNCTION("""COMPUTED_VALUE"""),"Digizag")</f>
        <v>Digizag</v>
      </c>
      <c r="T1393" s="2" t="str">
        <f>IFERROR(__xludf.DUMMYFUNCTION("""COMPUTED_VALUE"""),"Digizag")</f>
        <v>Digizag</v>
      </c>
      <c r="U1393" s="5">
        <f>IFERROR(__xludf.DUMMYFUNCTION("""COMPUTED_VALUE"""),77.30335519586001)</f>
        <v>77.3033552</v>
      </c>
      <c r="V1393" s="2"/>
      <c r="W1393" s="2"/>
      <c r="X1393" s="2"/>
      <c r="Y1393" s="2"/>
      <c r="Z1393" s="2"/>
    </row>
    <row r="1394">
      <c r="A1394" s="6">
        <f>IFERROR(__xludf.DUMMYFUNCTION("""COMPUTED_VALUE"""),45953.72393518518)</f>
        <v>45953.72394</v>
      </c>
      <c r="B1394" s="2" t="str">
        <f>IFERROR(__xludf.DUMMYFUNCTION("""COMPUTED_VALUE"""),"October")</f>
        <v>October</v>
      </c>
      <c r="C1394" s="2">
        <f>IFERROR(__xludf.DUMMYFUNCTION("""COMPUTED_VALUE"""),40436.0)</f>
        <v>40436</v>
      </c>
      <c r="D1394" s="2" t="str">
        <f>IFERROR(__xludf.DUMMYFUNCTION("""COMPUTED_VALUE"""),"DB3")</f>
        <v>DB3</v>
      </c>
      <c r="E1394" s="2" t="str">
        <f>IFERROR(__xludf.DUMMYFUNCTION("""COMPUTED_VALUE"""),"Imported from file Digizag.xlsx")</f>
        <v>Imported from file Digizag.xlsx</v>
      </c>
      <c r="F1394" s="2" t="str">
        <f>IFERROR(__xludf.DUMMYFUNCTION("""COMPUTED_VALUE"""),"TUT207137")</f>
        <v>TUT207137</v>
      </c>
      <c r="G1394" s="2" t="str">
        <f>IFERROR(__xludf.DUMMYFUNCTION("""COMPUTED_VALUE"""),"Kingdom of Saudi Arabia")</f>
        <v>Kingdom of Saudi Arabia</v>
      </c>
      <c r="H1394" s="2">
        <f>IFERROR(__xludf.DUMMYFUNCTION("""COMPUTED_VALUE"""),110.36)</f>
        <v>110.36</v>
      </c>
      <c r="I1394" s="2">
        <f>IFERROR(__xludf.DUMMYFUNCTION("""COMPUTED_VALUE"""),0.0)</f>
        <v>0</v>
      </c>
      <c r="J1394" s="2">
        <f>IFERROR(__xludf.DUMMYFUNCTION("""COMPUTED_VALUE"""),27.57)</f>
        <v>27.57</v>
      </c>
      <c r="K1394" s="2"/>
      <c r="L1394" s="2" t="str">
        <f>IFERROR(__xludf.DUMMYFUNCTION("""COMPUTED_VALUE"""),"Delivered")</f>
        <v>Delivered</v>
      </c>
      <c r="M1394" s="2" t="str">
        <f>IFERROR(__xludf.DUMMYFUNCTION("""COMPUTED_VALUE"""),"")</f>
        <v></v>
      </c>
      <c r="N1394" s="2" t="str">
        <f>IFERROR(__xludf.DUMMYFUNCTION("""COMPUTED_VALUE"""),"Cash")</f>
        <v>Cash</v>
      </c>
      <c r="O1394" s="2">
        <f>IFERROR(__xludf.DUMMYFUNCTION("""COMPUTED_VALUE"""),0.0)</f>
        <v>0</v>
      </c>
      <c r="P1394" s="2">
        <f>IFERROR(__xludf.DUMMYFUNCTION("""COMPUTED_VALUE"""),23.0)</f>
        <v>23</v>
      </c>
      <c r="Q1394" s="2">
        <f>IFERROR(__xludf.DUMMYFUNCTION("""COMPUTED_VALUE"""),10.0)</f>
        <v>10</v>
      </c>
      <c r="R1394" s="2">
        <f>IFERROR(__xludf.DUMMYFUNCTION("""COMPUTED_VALUE"""),2025.0)</f>
        <v>2025</v>
      </c>
      <c r="S1394" s="2" t="str">
        <f>IFERROR(__xludf.DUMMYFUNCTION("""COMPUTED_VALUE"""),"Digizag")</f>
        <v>Digizag</v>
      </c>
      <c r="T1394" s="2" t="str">
        <f>IFERROR(__xludf.DUMMYFUNCTION("""COMPUTED_VALUE"""),"Digizag")</f>
        <v>Digizag</v>
      </c>
      <c r="U1394" s="5">
        <f>IFERROR(__xludf.DUMMYFUNCTION("""COMPUTED_VALUE"""),29.427057636560004)</f>
        <v>29.42705764</v>
      </c>
      <c r="V1394" s="2"/>
      <c r="W1394" s="2"/>
      <c r="X1394" s="2"/>
      <c r="Y1394" s="2"/>
      <c r="Z1394" s="2"/>
    </row>
    <row r="1395">
      <c r="A1395" s="6">
        <f>IFERROR(__xludf.DUMMYFUNCTION("""COMPUTED_VALUE"""),45953.89)</f>
        <v>45953.89</v>
      </c>
      <c r="B1395" s="2" t="str">
        <f>IFERROR(__xludf.DUMMYFUNCTION("""COMPUTED_VALUE"""),"October")</f>
        <v>October</v>
      </c>
      <c r="C1395" s="2">
        <f>IFERROR(__xludf.DUMMYFUNCTION("""COMPUTED_VALUE"""),88131.0)</f>
        <v>88131</v>
      </c>
      <c r="D1395" s="2" t="str">
        <f>IFERROR(__xludf.DUMMYFUNCTION("""COMPUTED_VALUE"""),"DG2")</f>
        <v>DG2</v>
      </c>
      <c r="E1395" s="2" t="str">
        <f>IFERROR(__xludf.DUMMYFUNCTION("""COMPUTED_VALUE"""),"Imported from file Digizag.xlsx")</f>
        <v>Imported from file Digizag.xlsx</v>
      </c>
      <c r="F1395" s="2" t="str">
        <f>IFERROR(__xludf.DUMMYFUNCTION("""COMPUTED_VALUE"""),"PCR135024")</f>
        <v>PCR135024</v>
      </c>
      <c r="G1395" s="2" t="str">
        <f>IFERROR(__xludf.DUMMYFUNCTION("""COMPUTED_VALUE"""),"Kuwait")</f>
        <v>Kuwait</v>
      </c>
      <c r="H1395" s="2">
        <f>IFERROR(__xludf.DUMMYFUNCTION("""COMPUTED_VALUE"""),39.8)</f>
        <v>39.8</v>
      </c>
      <c r="I1395" s="2">
        <f>IFERROR(__xludf.DUMMYFUNCTION("""COMPUTED_VALUE"""),0.0)</f>
        <v>0</v>
      </c>
      <c r="J1395" s="2">
        <f>IFERROR(__xludf.DUMMYFUNCTION("""COMPUTED_VALUE"""),3.98)</f>
        <v>3.98</v>
      </c>
      <c r="K1395" s="2"/>
      <c r="L1395" s="2" t="str">
        <f>IFERROR(__xludf.DUMMYFUNCTION("""COMPUTED_VALUE"""),"Delivered")</f>
        <v>Delivered</v>
      </c>
      <c r="M1395" s="2" t="str">
        <f>IFERROR(__xludf.DUMMYFUNCTION("""COMPUTED_VALUE"""),"KD")</f>
        <v>KD</v>
      </c>
      <c r="N1395" s="2" t="str">
        <f>IFERROR(__xludf.DUMMYFUNCTION("""COMPUTED_VALUE"""),"Credit, Debit, Knet")</f>
        <v>Credit, Debit, Knet</v>
      </c>
      <c r="O1395" s="2">
        <f>IFERROR(__xludf.DUMMYFUNCTION("""COMPUTED_VALUE"""),0.0)</f>
        <v>0</v>
      </c>
      <c r="P1395" s="2">
        <f>IFERROR(__xludf.DUMMYFUNCTION("""COMPUTED_VALUE"""),23.0)</f>
        <v>23</v>
      </c>
      <c r="Q1395" s="2">
        <f>IFERROR(__xludf.DUMMYFUNCTION("""COMPUTED_VALUE"""),10.0)</f>
        <v>10</v>
      </c>
      <c r="R1395" s="2">
        <f>IFERROR(__xludf.DUMMYFUNCTION("""COMPUTED_VALUE"""),2025.0)</f>
        <v>2025</v>
      </c>
      <c r="S1395" s="2" t="str">
        <f>IFERROR(__xludf.DUMMYFUNCTION("""COMPUTED_VALUE"""),"Digizag")</f>
        <v>Digizag</v>
      </c>
      <c r="T1395" s="2" t="str">
        <f>IFERROR(__xludf.DUMMYFUNCTION("""COMPUTED_VALUE"""),"Digizag")</f>
        <v>Digizag</v>
      </c>
      <c r="U1395" s="5">
        <f>IFERROR(__xludf.DUMMYFUNCTION("""COMPUTED_VALUE"""),129.772676)</f>
        <v>129.772676</v>
      </c>
      <c r="V1395" s="2"/>
      <c r="W1395" s="2"/>
      <c r="X1395" s="2"/>
      <c r="Y1395" s="2"/>
      <c r="Z1395" s="2"/>
    </row>
    <row r="1396">
      <c r="A1396" s="6">
        <f>IFERROR(__xludf.DUMMYFUNCTION("""COMPUTED_VALUE"""),45953.9522337963)</f>
        <v>45953.95223</v>
      </c>
      <c r="B1396" s="2" t="str">
        <f>IFERROR(__xludf.DUMMYFUNCTION("""COMPUTED_VALUE"""),"October")</f>
        <v>October</v>
      </c>
      <c r="C1396" s="2">
        <f>IFERROR(__xludf.DUMMYFUNCTION("""COMPUTED_VALUE"""),821457.0)</f>
        <v>821457</v>
      </c>
      <c r="D1396" s="2" t="str">
        <f>IFERROR(__xludf.DUMMYFUNCTION("""COMPUTED_VALUE"""),"DB3")</f>
        <v>DB3</v>
      </c>
      <c r="E1396" s="2" t="str">
        <f>IFERROR(__xludf.DUMMYFUNCTION("""COMPUTED_VALUE"""),"Imported from file Digizag.xlsx")</f>
        <v>Imported from file Digizag.xlsx</v>
      </c>
      <c r="F1396" s="2" t="str">
        <f>IFERROR(__xludf.DUMMYFUNCTION("""COMPUTED_VALUE"""),"DSU352824")</f>
        <v>DSU352824</v>
      </c>
      <c r="G1396" s="2" t="str">
        <f>IFERROR(__xludf.DUMMYFUNCTION("""COMPUTED_VALUE"""),"Kuwait")</f>
        <v>Kuwait</v>
      </c>
      <c r="H1396" s="2">
        <f>IFERROR(__xludf.DUMMYFUNCTION("""COMPUTED_VALUE"""),21.7)</f>
        <v>21.7</v>
      </c>
      <c r="I1396" s="2">
        <f>IFERROR(__xludf.DUMMYFUNCTION("""COMPUTED_VALUE"""),0.0)</f>
        <v>0</v>
      </c>
      <c r="J1396" s="2">
        <f>IFERROR(__xludf.DUMMYFUNCTION("""COMPUTED_VALUE"""),2.17)</f>
        <v>2.17</v>
      </c>
      <c r="K1396" s="2"/>
      <c r="L1396" s="2" t="str">
        <f>IFERROR(__xludf.DUMMYFUNCTION("""COMPUTED_VALUE"""),"Delivered")</f>
        <v>Delivered</v>
      </c>
      <c r="M1396" s="2" t="str">
        <f>IFERROR(__xludf.DUMMYFUNCTION("""COMPUTED_VALUE"""),"KD")</f>
        <v>KD</v>
      </c>
      <c r="N1396" s="2" t="str">
        <f>IFERROR(__xludf.DUMMYFUNCTION("""COMPUTED_VALUE"""),"Credit, Debit, Knet")</f>
        <v>Credit, Debit, Knet</v>
      </c>
      <c r="O1396" s="2">
        <f>IFERROR(__xludf.DUMMYFUNCTION("""COMPUTED_VALUE"""),0.0)</f>
        <v>0</v>
      </c>
      <c r="P1396" s="2">
        <f>IFERROR(__xludf.DUMMYFUNCTION("""COMPUTED_VALUE"""),23.0)</f>
        <v>23</v>
      </c>
      <c r="Q1396" s="2">
        <f>IFERROR(__xludf.DUMMYFUNCTION("""COMPUTED_VALUE"""),10.0)</f>
        <v>10</v>
      </c>
      <c r="R1396" s="2">
        <f>IFERROR(__xludf.DUMMYFUNCTION("""COMPUTED_VALUE"""),2025.0)</f>
        <v>2025</v>
      </c>
      <c r="S1396" s="2" t="str">
        <f>IFERROR(__xludf.DUMMYFUNCTION("""COMPUTED_VALUE"""),"Digizag")</f>
        <v>Digizag</v>
      </c>
      <c r="T1396" s="2" t="str">
        <f>IFERROR(__xludf.DUMMYFUNCTION("""COMPUTED_VALUE"""),"Digizag")</f>
        <v>Digizag</v>
      </c>
      <c r="U1396" s="5">
        <f>IFERROR(__xludf.DUMMYFUNCTION("""COMPUTED_VALUE"""),70.755454)</f>
        <v>70.755454</v>
      </c>
      <c r="V1396" s="2"/>
      <c r="W1396" s="2"/>
      <c r="X1396" s="2"/>
      <c r="Y1396" s="2"/>
      <c r="Z1396" s="2"/>
    </row>
    <row r="1397">
      <c r="A1397" s="6">
        <f>IFERROR(__xludf.DUMMYFUNCTION("""COMPUTED_VALUE"""),45953.995104166665)</f>
        <v>45953.9951</v>
      </c>
      <c r="B1397" s="2" t="str">
        <f>IFERROR(__xludf.DUMMYFUNCTION("""COMPUTED_VALUE"""),"October")</f>
        <v>October</v>
      </c>
      <c r="C1397" s="2">
        <f>IFERROR(__xludf.DUMMYFUNCTION("""COMPUTED_VALUE"""),650513.0)</f>
        <v>650513</v>
      </c>
      <c r="D1397" s="2" t="str">
        <f>IFERROR(__xludf.DUMMYFUNCTION("""COMPUTED_VALUE"""),"DB7")</f>
        <v>DB7</v>
      </c>
      <c r="E1397" s="2" t="str">
        <f>IFERROR(__xludf.DUMMYFUNCTION("""COMPUTED_VALUE"""),"Digizag")</f>
        <v>Digizag</v>
      </c>
      <c r="F1397" s="2" t="str">
        <f>IFERROR(__xludf.DUMMYFUNCTION("""COMPUTED_VALUE"""),"LDQ625040")</f>
        <v>LDQ625040</v>
      </c>
      <c r="G1397" s="2" t="str">
        <f>IFERROR(__xludf.DUMMYFUNCTION("""COMPUTED_VALUE"""),"Kingdom of Saudi Arabia")</f>
        <v>Kingdom of Saudi Arabia</v>
      </c>
      <c r="H1397" s="2">
        <f>IFERROR(__xludf.DUMMYFUNCTION("""COMPUTED_VALUE"""),193.74)</f>
        <v>193.74</v>
      </c>
      <c r="I1397" s="2">
        <f>IFERROR(__xludf.DUMMYFUNCTION("""COMPUTED_VALUE"""),0.0)</f>
        <v>0</v>
      </c>
      <c r="J1397" s="2">
        <f>IFERROR(__xludf.DUMMYFUNCTION("""COMPUTED_VALUE"""),30.0)</f>
        <v>30</v>
      </c>
      <c r="K1397" s="2"/>
      <c r="L1397" s="2" t="str">
        <f>IFERROR(__xludf.DUMMYFUNCTION("""COMPUTED_VALUE"""),"Delivered")</f>
        <v>Delivered</v>
      </c>
      <c r="M1397" s="2" t="str">
        <f>IFERROR(__xludf.DUMMYFUNCTION("""COMPUTED_VALUE"""),"")</f>
        <v></v>
      </c>
      <c r="N1397" s="2" t="str">
        <f>IFERROR(__xludf.DUMMYFUNCTION("""COMPUTED_VALUE"""),"Credit, Debit, Apple Pay")</f>
        <v>Credit, Debit, Apple Pay</v>
      </c>
      <c r="O1397" s="2">
        <f>IFERROR(__xludf.DUMMYFUNCTION("""COMPUTED_VALUE"""),0.0)</f>
        <v>0</v>
      </c>
      <c r="P1397" s="2">
        <f>IFERROR(__xludf.DUMMYFUNCTION("""COMPUTED_VALUE"""),23.0)</f>
        <v>23</v>
      </c>
      <c r="Q1397" s="2">
        <f>IFERROR(__xludf.DUMMYFUNCTION("""COMPUTED_VALUE"""),10.0)</f>
        <v>10</v>
      </c>
      <c r="R1397" s="2">
        <f>IFERROR(__xludf.DUMMYFUNCTION("""COMPUTED_VALUE"""),2025.0)</f>
        <v>2025</v>
      </c>
      <c r="S1397" s="2" t="str">
        <f>IFERROR(__xludf.DUMMYFUNCTION("""COMPUTED_VALUE"""),"Digizag")</f>
        <v>Digizag</v>
      </c>
      <c r="T1397" s="2" t="str">
        <f>IFERROR(__xludf.DUMMYFUNCTION("""COMPUTED_VALUE"""),"Digizag")</f>
        <v>Digizag</v>
      </c>
      <c r="U1397" s="5">
        <f>IFERROR(__xludf.DUMMYFUNCTION("""COMPUTED_VALUE"""),51.660004952040005)</f>
        <v>51.66000495</v>
      </c>
      <c r="V1397" s="2"/>
      <c r="W1397" s="2"/>
      <c r="X1397" s="2"/>
      <c r="Y1397" s="2"/>
      <c r="Z1397" s="2"/>
    </row>
    <row r="1398">
      <c r="A1398" s="6">
        <f>IFERROR(__xludf.DUMMYFUNCTION("""COMPUTED_VALUE"""),45954.134247685186)</f>
        <v>45954.13425</v>
      </c>
      <c r="B1398" s="2" t="str">
        <f>IFERROR(__xludf.DUMMYFUNCTION("""COMPUTED_VALUE"""),"October")</f>
        <v>October</v>
      </c>
      <c r="C1398" s="2">
        <f>IFERROR(__xludf.DUMMYFUNCTION("""COMPUTED_VALUE"""),819751.0)</f>
        <v>819751</v>
      </c>
      <c r="D1398" s="2" t="str">
        <f>IFERROR(__xludf.DUMMYFUNCTION("""COMPUTED_VALUE"""),"DB3")</f>
        <v>DB3</v>
      </c>
      <c r="E1398" s="2" t="str">
        <f>IFERROR(__xludf.DUMMYFUNCTION("""COMPUTED_VALUE"""),"Imported from file Digizag.xlsx")</f>
        <v>Imported from file Digizag.xlsx</v>
      </c>
      <c r="F1398" s="2" t="str">
        <f>IFERROR(__xludf.DUMMYFUNCTION("""COMPUTED_VALUE"""),"ZAQ386291")</f>
        <v>ZAQ386291</v>
      </c>
      <c r="G1398" s="2" t="str">
        <f>IFERROR(__xludf.DUMMYFUNCTION("""COMPUTED_VALUE"""),"Kingdom of Saudi Arabia")</f>
        <v>Kingdom of Saudi Arabia</v>
      </c>
      <c r="H1398" s="2">
        <f>IFERROR(__xludf.DUMMYFUNCTION("""COMPUTED_VALUE"""),138.65)</f>
        <v>138.65</v>
      </c>
      <c r="I1398" s="2">
        <f>IFERROR(__xludf.DUMMYFUNCTION("""COMPUTED_VALUE"""),0.0)</f>
        <v>0</v>
      </c>
      <c r="J1398" s="2">
        <f>IFERROR(__xludf.DUMMYFUNCTION("""COMPUTED_VALUE"""),30.0)</f>
        <v>30</v>
      </c>
      <c r="K1398" s="2"/>
      <c r="L1398" s="2" t="str">
        <f>IFERROR(__xludf.DUMMYFUNCTION("""COMPUTED_VALUE"""),"Delivered")</f>
        <v>Delivered</v>
      </c>
      <c r="M1398" s="2" t="str">
        <f>IFERROR(__xludf.DUMMYFUNCTION("""COMPUTED_VALUE"""),"")</f>
        <v></v>
      </c>
      <c r="N1398" s="2" t="str">
        <f>IFERROR(__xludf.DUMMYFUNCTION("""COMPUTED_VALUE"""),"Credit, Debit, Apple Pay")</f>
        <v>Credit, Debit, Apple Pay</v>
      </c>
      <c r="O1398" s="2">
        <f>IFERROR(__xludf.DUMMYFUNCTION("""COMPUTED_VALUE"""),0.0)</f>
        <v>0</v>
      </c>
      <c r="P1398" s="2">
        <f>IFERROR(__xludf.DUMMYFUNCTION("""COMPUTED_VALUE"""),24.0)</f>
        <v>24</v>
      </c>
      <c r="Q1398" s="2">
        <f>IFERROR(__xludf.DUMMYFUNCTION("""COMPUTED_VALUE"""),10.0)</f>
        <v>10</v>
      </c>
      <c r="R1398" s="2">
        <f>IFERROR(__xludf.DUMMYFUNCTION("""COMPUTED_VALUE"""),2025.0)</f>
        <v>2025</v>
      </c>
      <c r="S1398" s="2" t="str">
        <f>IFERROR(__xludf.DUMMYFUNCTION("""COMPUTED_VALUE"""),"Digizag")</f>
        <v>Digizag</v>
      </c>
      <c r="T1398" s="2" t="str">
        <f>IFERROR(__xludf.DUMMYFUNCTION("""COMPUTED_VALUE"""),"Digizag")</f>
        <v>Digizag</v>
      </c>
      <c r="U1398" s="5">
        <f>IFERROR(__xludf.DUMMYFUNCTION("""COMPUTED_VALUE"""),36.9704742779)</f>
        <v>36.97047428</v>
      </c>
      <c r="V1398" s="2"/>
      <c r="W1398" s="2"/>
      <c r="X1398" s="2"/>
      <c r="Y1398" s="2"/>
      <c r="Z1398" s="2"/>
    </row>
    <row r="1399">
      <c r="A1399" s="6">
        <f>IFERROR(__xludf.DUMMYFUNCTION("""COMPUTED_VALUE"""),45954.259050925924)</f>
        <v>45954.25905</v>
      </c>
      <c r="B1399" s="2" t="str">
        <f>IFERROR(__xludf.DUMMYFUNCTION("""COMPUTED_VALUE"""),"October")</f>
        <v>October</v>
      </c>
      <c r="C1399" s="2">
        <f>IFERROR(__xludf.DUMMYFUNCTION("""COMPUTED_VALUE"""),198145.0)</f>
        <v>198145</v>
      </c>
      <c r="D1399" s="2" t="str">
        <f>IFERROR(__xludf.DUMMYFUNCTION("""COMPUTED_VALUE"""),"DB6")</f>
        <v>DB6</v>
      </c>
      <c r="E1399" s="2" t="str">
        <f>IFERROR(__xludf.DUMMYFUNCTION("""COMPUTED_VALUE"""),"Digizag")</f>
        <v>Digizag</v>
      </c>
      <c r="F1399" s="2" t="str">
        <f>IFERROR(__xludf.DUMMYFUNCTION("""COMPUTED_VALUE"""),"ZVC181833")</f>
        <v>ZVC181833</v>
      </c>
      <c r="G1399" s="2" t="str">
        <f>IFERROR(__xludf.DUMMYFUNCTION("""COMPUTED_VALUE"""),"Kingdom of Saudi Arabia")</f>
        <v>Kingdom of Saudi Arabia</v>
      </c>
      <c r="H1399" s="2">
        <f>IFERROR(__xludf.DUMMYFUNCTION("""COMPUTED_VALUE"""),667.49)</f>
        <v>667.49</v>
      </c>
      <c r="I1399" s="2">
        <f>IFERROR(__xludf.DUMMYFUNCTION("""COMPUTED_VALUE"""),0.0)</f>
        <v>0</v>
      </c>
      <c r="J1399" s="2">
        <f>IFERROR(__xludf.DUMMYFUNCTION("""COMPUTED_VALUE"""),30.0)</f>
        <v>30</v>
      </c>
      <c r="K1399" s="2"/>
      <c r="L1399" s="2" t="str">
        <f>IFERROR(__xludf.DUMMYFUNCTION("""COMPUTED_VALUE"""),"Delivered")</f>
        <v>Delivered</v>
      </c>
      <c r="M1399" s="2" t="str">
        <f>IFERROR(__xludf.DUMMYFUNCTION("""COMPUTED_VALUE"""),"")</f>
        <v></v>
      </c>
      <c r="N1399" s="2" t="str">
        <f>IFERROR(__xludf.DUMMYFUNCTION("""COMPUTED_VALUE"""),"Credit, Debit, Apple Pay")</f>
        <v>Credit, Debit, Apple Pay</v>
      </c>
      <c r="O1399" s="2">
        <f>IFERROR(__xludf.DUMMYFUNCTION("""COMPUTED_VALUE"""),0.0)</f>
        <v>0</v>
      </c>
      <c r="P1399" s="2">
        <f>IFERROR(__xludf.DUMMYFUNCTION("""COMPUTED_VALUE"""),24.0)</f>
        <v>24</v>
      </c>
      <c r="Q1399" s="2">
        <f>IFERROR(__xludf.DUMMYFUNCTION("""COMPUTED_VALUE"""),10.0)</f>
        <v>10</v>
      </c>
      <c r="R1399" s="2">
        <f>IFERROR(__xludf.DUMMYFUNCTION("""COMPUTED_VALUE"""),2025.0)</f>
        <v>2025</v>
      </c>
      <c r="S1399" s="2" t="str">
        <f>IFERROR(__xludf.DUMMYFUNCTION("""COMPUTED_VALUE"""),"Digizag")</f>
        <v>Digizag</v>
      </c>
      <c r="T1399" s="2" t="str">
        <f>IFERROR(__xludf.DUMMYFUNCTION("""COMPUTED_VALUE"""),"Digizag")</f>
        <v>Digizag</v>
      </c>
      <c r="U1399" s="5">
        <f>IFERROR(__xludf.DUMMYFUNCTION("""COMPUTED_VALUE"""),177.98356924454)</f>
        <v>177.9835692</v>
      </c>
      <c r="V1399" s="2"/>
      <c r="W1399" s="2"/>
      <c r="X1399" s="2"/>
      <c r="Y1399" s="2"/>
      <c r="Z1399" s="2"/>
    </row>
    <row r="1400">
      <c r="A1400" s="6">
        <f>IFERROR(__xludf.DUMMYFUNCTION("""COMPUTED_VALUE"""),45954.34295138889)</f>
        <v>45954.34295</v>
      </c>
      <c r="B1400" s="2" t="str">
        <f>IFERROR(__xludf.DUMMYFUNCTION("""COMPUTED_VALUE"""),"October")</f>
        <v>October</v>
      </c>
      <c r="C1400" s="2">
        <f>IFERROR(__xludf.DUMMYFUNCTION("""COMPUTED_VALUE"""),362483.0)</f>
        <v>362483</v>
      </c>
      <c r="D1400" s="2" t="str">
        <f>IFERROR(__xludf.DUMMYFUNCTION("""COMPUTED_VALUE"""),"ZM22")</f>
        <v>ZM22</v>
      </c>
      <c r="E1400" s="2" t="str">
        <f>IFERROR(__xludf.DUMMYFUNCTION("""COMPUTED_VALUE"""),"Imported from file Digizag.xlsx")</f>
        <v>Imported from file Digizag.xlsx</v>
      </c>
      <c r="F1400" s="2" t="str">
        <f>IFERROR(__xludf.DUMMYFUNCTION("""COMPUTED_VALUE"""),"UPM213382")</f>
        <v>UPM213382</v>
      </c>
      <c r="G1400" s="2" t="str">
        <f>IFERROR(__xludf.DUMMYFUNCTION("""COMPUTED_VALUE"""),"Kingdom of Saudi Arabia")</f>
        <v>Kingdom of Saudi Arabia</v>
      </c>
      <c r="H1400" s="2">
        <f>IFERROR(__xludf.DUMMYFUNCTION("""COMPUTED_VALUE"""),154.0)</f>
        <v>154</v>
      </c>
      <c r="I1400" s="2">
        <f>IFERROR(__xludf.DUMMYFUNCTION("""COMPUTED_VALUE"""),0.0)</f>
        <v>0</v>
      </c>
      <c r="J1400" s="2">
        <f>IFERROR(__xludf.DUMMYFUNCTION("""COMPUTED_VALUE"""),30.0)</f>
        <v>30</v>
      </c>
      <c r="K1400" s="2"/>
      <c r="L1400" s="2" t="str">
        <f>IFERROR(__xludf.DUMMYFUNCTION("""COMPUTED_VALUE"""),"Delivered")</f>
        <v>Delivered</v>
      </c>
      <c r="M1400" s="2" t="str">
        <f>IFERROR(__xludf.DUMMYFUNCTION("""COMPUTED_VALUE"""),"")</f>
        <v></v>
      </c>
      <c r="N1400" s="2" t="str">
        <f>IFERROR(__xludf.DUMMYFUNCTION("""COMPUTED_VALUE"""),"Pay in 4. No interest, no fees")</f>
        <v>Pay in 4. No interest, no fees</v>
      </c>
      <c r="O1400" s="2">
        <f>IFERROR(__xludf.DUMMYFUNCTION("""COMPUTED_VALUE"""),0.0)</f>
        <v>0</v>
      </c>
      <c r="P1400" s="2">
        <f>IFERROR(__xludf.DUMMYFUNCTION("""COMPUTED_VALUE"""),24.0)</f>
        <v>24</v>
      </c>
      <c r="Q1400" s="2">
        <f>IFERROR(__xludf.DUMMYFUNCTION("""COMPUTED_VALUE"""),10.0)</f>
        <v>10</v>
      </c>
      <c r="R1400" s="2">
        <f>IFERROR(__xludf.DUMMYFUNCTION("""COMPUTED_VALUE"""),2025.0)</f>
        <v>2025</v>
      </c>
      <c r="S1400" s="2" t="str">
        <f>IFERROR(__xludf.DUMMYFUNCTION("""COMPUTED_VALUE"""),"Digizag")</f>
        <v>Digizag</v>
      </c>
      <c r="T1400" s="2" t="str">
        <f>IFERROR(__xludf.DUMMYFUNCTION("""COMPUTED_VALUE"""),"Digizag")</f>
        <v>Digizag</v>
      </c>
      <c r="U1400" s="5">
        <f>IFERROR(__xludf.DUMMYFUNCTION("""COMPUTED_VALUE"""),41.063491084000006)</f>
        <v>41.06349108</v>
      </c>
      <c r="V1400" s="2"/>
      <c r="W1400" s="2"/>
      <c r="X1400" s="2"/>
      <c r="Y1400" s="2"/>
      <c r="Z1400" s="2"/>
    </row>
    <row r="1401">
      <c r="A1401" s="6">
        <f>IFERROR(__xludf.DUMMYFUNCTION("""COMPUTED_VALUE"""),45954.42230324074)</f>
        <v>45954.4223</v>
      </c>
      <c r="B1401" s="2" t="str">
        <f>IFERROR(__xludf.DUMMYFUNCTION("""COMPUTED_VALUE"""),"October")</f>
        <v>October</v>
      </c>
      <c r="C1401" s="2">
        <f>IFERROR(__xludf.DUMMYFUNCTION("""COMPUTED_VALUE"""),215008.0)</f>
        <v>215008</v>
      </c>
      <c r="D1401" s="2" t="str">
        <f>IFERROR(__xludf.DUMMYFUNCTION("""COMPUTED_VALUE"""),"DB7")</f>
        <v>DB7</v>
      </c>
      <c r="E1401" s="2" t="str">
        <f>IFERROR(__xludf.DUMMYFUNCTION("""COMPUTED_VALUE"""),"Digizag")</f>
        <v>Digizag</v>
      </c>
      <c r="F1401" s="2" t="str">
        <f>IFERROR(__xludf.DUMMYFUNCTION("""COMPUTED_VALUE"""),"QJZ784103")</f>
        <v>QJZ784103</v>
      </c>
      <c r="G1401" s="2" t="str">
        <f>IFERROR(__xludf.DUMMYFUNCTION("""COMPUTED_VALUE"""),"Kingdom of Saudi Arabia")</f>
        <v>Kingdom of Saudi Arabia</v>
      </c>
      <c r="H1401" s="2">
        <f>IFERROR(__xludf.DUMMYFUNCTION("""COMPUTED_VALUE"""),275.68)</f>
        <v>275.68</v>
      </c>
      <c r="I1401" s="2">
        <f>IFERROR(__xludf.DUMMYFUNCTION("""COMPUTED_VALUE"""),0.0)</f>
        <v>0</v>
      </c>
      <c r="J1401" s="2">
        <f>IFERROR(__xludf.DUMMYFUNCTION("""COMPUTED_VALUE"""),30.0)</f>
        <v>30</v>
      </c>
      <c r="K1401" s="2"/>
      <c r="L1401" s="2" t="str">
        <f>IFERROR(__xludf.DUMMYFUNCTION("""COMPUTED_VALUE"""),"Delivered")</f>
        <v>Delivered</v>
      </c>
      <c r="M1401" s="2" t="str">
        <f>IFERROR(__xludf.DUMMYFUNCTION("""COMPUTED_VALUE"""),"")</f>
        <v></v>
      </c>
      <c r="N1401" s="2" t="str">
        <f>IFERROR(__xludf.DUMMYFUNCTION("""COMPUTED_VALUE"""),"Credit, Debit, Apple Pay")</f>
        <v>Credit, Debit, Apple Pay</v>
      </c>
      <c r="O1401" s="2">
        <f>IFERROR(__xludf.DUMMYFUNCTION("""COMPUTED_VALUE"""),0.0)</f>
        <v>0</v>
      </c>
      <c r="P1401" s="2">
        <f>IFERROR(__xludf.DUMMYFUNCTION("""COMPUTED_VALUE"""),24.0)</f>
        <v>24</v>
      </c>
      <c r="Q1401" s="2">
        <f>IFERROR(__xludf.DUMMYFUNCTION("""COMPUTED_VALUE"""),10.0)</f>
        <v>10</v>
      </c>
      <c r="R1401" s="2">
        <f>IFERROR(__xludf.DUMMYFUNCTION("""COMPUTED_VALUE"""),2025.0)</f>
        <v>2025</v>
      </c>
      <c r="S1401" s="2" t="str">
        <f>IFERROR(__xludf.DUMMYFUNCTION("""COMPUTED_VALUE"""),"Digizag")</f>
        <v>Digizag</v>
      </c>
      <c r="T1401" s="2" t="str">
        <f>IFERROR(__xludf.DUMMYFUNCTION("""COMPUTED_VALUE"""),"Digizag")</f>
        <v>Digizag</v>
      </c>
      <c r="U1401" s="5">
        <f>IFERROR(__xludf.DUMMYFUNCTION("""COMPUTED_VALUE"""),73.50898196128001)</f>
        <v>73.50898196</v>
      </c>
      <c r="V1401" s="2"/>
      <c r="W1401" s="2"/>
      <c r="X1401" s="2"/>
      <c r="Y1401" s="2"/>
      <c r="Z1401" s="2"/>
    </row>
    <row r="1402">
      <c r="A1402" s="6">
        <f>IFERROR(__xludf.DUMMYFUNCTION("""COMPUTED_VALUE"""),45954.47869212963)</f>
        <v>45954.47869</v>
      </c>
      <c r="B1402" s="2" t="str">
        <f>IFERROR(__xludf.DUMMYFUNCTION("""COMPUTED_VALUE"""),"October")</f>
        <v>October</v>
      </c>
      <c r="C1402" s="2">
        <f>IFERROR(__xludf.DUMMYFUNCTION("""COMPUTED_VALUE"""),255782.0)</f>
        <v>255782</v>
      </c>
      <c r="D1402" s="2" t="str">
        <f>IFERROR(__xludf.DUMMYFUNCTION("""COMPUTED_VALUE"""),"DB7")</f>
        <v>DB7</v>
      </c>
      <c r="E1402" s="2" t="str">
        <f>IFERROR(__xludf.DUMMYFUNCTION("""COMPUTED_VALUE"""),"Digizag")</f>
        <v>Digizag</v>
      </c>
      <c r="F1402" s="2" t="str">
        <f>IFERROR(__xludf.DUMMYFUNCTION("""COMPUTED_VALUE"""),"PWA726734")</f>
        <v>PWA726734</v>
      </c>
      <c r="G1402" s="2" t="str">
        <f>IFERROR(__xludf.DUMMYFUNCTION("""COMPUTED_VALUE"""),"Kingdom of Saudi Arabia")</f>
        <v>Kingdom of Saudi Arabia</v>
      </c>
      <c r="H1402" s="2">
        <f>IFERROR(__xludf.DUMMYFUNCTION("""COMPUTED_VALUE"""),208.7)</f>
        <v>208.7</v>
      </c>
      <c r="I1402" s="2">
        <f>IFERROR(__xludf.DUMMYFUNCTION("""COMPUTED_VALUE"""),0.0)</f>
        <v>0</v>
      </c>
      <c r="J1402" s="2">
        <f>IFERROR(__xludf.DUMMYFUNCTION("""COMPUTED_VALUE"""),30.0)</f>
        <v>30</v>
      </c>
      <c r="K1402" s="2"/>
      <c r="L1402" s="2" t="str">
        <f>IFERROR(__xludf.DUMMYFUNCTION("""COMPUTED_VALUE"""),"Delivered")</f>
        <v>Delivered</v>
      </c>
      <c r="M1402" s="2" t="str">
        <f>IFERROR(__xludf.DUMMYFUNCTION("""COMPUTED_VALUE"""),"")</f>
        <v></v>
      </c>
      <c r="N1402" s="2" t="str">
        <f>IFERROR(__xludf.DUMMYFUNCTION("""COMPUTED_VALUE"""),"Credit, Debit, Apple Pay")</f>
        <v>Credit, Debit, Apple Pay</v>
      </c>
      <c r="O1402" s="2">
        <f>IFERROR(__xludf.DUMMYFUNCTION("""COMPUTED_VALUE"""),0.0)</f>
        <v>0</v>
      </c>
      <c r="P1402" s="2">
        <f>IFERROR(__xludf.DUMMYFUNCTION("""COMPUTED_VALUE"""),24.0)</f>
        <v>24</v>
      </c>
      <c r="Q1402" s="2">
        <f>IFERROR(__xludf.DUMMYFUNCTION("""COMPUTED_VALUE"""),10.0)</f>
        <v>10</v>
      </c>
      <c r="R1402" s="2">
        <f>IFERROR(__xludf.DUMMYFUNCTION("""COMPUTED_VALUE"""),2025.0)</f>
        <v>2025</v>
      </c>
      <c r="S1402" s="2" t="str">
        <f>IFERROR(__xludf.DUMMYFUNCTION("""COMPUTED_VALUE"""),"Digizag")</f>
        <v>Digizag</v>
      </c>
      <c r="T1402" s="2" t="str">
        <f>IFERROR(__xludf.DUMMYFUNCTION("""COMPUTED_VALUE"""),"Digizag")</f>
        <v>Digizag</v>
      </c>
      <c r="U1402" s="5">
        <f>IFERROR(__xludf.DUMMYFUNCTION("""COMPUTED_VALUE"""),55.649029800200005)</f>
        <v>55.6490298</v>
      </c>
      <c r="V1402" s="2"/>
      <c r="W1402" s="2"/>
      <c r="X1402" s="2"/>
      <c r="Y1402" s="2"/>
      <c r="Z1402" s="2"/>
    </row>
    <row r="1403">
      <c r="A1403" s="6">
        <f>IFERROR(__xludf.DUMMYFUNCTION("""COMPUTED_VALUE"""),45954.48475694445)</f>
        <v>45954.48476</v>
      </c>
      <c r="B1403" s="2" t="str">
        <f>IFERROR(__xludf.DUMMYFUNCTION("""COMPUTED_VALUE"""),"October")</f>
        <v>October</v>
      </c>
      <c r="C1403" s="2">
        <f>IFERROR(__xludf.DUMMYFUNCTION("""COMPUTED_VALUE"""),47063.0)</f>
        <v>47063</v>
      </c>
      <c r="D1403" s="2" t="str">
        <f>IFERROR(__xludf.DUMMYFUNCTION("""COMPUTED_VALUE"""),"RR22")</f>
        <v>RR22</v>
      </c>
      <c r="E1403" s="2" t="str">
        <f>IFERROR(__xludf.DUMMYFUNCTION("""COMPUTED_VALUE"""),"Imported from file Digizag.xlsx")</f>
        <v>Imported from file Digizag.xlsx</v>
      </c>
      <c r="F1403" s="2" t="str">
        <f>IFERROR(__xludf.DUMMYFUNCTION("""COMPUTED_VALUE"""),"DKY178357")</f>
        <v>DKY178357</v>
      </c>
      <c r="G1403" s="2" t="str">
        <f>IFERROR(__xludf.DUMMYFUNCTION("""COMPUTED_VALUE"""),"UAE")</f>
        <v>UAE</v>
      </c>
      <c r="H1403" s="2">
        <f>IFERROR(__xludf.DUMMYFUNCTION("""COMPUTED_VALUE"""),264.0)</f>
        <v>264</v>
      </c>
      <c r="I1403" s="2">
        <f>IFERROR(__xludf.DUMMYFUNCTION("""COMPUTED_VALUE"""),0.0)</f>
        <v>0</v>
      </c>
      <c r="J1403" s="2">
        <f>IFERROR(__xludf.DUMMYFUNCTION("""COMPUTED_VALUE"""),26.4)</f>
        <v>26.4</v>
      </c>
      <c r="K1403" s="2"/>
      <c r="L1403" s="2" t="str">
        <f>IFERROR(__xludf.DUMMYFUNCTION("""COMPUTED_VALUE"""),"Delivered")</f>
        <v>Delivered</v>
      </c>
      <c r="M1403" s="2" t="str">
        <f>IFERROR(__xludf.DUMMYFUNCTION("""COMPUTED_VALUE"""),"")</f>
        <v></v>
      </c>
      <c r="N1403" s="2" t="str">
        <f>IFERROR(__xludf.DUMMYFUNCTION("""COMPUTED_VALUE"""),"Tamara: split in 3, interest-free")</f>
        <v>Tamara: split in 3, interest-free</v>
      </c>
      <c r="O1403" s="2">
        <f>IFERROR(__xludf.DUMMYFUNCTION("""COMPUTED_VALUE"""),0.0)</f>
        <v>0</v>
      </c>
      <c r="P1403" s="2">
        <f>IFERROR(__xludf.DUMMYFUNCTION("""COMPUTED_VALUE"""),24.0)</f>
        <v>24</v>
      </c>
      <c r="Q1403" s="2">
        <f>IFERROR(__xludf.DUMMYFUNCTION("""COMPUTED_VALUE"""),10.0)</f>
        <v>10</v>
      </c>
      <c r="R1403" s="2">
        <f>IFERROR(__xludf.DUMMYFUNCTION("""COMPUTED_VALUE"""),2025.0)</f>
        <v>2025</v>
      </c>
      <c r="S1403" s="2" t="str">
        <f>IFERROR(__xludf.DUMMYFUNCTION("""COMPUTED_VALUE"""),"Digizag")</f>
        <v>Digizag</v>
      </c>
      <c r="T1403" s="2" t="str">
        <f>IFERROR(__xludf.DUMMYFUNCTION("""COMPUTED_VALUE"""),"Digizag")</f>
        <v>Digizag</v>
      </c>
      <c r="U1403" s="5">
        <f>IFERROR(__xludf.DUMMYFUNCTION("""COMPUTED_VALUE"""),71.885636592)</f>
        <v>71.88563659</v>
      </c>
      <c r="V1403" s="2"/>
      <c r="W1403" s="2"/>
      <c r="X1403" s="2"/>
      <c r="Y1403" s="2"/>
      <c r="Z1403" s="2"/>
    </row>
    <row r="1404">
      <c r="A1404" s="6">
        <f>IFERROR(__xludf.DUMMYFUNCTION("""COMPUTED_VALUE"""),45954.59210648148)</f>
        <v>45954.59211</v>
      </c>
      <c r="B1404" s="2" t="str">
        <f>IFERROR(__xludf.DUMMYFUNCTION("""COMPUTED_VALUE"""),"October")</f>
        <v>October</v>
      </c>
      <c r="C1404" s="2">
        <f>IFERROR(__xludf.DUMMYFUNCTION("""COMPUTED_VALUE"""),821315.0)</f>
        <v>821315</v>
      </c>
      <c r="D1404" s="2" t="str">
        <f>IFERROR(__xludf.DUMMYFUNCTION("""COMPUTED_VALUE"""),"MNN27")</f>
        <v>MNN27</v>
      </c>
      <c r="E1404" s="2" t="str">
        <f>IFERROR(__xludf.DUMMYFUNCTION("""COMPUTED_VALUE"""),"Imported from file DigiZag Bidding Codes.xlsx")</f>
        <v>Imported from file DigiZag Bidding Codes.xlsx</v>
      </c>
      <c r="F1404" s="2" t="str">
        <f>IFERROR(__xludf.DUMMYFUNCTION("""COMPUTED_VALUE"""),"XXS554626")</f>
        <v>XXS554626</v>
      </c>
      <c r="G1404" s="2" t="str">
        <f>IFERROR(__xludf.DUMMYFUNCTION("""COMPUTED_VALUE"""),"Kingdom of Saudi Arabia")</f>
        <v>Kingdom of Saudi Arabia</v>
      </c>
      <c r="H1404" s="2">
        <f>IFERROR(__xludf.DUMMYFUNCTION("""COMPUTED_VALUE"""),29.88)</f>
        <v>29.88</v>
      </c>
      <c r="I1404" s="2">
        <f>IFERROR(__xludf.DUMMYFUNCTION("""COMPUTED_VALUE"""),0.0)</f>
        <v>0</v>
      </c>
      <c r="J1404" s="2">
        <f>IFERROR(__xludf.DUMMYFUNCTION("""COMPUTED_VALUE"""),7.47)</f>
        <v>7.47</v>
      </c>
      <c r="K1404" s="2"/>
      <c r="L1404" s="2" t="str">
        <f>IFERROR(__xludf.DUMMYFUNCTION("""COMPUTED_VALUE"""),"Delivered")</f>
        <v>Delivered</v>
      </c>
      <c r="M1404" s="2" t="str">
        <f>IFERROR(__xludf.DUMMYFUNCTION("""COMPUTED_VALUE"""),"")</f>
        <v></v>
      </c>
      <c r="N1404" s="2" t="str">
        <f>IFERROR(__xludf.DUMMYFUNCTION("""COMPUTED_VALUE"""),"Credit, Debit, Apple Pay")</f>
        <v>Credit, Debit, Apple Pay</v>
      </c>
      <c r="O1404" s="2">
        <f>IFERROR(__xludf.DUMMYFUNCTION("""COMPUTED_VALUE"""),0.0)</f>
        <v>0</v>
      </c>
      <c r="P1404" s="2">
        <f>IFERROR(__xludf.DUMMYFUNCTION("""COMPUTED_VALUE"""),24.0)</f>
        <v>24</v>
      </c>
      <c r="Q1404" s="2">
        <f>IFERROR(__xludf.DUMMYFUNCTION("""COMPUTED_VALUE"""),10.0)</f>
        <v>10</v>
      </c>
      <c r="R1404" s="2">
        <f>IFERROR(__xludf.DUMMYFUNCTION("""COMPUTED_VALUE"""),2025.0)</f>
        <v>2025</v>
      </c>
      <c r="S1404" s="2" t="str">
        <f>IFERROR(__xludf.DUMMYFUNCTION("""COMPUTED_VALUE"""),"Digizag")</f>
        <v>Digizag</v>
      </c>
      <c r="T1404" s="2" t="str">
        <f>IFERROR(__xludf.DUMMYFUNCTION("""COMPUTED_VALUE"""),"Digizag")</f>
        <v>Digizag</v>
      </c>
      <c r="U1404" s="5">
        <f>IFERROR(__xludf.DUMMYFUNCTION("""COMPUTED_VALUE"""),7.96738385448)</f>
        <v>7.967383854</v>
      </c>
      <c r="V1404" s="2"/>
      <c r="W1404" s="2"/>
      <c r="X1404" s="2"/>
      <c r="Y1404" s="2"/>
      <c r="Z1404" s="2"/>
    </row>
    <row r="1405">
      <c r="A1405" s="6">
        <f>IFERROR(__xludf.DUMMYFUNCTION("""COMPUTED_VALUE"""),45955.208391203705)</f>
        <v>45955.20839</v>
      </c>
      <c r="B1405" s="2" t="str">
        <f>IFERROR(__xludf.DUMMYFUNCTION("""COMPUTED_VALUE"""),"October")</f>
        <v>October</v>
      </c>
      <c r="C1405" s="2">
        <f>IFERROR(__xludf.DUMMYFUNCTION("""COMPUTED_VALUE"""),3776.0)</f>
        <v>3776</v>
      </c>
      <c r="D1405" s="2" t="str">
        <f>IFERROR(__xludf.DUMMYFUNCTION("""COMPUTED_VALUE"""),"JM")</f>
        <v>JM</v>
      </c>
      <c r="E1405" s="2" t="str">
        <f>IFERROR(__xludf.DUMMYFUNCTION("""COMPUTED_VALUE"""),"Digizag")</f>
        <v>Digizag</v>
      </c>
      <c r="F1405" s="2" t="str">
        <f>IFERROR(__xludf.DUMMYFUNCTION("""COMPUTED_VALUE"""),"NVB951942")</f>
        <v>NVB951942</v>
      </c>
      <c r="G1405" s="2" t="str">
        <f>IFERROR(__xludf.DUMMYFUNCTION("""COMPUTED_VALUE"""),"Kuwait")</f>
        <v>Kuwait</v>
      </c>
      <c r="H1405" s="2">
        <f>IFERROR(__xludf.DUMMYFUNCTION("""COMPUTED_VALUE"""),17.95)</f>
        <v>17.95</v>
      </c>
      <c r="I1405" s="2">
        <f>IFERROR(__xludf.DUMMYFUNCTION("""COMPUTED_VALUE"""),0.0)</f>
        <v>0</v>
      </c>
      <c r="J1405" s="2">
        <f>IFERROR(__xludf.DUMMYFUNCTION("""COMPUTED_VALUE"""),1.795)</f>
        <v>1.795</v>
      </c>
      <c r="K1405" s="2"/>
      <c r="L1405" s="2" t="str">
        <f>IFERROR(__xludf.DUMMYFUNCTION("""COMPUTED_VALUE"""),"Delivered")</f>
        <v>Delivered</v>
      </c>
      <c r="M1405" s="2" t="str">
        <f>IFERROR(__xludf.DUMMYFUNCTION("""COMPUTED_VALUE"""),"KD")</f>
        <v>KD</v>
      </c>
      <c r="N1405" s="2" t="str">
        <f>IFERROR(__xludf.DUMMYFUNCTION("""COMPUTED_VALUE"""),"Credit, Debit, Knet")</f>
        <v>Credit, Debit, Knet</v>
      </c>
      <c r="O1405" s="2">
        <f>IFERROR(__xludf.DUMMYFUNCTION("""COMPUTED_VALUE"""),0.0)</f>
        <v>0</v>
      </c>
      <c r="P1405" s="2">
        <f>IFERROR(__xludf.DUMMYFUNCTION("""COMPUTED_VALUE"""),25.0)</f>
        <v>25</v>
      </c>
      <c r="Q1405" s="2">
        <f>IFERROR(__xludf.DUMMYFUNCTION("""COMPUTED_VALUE"""),10.0)</f>
        <v>10</v>
      </c>
      <c r="R1405" s="2">
        <f>IFERROR(__xludf.DUMMYFUNCTION("""COMPUTED_VALUE"""),2025.0)</f>
        <v>2025</v>
      </c>
      <c r="S1405" s="2" t="str">
        <f>IFERROR(__xludf.DUMMYFUNCTION("""COMPUTED_VALUE"""),"Digizag")</f>
        <v>Digizag</v>
      </c>
      <c r="T1405" s="2" t="str">
        <f>IFERROR(__xludf.DUMMYFUNCTION("""COMPUTED_VALUE"""),"Digizag")</f>
        <v>Digizag</v>
      </c>
      <c r="U1405" s="5">
        <f>IFERROR(__xludf.DUMMYFUNCTION("""COMPUTED_VALUE"""),58.52812899999999)</f>
        <v>58.528129</v>
      </c>
      <c r="V1405" s="2"/>
      <c r="W1405" s="2"/>
      <c r="X1405" s="2"/>
      <c r="Y1405" s="2"/>
      <c r="Z1405" s="2"/>
    </row>
    <row r="1406">
      <c r="A1406" s="6">
        <f>IFERROR(__xludf.DUMMYFUNCTION("""COMPUTED_VALUE"""),45955.308657407404)</f>
        <v>45955.30866</v>
      </c>
      <c r="B1406" s="2" t="str">
        <f>IFERROR(__xludf.DUMMYFUNCTION("""COMPUTED_VALUE"""),"October")</f>
        <v>October</v>
      </c>
      <c r="C1406" s="2">
        <f>IFERROR(__xludf.DUMMYFUNCTION("""COMPUTED_VALUE"""),306167.0)</f>
        <v>306167</v>
      </c>
      <c r="D1406" s="2" t="str">
        <f>IFERROR(__xludf.DUMMYFUNCTION("""COMPUTED_VALUE"""),"CC22")</f>
        <v>CC22</v>
      </c>
      <c r="E1406" s="2" t="str">
        <f>IFERROR(__xludf.DUMMYFUNCTION("""COMPUTED_VALUE"""),"Imported from file Digizag.xlsx")</f>
        <v>Imported from file Digizag.xlsx</v>
      </c>
      <c r="F1406" s="2" t="str">
        <f>IFERROR(__xludf.DUMMYFUNCTION("""COMPUTED_VALUE"""),"MQP462093")</f>
        <v>MQP462093</v>
      </c>
      <c r="G1406" s="2" t="str">
        <f>IFERROR(__xludf.DUMMYFUNCTION("""COMPUTED_VALUE"""),"Kuwait")</f>
        <v>Kuwait</v>
      </c>
      <c r="H1406" s="2">
        <f>IFERROR(__xludf.DUMMYFUNCTION("""COMPUTED_VALUE"""),10.0)</f>
        <v>10</v>
      </c>
      <c r="I1406" s="2">
        <f>IFERROR(__xludf.DUMMYFUNCTION("""COMPUTED_VALUE"""),0.0)</f>
        <v>0</v>
      </c>
      <c r="J1406" s="2">
        <f>IFERROR(__xludf.DUMMYFUNCTION("""COMPUTED_VALUE"""),1.0)</f>
        <v>1</v>
      </c>
      <c r="K1406" s="2"/>
      <c r="L1406" s="2" t="str">
        <f>IFERROR(__xludf.DUMMYFUNCTION("""COMPUTED_VALUE"""),"Delivered")</f>
        <v>Delivered</v>
      </c>
      <c r="M1406" s="2" t="str">
        <f>IFERROR(__xludf.DUMMYFUNCTION("""COMPUTED_VALUE"""),"KD")</f>
        <v>KD</v>
      </c>
      <c r="N1406" s="2" t="str">
        <f>IFERROR(__xludf.DUMMYFUNCTION("""COMPUTED_VALUE"""),"Credit, Debit, Knet")</f>
        <v>Credit, Debit, Knet</v>
      </c>
      <c r="O1406" s="2">
        <f>IFERROR(__xludf.DUMMYFUNCTION("""COMPUTED_VALUE"""),0.0)</f>
        <v>0</v>
      </c>
      <c r="P1406" s="2">
        <f>IFERROR(__xludf.DUMMYFUNCTION("""COMPUTED_VALUE"""),25.0)</f>
        <v>25</v>
      </c>
      <c r="Q1406" s="2">
        <f>IFERROR(__xludf.DUMMYFUNCTION("""COMPUTED_VALUE"""),10.0)</f>
        <v>10</v>
      </c>
      <c r="R1406" s="2">
        <f>IFERROR(__xludf.DUMMYFUNCTION("""COMPUTED_VALUE"""),2025.0)</f>
        <v>2025</v>
      </c>
      <c r="S1406" s="2" t="str">
        <f>IFERROR(__xludf.DUMMYFUNCTION("""COMPUTED_VALUE"""),"Digizag")</f>
        <v>Digizag</v>
      </c>
      <c r="T1406" s="2" t="str">
        <f>IFERROR(__xludf.DUMMYFUNCTION("""COMPUTED_VALUE"""),"Digizag")</f>
        <v>Digizag</v>
      </c>
      <c r="U1406" s="5">
        <f>IFERROR(__xludf.DUMMYFUNCTION("""COMPUTED_VALUE"""),32.6062)</f>
        <v>32.6062</v>
      </c>
      <c r="V1406" s="2"/>
      <c r="W1406" s="2"/>
      <c r="X1406" s="2"/>
      <c r="Y1406" s="2"/>
      <c r="Z1406" s="2"/>
    </row>
    <row r="1407">
      <c r="A1407" s="6">
        <f>IFERROR(__xludf.DUMMYFUNCTION("""COMPUTED_VALUE"""),45955.37055555556)</f>
        <v>45955.37056</v>
      </c>
      <c r="B1407" s="2" t="str">
        <f>IFERROR(__xludf.DUMMYFUNCTION("""COMPUTED_VALUE"""),"October")</f>
        <v>October</v>
      </c>
      <c r="C1407" s="2">
        <f>IFERROR(__xludf.DUMMYFUNCTION("""COMPUTED_VALUE"""),82801.0)</f>
        <v>82801</v>
      </c>
      <c r="D1407" s="2" t="str">
        <f>IFERROR(__xludf.DUMMYFUNCTION("""COMPUTED_VALUE"""),"ZM22")</f>
        <v>ZM22</v>
      </c>
      <c r="E1407" s="2" t="str">
        <f>IFERROR(__xludf.DUMMYFUNCTION("""COMPUTED_VALUE"""),"Imported from file Digizag.xlsx")</f>
        <v>Imported from file Digizag.xlsx</v>
      </c>
      <c r="F1407" s="2" t="str">
        <f>IFERROR(__xludf.DUMMYFUNCTION("""COMPUTED_VALUE"""),"XAL218337")</f>
        <v>XAL218337</v>
      </c>
      <c r="G1407" s="2" t="str">
        <f>IFERROR(__xludf.DUMMYFUNCTION("""COMPUTED_VALUE"""),"Kingdom of Saudi Arabia")</f>
        <v>Kingdom of Saudi Arabia</v>
      </c>
      <c r="H1407" s="2">
        <f>IFERROR(__xludf.DUMMYFUNCTION("""COMPUTED_VALUE"""),468.77)</f>
        <v>468.77</v>
      </c>
      <c r="I1407" s="2">
        <f>IFERROR(__xludf.DUMMYFUNCTION("""COMPUTED_VALUE"""),0.0)</f>
        <v>0</v>
      </c>
      <c r="J1407" s="2">
        <f>IFERROR(__xludf.DUMMYFUNCTION("""COMPUTED_VALUE"""),30.0)</f>
        <v>30</v>
      </c>
      <c r="K1407" s="2"/>
      <c r="L1407" s="2" t="str">
        <f>IFERROR(__xludf.DUMMYFUNCTION("""COMPUTED_VALUE"""),"Delivered")</f>
        <v>Delivered</v>
      </c>
      <c r="M1407" s="2" t="str">
        <f>IFERROR(__xludf.DUMMYFUNCTION("""COMPUTED_VALUE"""),"")</f>
        <v></v>
      </c>
      <c r="N1407" s="2" t="str">
        <f>IFERROR(__xludf.DUMMYFUNCTION("""COMPUTED_VALUE"""),"Credit, Debit, Apple Pay")</f>
        <v>Credit, Debit, Apple Pay</v>
      </c>
      <c r="O1407" s="2">
        <f>IFERROR(__xludf.DUMMYFUNCTION("""COMPUTED_VALUE"""),0.0)</f>
        <v>0</v>
      </c>
      <c r="P1407" s="2">
        <f>IFERROR(__xludf.DUMMYFUNCTION("""COMPUTED_VALUE"""),25.0)</f>
        <v>25</v>
      </c>
      <c r="Q1407" s="2">
        <f>IFERROR(__xludf.DUMMYFUNCTION("""COMPUTED_VALUE"""),10.0)</f>
        <v>10</v>
      </c>
      <c r="R1407" s="2">
        <f>IFERROR(__xludf.DUMMYFUNCTION("""COMPUTED_VALUE"""),2025.0)</f>
        <v>2025</v>
      </c>
      <c r="S1407" s="2" t="str">
        <f>IFERROR(__xludf.DUMMYFUNCTION("""COMPUTED_VALUE"""),"Digizag")</f>
        <v>Digizag</v>
      </c>
      <c r="T1407" s="2" t="str">
        <f>IFERROR(__xludf.DUMMYFUNCTION("""COMPUTED_VALUE"""),"Digizag")</f>
        <v>Digizag</v>
      </c>
      <c r="U1407" s="5">
        <f>IFERROR(__xludf.DUMMYFUNCTION("""COMPUTED_VALUE"""),124.99566698342001)</f>
        <v>124.995667</v>
      </c>
      <c r="V1407" s="2"/>
      <c r="W1407" s="2"/>
      <c r="X1407" s="2"/>
      <c r="Y1407" s="2"/>
      <c r="Z1407" s="2"/>
    </row>
    <row r="1408">
      <c r="A1408" s="6">
        <f>IFERROR(__xludf.DUMMYFUNCTION("""COMPUTED_VALUE"""),45955.4422337963)</f>
        <v>45955.44223</v>
      </c>
      <c r="B1408" s="2" t="str">
        <f>IFERROR(__xludf.DUMMYFUNCTION("""COMPUTED_VALUE"""),"October")</f>
        <v>October</v>
      </c>
      <c r="C1408" s="2">
        <f>IFERROR(__xludf.DUMMYFUNCTION("""COMPUTED_VALUE"""),678931.0)</f>
        <v>678931</v>
      </c>
      <c r="D1408" s="2" t="str">
        <f>IFERROR(__xludf.DUMMYFUNCTION("""COMPUTED_VALUE"""),"RR22")</f>
        <v>RR22</v>
      </c>
      <c r="E1408" s="2" t="str">
        <f>IFERROR(__xludf.DUMMYFUNCTION("""COMPUTED_VALUE"""),"Imported from file Digizag.xlsx")</f>
        <v>Imported from file Digizag.xlsx</v>
      </c>
      <c r="F1408" s="2" t="str">
        <f>IFERROR(__xludf.DUMMYFUNCTION("""COMPUTED_VALUE"""),"TLH489615")</f>
        <v>TLH489615</v>
      </c>
      <c r="G1408" s="2" t="str">
        <f>IFERROR(__xludf.DUMMYFUNCTION("""COMPUTED_VALUE"""),"UAE")</f>
        <v>UAE</v>
      </c>
      <c r="H1408" s="2">
        <f>IFERROR(__xludf.DUMMYFUNCTION("""COMPUTED_VALUE"""),195.0)</f>
        <v>195</v>
      </c>
      <c r="I1408" s="2">
        <f>IFERROR(__xludf.DUMMYFUNCTION("""COMPUTED_VALUE"""),0.0)</f>
        <v>0</v>
      </c>
      <c r="J1408" s="2">
        <f>IFERROR(__xludf.DUMMYFUNCTION("""COMPUTED_VALUE"""),19.5)</f>
        <v>19.5</v>
      </c>
      <c r="K1408" s="2"/>
      <c r="L1408" s="2" t="str">
        <f>IFERROR(__xludf.DUMMYFUNCTION("""COMPUTED_VALUE"""),"Processing")</f>
        <v>Processing</v>
      </c>
      <c r="M1408" s="2" t="str">
        <f>IFERROR(__xludf.DUMMYFUNCTION("""COMPUTED_VALUE"""),"")</f>
        <v></v>
      </c>
      <c r="N1408" s="2" t="str">
        <f>IFERROR(__xludf.DUMMYFUNCTION("""COMPUTED_VALUE"""),"Credit, Debit , Apple Pay")</f>
        <v>Credit, Debit , Apple Pay</v>
      </c>
      <c r="O1408" s="2">
        <f>IFERROR(__xludf.DUMMYFUNCTION("""COMPUTED_VALUE"""),0.0)</f>
        <v>0</v>
      </c>
      <c r="P1408" s="2">
        <f>IFERROR(__xludf.DUMMYFUNCTION("""COMPUTED_VALUE"""),25.0)</f>
        <v>25</v>
      </c>
      <c r="Q1408" s="2">
        <f>IFERROR(__xludf.DUMMYFUNCTION("""COMPUTED_VALUE"""),10.0)</f>
        <v>10</v>
      </c>
      <c r="R1408" s="2">
        <f>IFERROR(__xludf.DUMMYFUNCTION("""COMPUTED_VALUE"""),2025.0)</f>
        <v>2025</v>
      </c>
      <c r="S1408" s="2" t="str">
        <f>IFERROR(__xludf.DUMMYFUNCTION("""COMPUTED_VALUE"""),"Digizag")</f>
        <v>Digizag</v>
      </c>
      <c r="T1408" s="2" t="str">
        <f>IFERROR(__xludf.DUMMYFUNCTION("""COMPUTED_VALUE"""),"Digizag")</f>
        <v>Digizag</v>
      </c>
      <c r="U1408" s="5">
        <f>IFERROR(__xludf.DUMMYFUNCTION("""COMPUTED_VALUE"""),53.09734521)</f>
        <v>53.09734521</v>
      </c>
      <c r="V1408" s="2"/>
      <c r="W1408" s="2"/>
      <c r="X1408" s="2"/>
      <c r="Y1408" s="2"/>
      <c r="Z1408" s="2"/>
    </row>
    <row r="1409">
      <c r="A1409" s="6">
        <f>IFERROR(__xludf.DUMMYFUNCTION("""COMPUTED_VALUE"""),45955.511516203704)</f>
        <v>45955.51152</v>
      </c>
      <c r="B1409" s="2" t="str">
        <f>IFERROR(__xludf.DUMMYFUNCTION("""COMPUTED_VALUE"""),"October")</f>
        <v>October</v>
      </c>
      <c r="C1409" s="2">
        <f>IFERROR(__xludf.DUMMYFUNCTION("""COMPUTED_VALUE"""),119844.0)</f>
        <v>119844</v>
      </c>
      <c r="D1409" s="2" t="str">
        <f>IFERROR(__xludf.DUMMYFUNCTION("""COMPUTED_VALUE"""),"DB1")</f>
        <v>DB1</v>
      </c>
      <c r="E1409" s="2" t="str">
        <f>IFERROR(__xludf.DUMMYFUNCTION("""COMPUTED_VALUE"""),"Imported from file Digizag.xlsx")</f>
        <v>Imported from file Digizag.xlsx</v>
      </c>
      <c r="F1409" s="2" t="str">
        <f>IFERROR(__xludf.DUMMYFUNCTION("""COMPUTED_VALUE"""),"MQE940434")</f>
        <v>MQE940434</v>
      </c>
      <c r="G1409" s="2" t="str">
        <f>IFERROR(__xludf.DUMMYFUNCTION("""COMPUTED_VALUE"""),"Kingdom of Saudi Arabia")</f>
        <v>Kingdom of Saudi Arabia</v>
      </c>
      <c r="H1409" s="2">
        <f>IFERROR(__xludf.DUMMYFUNCTION("""COMPUTED_VALUE"""),97.17)</f>
        <v>97.17</v>
      </c>
      <c r="I1409" s="2">
        <f>IFERROR(__xludf.DUMMYFUNCTION("""COMPUTED_VALUE"""),0.0)</f>
        <v>0</v>
      </c>
      <c r="J1409" s="2">
        <f>IFERROR(__xludf.DUMMYFUNCTION("""COMPUTED_VALUE"""),24.29)</f>
        <v>24.29</v>
      </c>
      <c r="K1409" s="2"/>
      <c r="L1409" s="2" t="str">
        <f>IFERROR(__xludf.DUMMYFUNCTION("""COMPUTED_VALUE"""),"Processing")</f>
        <v>Processing</v>
      </c>
      <c r="M1409" s="2" t="str">
        <f>IFERROR(__xludf.DUMMYFUNCTION("""COMPUTED_VALUE"""),"")</f>
        <v></v>
      </c>
      <c r="N1409" s="2" t="str">
        <f>IFERROR(__xludf.DUMMYFUNCTION("""COMPUTED_VALUE"""),"Credit, Debit, Apple Pay")</f>
        <v>Credit, Debit, Apple Pay</v>
      </c>
      <c r="O1409" s="2">
        <f>IFERROR(__xludf.DUMMYFUNCTION("""COMPUTED_VALUE"""),0.0)</f>
        <v>0</v>
      </c>
      <c r="P1409" s="2">
        <f>IFERROR(__xludf.DUMMYFUNCTION("""COMPUTED_VALUE"""),25.0)</f>
        <v>25</v>
      </c>
      <c r="Q1409" s="2">
        <f>IFERROR(__xludf.DUMMYFUNCTION("""COMPUTED_VALUE"""),10.0)</f>
        <v>10</v>
      </c>
      <c r="R1409" s="2">
        <f>IFERROR(__xludf.DUMMYFUNCTION("""COMPUTED_VALUE"""),2025.0)</f>
        <v>2025</v>
      </c>
      <c r="S1409" s="2" t="str">
        <f>IFERROR(__xludf.DUMMYFUNCTION("""COMPUTED_VALUE"""),"Digizag")</f>
        <v>Digizag</v>
      </c>
      <c r="T1409" s="2" t="str">
        <f>IFERROR(__xludf.DUMMYFUNCTION("""COMPUTED_VALUE"""),"Digizag")</f>
        <v>Digizag</v>
      </c>
      <c r="U1409" s="5">
        <f>IFERROR(__xludf.DUMMYFUNCTION("""COMPUTED_VALUE"""),25.909996289820004)</f>
        <v>25.90999629</v>
      </c>
      <c r="V1409" s="2"/>
      <c r="W1409" s="2"/>
      <c r="X1409" s="2"/>
      <c r="Y1409" s="2"/>
      <c r="Z1409" s="2"/>
    </row>
    <row r="1410">
      <c r="A1410" s="6">
        <f>IFERROR(__xludf.DUMMYFUNCTION("""COMPUTED_VALUE"""),45955.75699074074)</f>
        <v>45955.75699</v>
      </c>
      <c r="B1410" s="2" t="str">
        <f>IFERROR(__xludf.DUMMYFUNCTION("""COMPUTED_VALUE"""),"October")</f>
        <v>October</v>
      </c>
      <c r="C1410" s="2">
        <f>IFERROR(__xludf.DUMMYFUNCTION("""COMPUTED_VALUE"""),822691.0)</f>
        <v>822691</v>
      </c>
      <c r="D1410" s="2" t="str">
        <f>IFERROR(__xludf.DUMMYFUNCTION("""COMPUTED_VALUE"""),"ZM22")</f>
        <v>ZM22</v>
      </c>
      <c r="E1410" s="2" t="str">
        <f>IFERROR(__xludf.DUMMYFUNCTION("""COMPUTED_VALUE"""),"Imported from file Digizag.xlsx")</f>
        <v>Imported from file Digizag.xlsx</v>
      </c>
      <c r="F1410" s="2" t="str">
        <f>IFERROR(__xludf.DUMMYFUNCTION("""COMPUTED_VALUE"""),"GEX738875")</f>
        <v>GEX738875</v>
      </c>
      <c r="G1410" s="2" t="str">
        <f>IFERROR(__xludf.DUMMYFUNCTION("""COMPUTED_VALUE"""),"Kuwait")</f>
        <v>Kuwait</v>
      </c>
      <c r="H1410" s="2">
        <f>IFERROR(__xludf.DUMMYFUNCTION("""COMPUTED_VALUE"""),11.85)</f>
        <v>11.85</v>
      </c>
      <c r="I1410" s="2">
        <f>IFERROR(__xludf.DUMMYFUNCTION("""COMPUTED_VALUE"""),0.0)</f>
        <v>0</v>
      </c>
      <c r="J1410" s="2">
        <f>IFERROR(__xludf.DUMMYFUNCTION("""COMPUTED_VALUE"""),1.185)</f>
        <v>1.185</v>
      </c>
      <c r="K1410" s="2"/>
      <c r="L1410" s="2" t="str">
        <f>IFERROR(__xludf.DUMMYFUNCTION("""COMPUTED_VALUE"""),"Processing")</f>
        <v>Processing</v>
      </c>
      <c r="M1410" s="2" t="str">
        <f>IFERROR(__xludf.DUMMYFUNCTION("""COMPUTED_VALUE"""),"KD")</f>
        <v>KD</v>
      </c>
      <c r="N1410" s="2" t="str">
        <f>IFERROR(__xludf.DUMMYFUNCTION("""COMPUTED_VALUE"""),"Credit, Debit, Knet")</f>
        <v>Credit, Debit, Knet</v>
      </c>
      <c r="O1410" s="2">
        <f>IFERROR(__xludf.DUMMYFUNCTION("""COMPUTED_VALUE"""),0.0)</f>
        <v>0</v>
      </c>
      <c r="P1410" s="2">
        <f>IFERROR(__xludf.DUMMYFUNCTION("""COMPUTED_VALUE"""),25.0)</f>
        <v>25</v>
      </c>
      <c r="Q1410" s="2">
        <f>IFERROR(__xludf.DUMMYFUNCTION("""COMPUTED_VALUE"""),10.0)</f>
        <v>10</v>
      </c>
      <c r="R1410" s="2">
        <f>IFERROR(__xludf.DUMMYFUNCTION("""COMPUTED_VALUE"""),2025.0)</f>
        <v>2025</v>
      </c>
      <c r="S1410" s="2" t="str">
        <f>IFERROR(__xludf.DUMMYFUNCTION("""COMPUTED_VALUE"""),"Digizag")</f>
        <v>Digizag</v>
      </c>
      <c r="T1410" s="2" t="str">
        <f>IFERROR(__xludf.DUMMYFUNCTION("""COMPUTED_VALUE"""),"Digizag")</f>
        <v>Digizag</v>
      </c>
      <c r="U1410" s="5">
        <f>IFERROR(__xludf.DUMMYFUNCTION("""COMPUTED_VALUE"""),38.638346999999996)</f>
        <v>38.638347</v>
      </c>
      <c r="V1410" s="2"/>
      <c r="W1410" s="2"/>
      <c r="X1410" s="2"/>
      <c r="Y1410" s="2"/>
      <c r="Z1410" s="2"/>
    </row>
    <row r="1411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7" max="27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</sheetData>
  <drawing r:id="rId4"/>
</worksheet>
</file>