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Project\FDRD\ActivMoney\"/>
    </mc:Choice>
  </mc:AlternateContent>
  <bookViews>
    <workbookView xWindow="0" yWindow="0" windowWidth="20490" windowHeight="7620" firstSheet="1" activeTab="1"/>
  </bookViews>
  <sheets>
    <sheet name="Numbers" sheetId="1" state="hidden" r:id="rId1"/>
    <sheet name="Simulations" sheetId="3" r:id="rId2"/>
    <sheet name="ETB Impact on SA" sheetId="11" r:id="rId3"/>
    <sheet name="simulation percent calc" sheetId="9" r:id="rId4"/>
    <sheet name="etb_same_month_sweepout_base" sheetId="8" state="hidden" r:id="rId5"/>
    <sheet name="ETB PH" sheetId="5" r:id="rId6"/>
    <sheet name="NTB PH" sheetId="6" r:id="rId7"/>
    <sheet name="sweep limits" sheetId="4" r:id="rId8"/>
    <sheet name="etb_subsc_bas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" i="3" l="1"/>
  <c r="AA42" i="9" l="1"/>
  <c r="AD45" i="8"/>
  <c r="AD46" i="8"/>
  <c r="AD47" i="8"/>
  <c r="AD48" i="8"/>
  <c r="AD49" i="8"/>
  <c r="AC50" i="8"/>
  <c r="AD50" i="8"/>
  <c r="AD51" i="8"/>
  <c r="AD52" i="8"/>
  <c r="AD53" i="8"/>
  <c r="AD54" i="8"/>
  <c r="V9" i="9" l="1"/>
  <c r="V8" i="9"/>
  <c r="U8" i="9"/>
  <c r="F146" i="3"/>
  <c r="K148" i="3" s="1"/>
  <c r="E180" i="3" l="1"/>
  <c r="D180" i="3"/>
  <c r="E163" i="3"/>
  <c r="D163" i="3"/>
  <c r="E146" i="3"/>
  <c r="D146" i="3"/>
  <c r="K180" i="3"/>
  <c r="I179" i="3"/>
  <c r="I178" i="3"/>
  <c r="G178" i="3"/>
  <c r="G179" i="3"/>
  <c r="I177" i="3"/>
  <c r="G177" i="3"/>
  <c r="I176" i="3"/>
  <c r="G176" i="3"/>
  <c r="I175" i="3"/>
  <c r="G175" i="3"/>
  <c r="I174" i="3"/>
  <c r="G174" i="3"/>
  <c r="I173" i="3"/>
  <c r="G173" i="3"/>
  <c r="I172" i="3"/>
  <c r="G172" i="3"/>
  <c r="I171" i="3"/>
  <c r="G171" i="3"/>
  <c r="I170" i="3"/>
  <c r="G170" i="3"/>
  <c r="I169" i="3"/>
  <c r="G169" i="3"/>
  <c r="I168" i="3"/>
  <c r="G168" i="3"/>
  <c r="I156" i="3"/>
  <c r="I155" i="3"/>
  <c r="I154" i="3"/>
  <c r="I153" i="3"/>
  <c r="I180" i="3" l="1"/>
  <c r="I181" i="3" s="1"/>
  <c r="J174" i="3"/>
  <c r="L174" i="3" s="1"/>
  <c r="J178" i="3"/>
  <c r="L178" i="3" s="1"/>
  <c r="J179" i="3"/>
  <c r="L179" i="3" s="1"/>
  <c r="J170" i="3"/>
  <c r="L170" i="3" s="1"/>
  <c r="J171" i="3"/>
  <c r="L171" i="3" s="1"/>
  <c r="J168" i="3"/>
  <c r="J172" i="3"/>
  <c r="L172" i="3" s="1"/>
  <c r="J176" i="3"/>
  <c r="L176" i="3" s="1"/>
  <c r="J175" i="3"/>
  <c r="L175" i="3" s="1"/>
  <c r="J169" i="3"/>
  <c r="L169" i="3" s="1"/>
  <c r="J173" i="3"/>
  <c r="L173" i="3" s="1"/>
  <c r="J177" i="3"/>
  <c r="L177" i="3" s="1"/>
  <c r="I162" i="3"/>
  <c r="G162" i="3"/>
  <c r="I161" i="3"/>
  <c r="G161" i="3"/>
  <c r="I160" i="3"/>
  <c r="G160" i="3"/>
  <c r="I159" i="3"/>
  <c r="G159" i="3"/>
  <c r="I158" i="3"/>
  <c r="G158" i="3"/>
  <c r="I157" i="3"/>
  <c r="I163" i="3" s="1"/>
  <c r="I164" i="3" s="1"/>
  <c r="G157" i="3"/>
  <c r="G156" i="3"/>
  <c r="J156" i="3" s="1"/>
  <c r="L156" i="3" s="1"/>
  <c r="G155" i="3"/>
  <c r="J155" i="3" s="1"/>
  <c r="L155" i="3" s="1"/>
  <c r="G154" i="3"/>
  <c r="J154" i="3" s="1"/>
  <c r="L154" i="3" s="1"/>
  <c r="G153" i="3"/>
  <c r="J153" i="3" s="1"/>
  <c r="G137" i="3"/>
  <c r="G138" i="3"/>
  <c r="G139" i="3"/>
  <c r="G140" i="3"/>
  <c r="G141" i="3"/>
  <c r="G142" i="3"/>
  <c r="G143" i="3"/>
  <c r="G144" i="3"/>
  <c r="G145" i="3"/>
  <c r="G136" i="3"/>
  <c r="I144" i="3"/>
  <c r="I145" i="3"/>
  <c r="I137" i="3"/>
  <c r="I138" i="3"/>
  <c r="I139" i="3"/>
  <c r="I140" i="3"/>
  <c r="I141" i="3"/>
  <c r="I142" i="3"/>
  <c r="I143" i="3"/>
  <c r="I136" i="3"/>
  <c r="P31" i="9"/>
  <c r="Q31" i="9"/>
  <c r="R31" i="9"/>
  <c r="S31" i="9"/>
  <c r="T31" i="9"/>
  <c r="U31" i="9"/>
  <c r="V31" i="9"/>
  <c r="W31" i="9"/>
  <c r="X31" i="9"/>
  <c r="Y31" i="9"/>
  <c r="Z31" i="9"/>
  <c r="AA31" i="9"/>
  <c r="P32" i="9"/>
  <c r="Q32" i="9"/>
  <c r="R32" i="9"/>
  <c r="S32" i="9"/>
  <c r="T32" i="9"/>
  <c r="U32" i="9"/>
  <c r="V32" i="9"/>
  <c r="W32" i="9"/>
  <c r="X32" i="9"/>
  <c r="Y32" i="9"/>
  <c r="Z32" i="9"/>
  <c r="AA32" i="9"/>
  <c r="P33" i="9"/>
  <c r="Q33" i="9"/>
  <c r="R33" i="9"/>
  <c r="S33" i="9"/>
  <c r="T33" i="9"/>
  <c r="U33" i="9"/>
  <c r="V33" i="9"/>
  <c r="W33" i="9"/>
  <c r="X33" i="9"/>
  <c r="Y33" i="9"/>
  <c r="Z33" i="9"/>
  <c r="AA33" i="9"/>
  <c r="P34" i="9"/>
  <c r="Q34" i="9"/>
  <c r="R34" i="9"/>
  <c r="S34" i="9"/>
  <c r="T34" i="9"/>
  <c r="U34" i="9"/>
  <c r="V34" i="9"/>
  <c r="W34" i="9"/>
  <c r="X34" i="9"/>
  <c r="Y34" i="9"/>
  <c r="Z34" i="9"/>
  <c r="AA34" i="9"/>
  <c r="P35" i="9"/>
  <c r="Q35" i="9"/>
  <c r="R35" i="9"/>
  <c r="S35" i="9"/>
  <c r="T35" i="9"/>
  <c r="U35" i="9"/>
  <c r="V35" i="9"/>
  <c r="W35" i="9"/>
  <c r="X35" i="9"/>
  <c r="Y35" i="9"/>
  <c r="Z35" i="9"/>
  <c r="AA35" i="9"/>
  <c r="P36" i="9"/>
  <c r="Q36" i="9"/>
  <c r="R36" i="9"/>
  <c r="S36" i="9"/>
  <c r="T36" i="9"/>
  <c r="U36" i="9"/>
  <c r="V36" i="9"/>
  <c r="W36" i="9"/>
  <c r="X36" i="9"/>
  <c r="Y36" i="9"/>
  <c r="Z36" i="9"/>
  <c r="AA36" i="9"/>
  <c r="P37" i="9"/>
  <c r="Q37" i="9"/>
  <c r="R37" i="9"/>
  <c r="S37" i="9"/>
  <c r="T37" i="9"/>
  <c r="U37" i="9"/>
  <c r="V37" i="9"/>
  <c r="W37" i="9"/>
  <c r="W42" i="9" s="1"/>
  <c r="X37" i="9"/>
  <c r="Y37" i="9"/>
  <c r="Z37" i="9"/>
  <c r="AA37" i="9"/>
  <c r="P38" i="9"/>
  <c r="Q38" i="9"/>
  <c r="R38" i="9"/>
  <c r="S38" i="9"/>
  <c r="T38" i="9"/>
  <c r="U38" i="9"/>
  <c r="V38" i="9"/>
  <c r="W38" i="9"/>
  <c r="X38" i="9"/>
  <c r="X43" i="9" s="1"/>
  <c r="Y38" i="9"/>
  <c r="Z38" i="9"/>
  <c r="AA38" i="9"/>
  <c r="P39" i="9"/>
  <c r="Q39" i="9"/>
  <c r="R39" i="9"/>
  <c r="S39" i="9"/>
  <c r="T39" i="9"/>
  <c r="U39" i="9"/>
  <c r="V39" i="9"/>
  <c r="W39" i="9"/>
  <c r="X39" i="9"/>
  <c r="Y39" i="9"/>
  <c r="Y44" i="9" s="1"/>
  <c r="Z39" i="9"/>
  <c r="AA39" i="9"/>
  <c r="AG35" i="9" s="1"/>
  <c r="P40" i="9"/>
  <c r="Q40" i="9"/>
  <c r="R40" i="9"/>
  <c r="S40" i="9"/>
  <c r="T40" i="9"/>
  <c r="U40" i="9"/>
  <c r="V40" i="9"/>
  <c r="W40" i="9"/>
  <c r="X40" i="9"/>
  <c r="Y40" i="9"/>
  <c r="Z40" i="9"/>
  <c r="Z45" i="9" s="1"/>
  <c r="AA40" i="9"/>
  <c r="AF36" i="9" s="1"/>
  <c r="P41" i="9"/>
  <c r="Q41" i="9"/>
  <c r="R41" i="9"/>
  <c r="S41" i="9"/>
  <c r="T41" i="9"/>
  <c r="U41" i="9"/>
  <c r="V41" i="9"/>
  <c r="W41" i="9"/>
  <c r="X41" i="9"/>
  <c r="Y41" i="9"/>
  <c r="Z41" i="9"/>
  <c r="AA41" i="9"/>
  <c r="Q30" i="9"/>
  <c r="R30" i="9"/>
  <c r="S30" i="9"/>
  <c r="T30" i="9"/>
  <c r="U30" i="9"/>
  <c r="V30" i="9"/>
  <c r="W30" i="9"/>
  <c r="X30" i="9"/>
  <c r="Y30" i="9"/>
  <c r="Z30" i="9"/>
  <c r="AA30" i="9"/>
  <c r="P30" i="9"/>
  <c r="I146" i="3" l="1"/>
  <c r="I147" i="3" s="1"/>
  <c r="AG34" i="9"/>
  <c r="L168" i="3"/>
  <c r="L180" i="3" s="1"/>
  <c r="M180" i="3" s="1"/>
  <c r="J180" i="3"/>
  <c r="J159" i="3"/>
  <c r="L159" i="3" s="1"/>
  <c r="J136" i="3"/>
  <c r="AD34" i="9"/>
  <c r="J161" i="3"/>
  <c r="L161" i="3" s="1"/>
  <c r="J158" i="3"/>
  <c r="L158" i="3" s="1"/>
  <c r="J162" i="3"/>
  <c r="L162" i="3" s="1"/>
  <c r="J157" i="3"/>
  <c r="L157" i="3" s="1"/>
  <c r="J160" i="3"/>
  <c r="L160" i="3" s="1"/>
  <c r="L153" i="3"/>
  <c r="J144" i="3"/>
  <c r="J143" i="3"/>
  <c r="J139" i="3"/>
  <c r="J142" i="3"/>
  <c r="J141" i="3"/>
  <c r="J145" i="3"/>
  <c r="J140" i="3"/>
  <c r="J138" i="3"/>
  <c r="J137" i="3"/>
  <c r="AD37" i="9"/>
  <c r="AD33" i="9"/>
  <c r="AD36" i="9"/>
  <c r="AF35" i="9"/>
  <c r="AG33" i="9"/>
  <c r="AD35" i="9"/>
  <c r="AE33" i="9"/>
  <c r="AF34" i="9"/>
  <c r="AF33" i="9"/>
  <c r="L139" i="3" l="1"/>
  <c r="N139" i="3"/>
  <c r="L144" i="3"/>
  <c r="N144" i="3"/>
  <c r="L136" i="3"/>
  <c r="N136" i="3"/>
  <c r="L137" i="3"/>
  <c r="N137" i="3"/>
  <c r="L138" i="3"/>
  <c r="N138" i="3"/>
  <c r="L145" i="3"/>
  <c r="N145" i="3"/>
  <c r="L143" i="3"/>
  <c r="N143" i="3"/>
  <c r="L140" i="3"/>
  <c r="N140" i="3"/>
  <c r="L141" i="3"/>
  <c r="N141" i="3"/>
  <c r="L142" i="3"/>
  <c r="N142" i="3"/>
  <c r="J163" i="3"/>
  <c r="L163" i="3"/>
  <c r="M163" i="3" s="1"/>
  <c r="M164" i="3" s="1"/>
  <c r="J146" i="3"/>
  <c r="L146" i="3" l="1"/>
  <c r="M146" i="3"/>
  <c r="M147" i="3" s="1"/>
  <c r="K147" i="3"/>
  <c r="J147" i="3"/>
  <c r="N146" i="3"/>
  <c r="AC22" i="8"/>
  <c r="G54" i="8"/>
  <c r="F54" i="8"/>
  <c r="E54" i="8"/>
  <c r="D54" i="8"/>
  <c r="C54" i="8"/>
  <c r="G53" i="8"/>
  <c r="F53" i="8"/>
  <c r="E53" i="8"/>
  <c r="D53" i="8"/>
  <c r="C53" i="8"/>
  <c r="G52" i="8"/>
  <c r="F52" i="8"/>
  <c r="E52" i="8"/>
  <c r="D52" i="8"/>
  <c r="C52" i="8"/>
  <c r="G51" i="8"/>
  <c r="F51" i="8"/>
  <c r="E51" i="8"/>
  <c r="D51" i="8"/>
  <c r="C51" i="8"/>
  <c r="G50" i="8"/>
  <c r="F50" i="8"/>
  <c r="E50" i="8"/>
  <c r="D50" i="8"/>
  <c r="C50" i="8"/>
  <c r="G49" i="8"/>
  <c r="F49" i="8"/>
  <c r="E49" i="8"/>
  <c r="D49" i="8"/>
  <c r="C49" i="8"/>
  <c r="G48" i="8"/>
  <c r="F48" i="8"/>
  <c r="E48" i="8"/>
  <c r="D48" i="8"/>
  <c r="C48" i="8"/>
  <c r="G47" i="8"/>
  <c r="F47" i="8"/>
  <c r="E47" i="8"/>
  <c r="D47" i="8"/>
  <c r="C47" i="8"/>
  <c r="G46" i="8"/>
  <c r="F46" i="8"/>
  <c r="E46" i="8"/>
  <c r="D46" i="8"/>
  <c r="C46" i="8"/>
  <c r="G45" i="8"/>
  <c r="F45" i="8"/>
  <c r="E45" i="8"/>
  <c r="D45" i="8"/>
  <c r="C45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G17" i="8"/>
  <c r="F17" i="8"/>
  <c r="E17" i="8"/>
  <c r="D17" i="8"/>
  <c r="C17" i="8"/>
  <c r="X41" i="8"/>
  <c r="W41" i="8"/>
  <c r="V41" i="8"/>
  <c r="U41" i="8"/>
  <c r="T41" i="8"/>
  <c r="S41" i="8"/>
  <c r="R41" i="8"/>
  <c r="Q41" i="8"/>
  <c r="P41" i="8"/>
  <c r="O41" i="8"/>
  <c r="X40" i="8"/>
  <c r="W40" i="8"/>
  <c r="V40" i="8"/>
  <c r="U40" i="8"/>
  <c r="T40" i="8"/>
  <c r="S40" i="8"/>
  <c r="R40" i="8"/>
  <c r="Q40" i="8"/>
  <c r="P40" i="8"/>
  <c r="O40" i="8"/>
  <c r="X39" i="8"/>
  <c r="W39" i="8"/>
  <c r="V39" i="8"/>
  <c r="U39" i="8"/>
  <c r="T39" i="8"/>
  <c r="S39" i="8"/>
  <c r="R39" i="8"/>
  <c r="Q39" i="8"/>
  <c r="P39" i="8"/>
  <c r="O39" i="8"/>
  <c r="X38" i="8"/>
  <c r="W38" i="8"/>
  <c r="V38" i="8"/>
  <c r="U38" i="8"/>
  <c r="T38" i="8"/>
  <c r="S38" i="8"/>
  <c r="R38" i="8"/>
  <c r="Q38" i="8"/>
  <c r="P38" i="8"/>
  <c r="O38" i="8"/>
  <c r="X37" i="8"/>
  <c r="W37" i="8"/>
  <c r="V37" i="8"/>
  <c r="U37" i="8"/>
  <c r="T37" i="8"/>
  <c r="S37" i="8"/>
  <c r="R37" i="8"/>
  <c r="Q37" i="8"/>
  <c r="P37" i="8"/>
  <c r="O37" i="8"/>
  <c r="X36" i="8"/>
  <c r="W36" i="8"/>
  <c r="V36" i="8"/>
  <c r="U36" i="8"/>
  <c r="T36" i="8"/>
  <c r="S36" i="8"/>
  <c r="R36" i="8"/>
  <c r="Q36" i="8"/>
  <c r="P36" i="8"/>
  <c r="O36" i="8"/>
  <c r="X35" i="8"/>
  <c r="W35" i="8"/>
  <c r="V35" i="8"/>
  <c r="U35" i="8"/>
  <c r="T35" i="8"/>
  <c r="S35" i="8"/>
  <c r="R35" i="8"/>
  <c r="Q35" i="8"/>
  <c r="P35" i="8"/>
  <c r="O35" i="8"/>
  <c r="X34" i="8"/>
  <c r="W34" i="8"/>
  <c r="V34" i="8"/>
  <c r="U34" i="8"/>
  <c r="T34" i="8"/>
  <c r="S34" i="8"/>
  <c r="R34" i="8"/>
  <c r="Q34" i="8"/>
  <c r="P34" i="8"/>
  <c r="O34" i="8"/>
  <c r="X33" i="8"/>
  <c r="W33" i="8"/>
  <c r="V33" i="8"/>
  <c r="U33" i="8"/>
  <c r="T33" i="8"/>
  <c r="S33" i="8"/>
  <c r="R33" i="8"/>
  <c r="Q33" i="8"/>
  <c r="P33" i="8"/>
  <c r="O33" i="8"/>
  <c r="X32" i="8"/>
  <c r="W32" i="8"/>
  <c r="V32" i="8"/>
  <c r="U32" i="8"/>
  <c r="T32" i="8"/>
  <c r="S32" i="8"/>
  <c r="R32" i="8"/>
  <c r="Q32" i="8"/>
  <c r="P32" i="8"/>
  <c r="O32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P12" i="8"/>
  <c r="Q12" i="8"/>
  <c r="R12" i="8"/>
  <c r="S12" i="8"/>
  <c r="T12" i="8"/>
  <c r="U12" i="8"/>
  <c r="V12" i="8"/>
  <c r="W12" i="8"/>
  <c r="X12" i="8"/>
  <c r="O13" i="8"/>
  <c r="P13" i="8"/>
  <c r="Q13" i="8"/>
  <c r="R13" i="8"/>
  <c r="S13" i="8"/>
  <c r="T13" i="8"/>
  <c r="U13" i="8"/>
  <c r="V13" i="8"/>
  <c r="W13" i="8"/>
  <c r="X13" i="8"/>
  <c r="P4" i="8"/>
  <c r="Q4" i="8"/>
  <c r="R4" i="8"/>
  <c r="S4" i="8"/>
  <c r="T4" i="8"/>
  <c r="U4" i="8"/>
  <c r="V4" i="8"/>
  <c r="W4" i="8"/>
  <c r="X4" i="8"/>
  <c r="O4" i="8"/>
  <c r="R49" i="8" l="1"/>
  <c r="Q49" i="8"/>
  <c r="Q19" i="8"/>
  <c r="Q45" i="8"/>
  <c r="S51" i="8"/>
  <c r="Y51" i="8" s="1"/>
  <c r="AF51" i="8" s="1"/>
  <c r="Q53" i="8"/>
  <c r="S26" i="8"/>
  <c r="W26" i="8" s="1"/>
  <c r="AD26" i="8" s="1"/>
  <c r="S18" i="8"/>
  <c r="O52" i="8"/>
  <c r="Q26" i="8"/>
  <c r="O49" i="8"/>
  <c r="Q52" i="8"/>
  <c r="S25" i="8"/>
  <c r="X25" i="8" s="1"/>
  <c r="AE25" i="8" s="1"/>
  <c r="R22" i="8"/>
  <c r="P45" i="8"/>
  <c r="P53" i="8"/>
  <c r="R17" i="8"/>
  <c r="Q48" i="8"/>
  <c r="Z4" i="8"/>
  <c r="Q18" i="8"/>
  <c r="Z6" i="8"/>
  <c r="O48" i="8"/>
  <c r="O25" i="8"/>
  <c r="P25" i="8"/>
  <c r="R23" i="8"/>
  <c r="O22" i="8"/>
  <c r="Q20" i="8"/>
  <c r="Q22" i="8"/>
  <c r="S24" i="8"/>
  <c r="X24" i="8" s="1"/>
  <c r="AE24" i="8" s="1"/>
  <c r="P23" i="8"/>
  <c r="R21" i="8"/>
  <c r="O20" i="8"/>
  <c r="W20" i="8" s="1"/>
  <c r="AD20" i="8" s="1"/>
  <c r="Z9" i="8"/>
  <c r="P26" i="8"/>
  <c r="R24" i="8"/>
  <c r="W24" i="8" s="1"/>
  <c r="AD24" i="8" s="1"/>
  <c r="O23" i="8"/>
  <c r="Q21" i="8"/>
  <c r="S19" i="8"/>
  <c r="P18" i="8"/>
  <c r="Q25" i="8"/>
  <c r="O26" i="8"/>
  <c r="Q24" i="8"/>
  <c r="S22" i="8"/>
  <c r="P21" i="8"/>
  <c r="R19" i="8"/>
  <c r="O18" i="8"/>
  <c r="W18" i="8" s="1"/>
  <c r="AD18" i="8" s="1"/>
  <c r="R25" i="8"/>
  <c r="W25" i="8" s="1"/>
  <c r="AD25" i="8" s="1"/>
  <c r="R50" i="8"/>
  <c r="R54" i="8"/>
  <c r="Z13" i="8"/>
  <c r="Z12" i="8"/>
  <c r="S23" i="8"/>
  <c r="Y23" i="8" s="1"/>
  <c r="AF23" i="8" s="1"/>
  <c r="P22" i="8"/>
  <c r="W22" i="8" s="1"/>
  <c r="AD22" i="8" s="1"/>
  <c r="R20" i="8"/>
  <c r="O19" i="8"/>
  <c r="W19" i="8" s="1"/>
  <c r="AD19" i="8" s="1"/>
  <c r="S46" i="8"/>
  <c r="S49" i="8"/>
  <c r="Y49" i="8" s="1"/>
  <c r="AF49" i="8" s="1"/>
  <c r="S50" i="8"/>
  <c r="S52" i="8"/>
  <c r="X52" i="8" s="1"/>
  <c r="AE52" i="8" s="1"/>
  <c r="S54" i="8"/>
  <c r="Z5" i="8"/>
  <c r="O21" i="8"/>
  <c r="W21" i="8" s="1"/>
  <c r="AD21" i="8" s="1"/>
  <c r="S20" i="8"/>
  <c r="Q46" i="8"/>
  <c r="Z7" i="8"/>
  <c r="P17" i="8"/>
  <c r="R26" i="8"/>
  <c r="Q23" i="8"/>
  <c r="W23" i="8" s="1"/>
  <c r="AD23" i="8" s="1"/>
  <c r="S21" i="8"/>
  <c r="P20" i="8"/>
  <c r="R18" i="8"/>
  <c r="S45" i="8"/>
  <c r="O47" i="8"/>
  <c r="O51" i="8"/>
  <c r="S53" i="8"/>
  <c r="X53" i="8" s="1"/>
  <c r="AE53" i="8" s="1"/>
  <c r="P24" i="8"/>
  <c r="O24" i="8"/>
  <c r="Z8" i="8"/>
  <c r="S48" i="8"/>
  <c r="Z11" i="8"/>
  <c r="O45" i="8"/>
  <c r="P47" i="8"/>
  <c r="P51" i="8"/>
  <c r="O53" i="8"/>
  <c r="P19" i="8"/>
  <c r="Q50" i="8"/>
  <c r="Q54" i="8"/>
  <c r="O46" i="8"/>
  <c r="Z10" i="8"/>
  <c r="Q47" i="8"/>
  <c r="Q51" i="8"/>
  <c r="R47" i="8"/>
  <c r="P49" i="8"/>
  <c r="R51" i="8"/>
  <c r="X51" i="8" s="1"/>
  <c r="AE51" i="8" s="1"/>
  <c r="S47" i="8"/>
  <c r="O50" i="8"/>
  <c r="R45" i="8"/>
  <c r="R53" i="8"/>
  <c r="P48" i="8"/>
  <c r="P52" i="8"/>
  <c r="R48" i="8"/>
  <c r="R52" i="8"/>
  <c r="O54" i="8"/>
  <c r="P46" i="8"/>
  <c r="P50" i="8"/>
  <c r="P54" i="8"/>
  <c r="R46" i="8"/>
  <c r="Q17" i="8"/>
  <c r="S17" i="8"/>
  <c r="O17" i="8"/>
  <c r="W17" i="8" s="1"/>
  <c r="AD17" i="8" s="1"/>
  <c r="X19" i="8" l="1"/>
  <c r="AE19" i="8" s="1"/>
  <c r="Y45" i="8"/>
  <c r="AF45" i="8" s="1"/>
  <c r="V53" i="8"/>
  <c r="AC53" i="8" s="1"/>
  <c r="Y19" i="8"/>
  <c r="AF19" i="8" s="1"/>
  <c r="V52" i="8"/>
  <c r="AC52" i="8" s="1"/>
  <c r="Y22" i="8"/>
  <c r="AF22" i="8" s="1"/>
  <c r="Y17" i="8"/>
  <c r="AF17" i="8" s="1"/>
  <c r="Y47" i="8"/>
  <c r="AF47" i="8" s="1"/>
  <c r="X17" i="8"/>
  <c r="AE17" i="8" s="1"/>
  <c r="Y18" i="8"/>
  <c r="AF18" i="8" s="1"/>
  <c r="V51" i="8"/>
  <c r="AC51" i="8" s="1"/>
  <c r="Y20" i="8"/>
  <c r="AF20" i="8" s="1"/>
  <c r="X23" i="8"/>
  <c r="AE23" i="8" s="1"/>
  <c r="Y46" i="8"/>
  <c r="AF46" i="8" s="1"/>
  <c r="X46" i="8"/>
  <c r="AE46" i="8" s="1"/>
  <c r="Y48" i="8"/>
  <c r="AF48" i="8" s="1"/>
  <c r="V26" i="8"/>
  <c r="AC26" i="8" s="1"/>
  <c r="X18" i="8"/>
  <c r="AE18" i="8" s="1"/>
  <c r="V25" i="8"/>
  <c r="AC25" i="8" s="1"/>
  <c r="X20" i="8"/>
  <c r="AE20" i="8" s="1"/>
  <c r="V24" i="8"/>
  <c r="AC24" i="8" s="1"/>
  <c r="Y21" i="8"/>
  <c r="AF21" i="8" s="1"/>
  <c r="X21" i="8"/>
  <c r="AE21" i="8" s="1"/>
  <c r="V23" i="8"/>
  <c r="AC23" i="8" s="1"/>
  <c r="X22" i="8"/>
  <c r="AE22" i="8" s="1"/>
  <c r="Y50" i="8"/>
  <c r="AF50" i="8" s="1"/>
  <c r="V54" i="8"/>
  <c r="AC54" i="8" s="1"/>
  <c r="X47" i="8"/>
  <c r="AE47" i="8" s="1"/>
  <c r="X50" i="8"/>
  <c r="AE50" i="8" s="1"/>
  <c r="X45" i="8"/>
  <c r="AE45" i="8" s="1"/>
  <c r="X49" i="8"/>
  <c r="AE49" i="8" s="1"/>
  <c r="X48" i="8"/>
  <c r="AE48" i="8" s="1"/>
  <c r="C49" i="7" l="1"/>
  <c r="D49" i="7"/>
  <c r="E49" i="7"/>
  <c r="F49" i="7"/>
  <c r="G49" i="7"/>
  <c r="H49" i="7"/>
  <c r="I49" i="7"/>
  <c r="J49" i="7"/>
  <c r="K49" i="7"/>
  <c r="L49" i="7"/>
  <c r="C50" i="7"/>
  <c r="D50" i="7"/>
  <c r="E50" i="7"/>
  <c r="F50" i="7"/>
  <c r="G50" i="7"/>
  <c r="H50" i="7"/>
  <c r="I50" i="7"/>
  <c r="J50" i="7"/>
  <c r="K50" i="7"/>
  <c r="L50" i="7"/>
  <c r="C51" i="7"/>
  <c r="D51" i="7"/>
  <c r="E51" i="7"/>
  <c r="F51" i="7"/>
  <c r="G51" i="7"/>
  <c r="H51" i="7"/>
  <c r="I51" i="7"/>
  <c r="J51" i="7"/>
  <c r="K51" i="7"/>
  <c r="L51" i="7"/>
  <c r="C52" i="7"/>
  <c r="D52" i="7"/>
  <c r="E52" i="7"/>
  <c r="F52" i="7"/>
  <c r="G52" i="7"/>
  <c r="H52" i="7"/>
  <c r="I52" i="7"/>
  <c r="J52" i="7"/>
  <c r="K52" i="7"/>
  <c r="L52" i="7"/>
  <c r="C53" i="7"/>
  <c r="D53" i="7"/>
  <c r="E53" i="7"/>
  <c r="F53" i="7"/>
  <c r="G53" i="7"/>
  <c r="H53" i="7"/>
  <c r="I53" i="7"/>
  <c r="J53" i="7"/>
  <c r="K53" i="7"/>
  <c r="L53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D48" i="7"/>
  <c r="E48" i="7"/>
  <c r="F48" i="7"/>
  <c r="G48" i="7"/>
  <c r="H48" i="7"/>
  <c r="I48" i="7"/>
  <c r="J48" i="7"/>
  <c r="K48" i="7"/>
  <c r="L48" i="7"/>
  <c r="C48" i="7"/>
  <c r="I24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4" i="7"/>
  <c r="D24" i="7"/>
  <c r="E24" i="7"/>
  <c r="F24" i="7"/>
  <c r="G24" i="7"/>
  <c r="H24" i="7"/>
  <c r="J24" i="7"/>
  <c r="K24" i="7"/>
  <c r="L24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D19" i="7"/>
  <c r="E19" i="7"/>
  <c r="F19" i="7"/>
  <c r="G19" i="7"/>
  <c r="H19" i="7"/>
  <c r="I19" i="7"/>
  <c r="J19" i="7"/>
  <c r="K19" i="7"/>
  <c r="L19" i="7"/>
  <c r="C19" i="7"/>
  <c r="R44" i="7"/>
  <c r="S44" i="7" s="1"/>
  <c r="R43" i="7"/>
  <c r="S43" i="7" s="1"/>
  <c r="R42" i="7"/>
  <c r="S42" i="7" s="1"/>
  <c r="S41" i="7"/>
  <c r="R41" i="7"/>
  <c r="R40" i="7"/>
  <c r="S40" i="7" s="1"/>
  <c r="R39" i="7"/>
  <c r="S39" i="7" s="1"/>
  <c r="R38" i="7"/>
  <c r="S38" i="7" s="1"/>
  <c r="S37" i="7"/>
  <c r="R37" i="7"/>
  <c r="R36" i="7"/>
  <c r="S36" i="7" s="1"/>
  <c r="R35" i="7"/>
  <c r="S35" i="7" s="1"/>
  <c r="S5" i="7"/>
  <c r="R6" i="7"/>
  <c r="S6" i="7" s="1"/>
  <c r="R7" i="7"/>
  <c r="S7" i="7" s="1"/>
  <c r="R8" i="7"/>
  <c r="S8" i="7" s="1"/>
  <c r="R9" i="7"/>
  <c r="R10" i="7"/>
  <c r="S10" i="7" s="1"/>
  <c r="R11" i="7"/>
  <c r="S11" i="7" s="1"/>
  <c r="R12" i="7"/>
  <c r="S12" i="7" s="1"/>
  <c r="R13" i="7"/>
  <c r="S13" i="7" s="1"/>
  <c r="R14" i="7"/>
  <c r="S14" i="7" s="1"/>
  <c r="R5" i="7"/>
  <c r="S9" i="7"/>
  <c r="C64" i="7" l="1"/>
  <c r="D64" i="7"/>
  <c r="E64" i="7"/>
  <c r="F64" i="7"/>
  <c r="G64" i="7"/>
  <c r="H64" i="7"/>
  <c r="I64" i="7"/>
  <c r="J64" i="7"/>
  <c r="K64" i="7"/>
  <c r="L64" i="7"/>
  <c r="C65" i="7"/>
  <c r="D65" i="7"/>
  <c r="E65" i="7"/>
  <c r="F65" i="7"/>
  <c r="G65" i="7"/>
  <c r="H65" i="7"/>
  <c r="I65" i="7"/>
  <c r="J65" i="7"/>
  <c r="K65" i="7"/>
  <c r="L65" i="7"/>
  <c r="C66" i="7"/>
  <c r="D66" i="7"/>
  <c r="E66" i="7"/>
  <c r="F66" i="7"/>
  <c r="G66" i="7"/>
  <c r="H66" i="7"/>
  <c r="I66" i="7"/>
  <c r="J66" i="7"/>
  <c r="K66" i="7"/>
  <c r="L66" i="7"/>
  <c r="C67" i="7"/>
  <c r="D67" i="7"/>
  <c r="E67" i="7"/>
  <c r="F67" i="7"/>
  <c r="G67" i="7"/>
  <c r="H67" i="7"/>
  <c r="I67" i="7"/>
  <c r="J67" i="7"/>
  <c r="K67" i="7"/>
  <c r="L67" i="7"/>
  <c r="C68" i="7"/>
  <c r="D68" i="7"/>
  <c r="E68" i="7"/>
  <c r="F68" i="7"/>
  <c r="G68" i="7"/>
  <c r="H68" i="7"/>
  <c r="I68" i="7"/>
  <c r="J68" i="7"/>
  <c r="K68" i="7"/>
  <c r="L68" i="7"/>
  <c r="C69" i="7"/>
  <c r="D69" i="7"/>
  <c r="E69" i="7"/>
  <c r="F69" i="7"/>
  <c r="G69" i="7"/>
  <c r="H69" i="7"/>
  <c r="I69" i="7"/>
  <c r="J69" i="7"/>
  <c r="K69" i="7"/>
  <c r="L69" i="7"/>
  <c r="C70" i="7"/>
  <c r="D70" i="7"/>
  <c r="E70" i="7"/>
  <c r="F70" i="7"/>
  <c r="G70" i="7"/>
  <c r="H70" i="7"/>
  <c r="I70" i="7"/>
  <c r="J70" i="7"/>
  <c r="K70" i="7"/>
  <c r="L70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D63" i="7"/>
  <c r="E63" i="7"/>
  <c r="F63" i="7"/>
  <c r="G63" i="7"/>
  <c r="H63" i="7"/>
  <c r="I63" i="7"/>
  <c r="J63" i="7"/>
  <c r="K63" i="7"/>
  <c r="L63" i="7"/>
  <c r="C63" i="7"/>
  <c r="Q44" i="7"/>
  <c r="Q43" i="7"/>
  <c r="Q42" i="7"/>
  <c r="Q41" i="7"/>
  <c r="Q40" i="7"/>
  <c r="Q39" i="7"/>
  <c r="Q38" i="7"/>
  <c r="Q37" i="7"/>
  <c r="Q36" i="7"/>
  <c r="Q35" i="7"/>
  <c r="O44" i="7"/>
  <c r="O43" i="7"/>
  <c r="O42" i="7"/>
  <c r="O41" i="7"/>
  <c r="O40" i="7"/>
  <c r="O39" i="7"/>
  <c r="O38" i="7"/>
  <c r="O37" i="7"/>
  <c r="O36" i="7"/>
  <c r="O35" i="7"/>
  <c r="Q5" i="7"/>
  <c r="O5" i="7"/>
  <c r="P10" i="7"/>
  <c r="Q10" i="7" s="1"/>
  <c r="P44" i="7" l="1"/>
  <c r="N44" i="7"/>
  <c r="P43" i="7"/>
  <c r="N43" i="7"/>
  <c r="P42" i="7"/>
  <c r="N42" i="7"/>
  <c r="P41" i="7"/>
  <c r="N41" i="7"/>
  <c r="P40" i="7"/>
  <c r="N40" i="7"/>
  <c r="P39" i="7"/>
  <c r="N39" i="7"/>
  <c r="P38" i="7"/>
  <c r="N38" i="7"/>
  <c r="P37" i="7"/>
  <c r="N37" i="7"/>
  <c r="P36" i="7"/>
  <c r="N36" i="7"/>
  <c r="P35" i="7"/>
  <c r="N35" i="7"/>
  <c r="P6" i="7"/>
  <c r="Q6" i="7" s="1"/>
  <c r="P7" i="7"/>
  <c r="Q7" i="7" s="1"/>
  <c r="P8" i="7"/>
  <c r="Q8" i="7" s="1"/>
  <c r="P9" i="7"/>
  <c r="Q9" i="7" s="1"/>
  <c r="P11" i="7"/>
  <c r="Q11" i="7" s="1"/>
  <c r="P12" i="7"/>
  <c r="Q12" i="7" s="1"/>
  <c r="P13" i="7"/>
  <c r="Q13" i="7" s="1"/>
  <c r="P14" i="7"/>
  <c r="Q14" i="7" s="1"/>
  <c r="P5" i="7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5" i="7"/>
  <c r="G92" i="3" l="1"/>
  <c r="I92" i="3" s="1"/>
  <c r="G91" i="3"/>
  <c r="I91" i="3" s="1"/>
  <c r="G90" i="3"/>
  <c r="I90" i="3" s="1"/>
  <c r="G45" i="3"/>
  <c r="I45" i="3" s="1"/>
  <c r="G44" i="3"/>
  <c r="G43" i="3"/>
  <c r="I93" i="3" l="1"/>
  <c r="J93" i="3" s="1"/>
  <c r="I94" i="3" s="1"/>
  <c r="I43" i="3"/>
  <c r="I44" i="3"/>
  <c r="V39" i="5"/>
  <c r="U39" i="5"/>
  <c r="Q39" i="5"/>
  <c r="P39" i="5"/>
  <c r="O39" i="5"/>
  <c r="J39" i="5"/>
  <c r="I39" i="5"/>
  <c r="E39" i="5"/>
  <c r="D39" i="5"/>
  <c r="C39" i="5"/>
  <c r="N32" i="6"/>
  <c r="M32" i="6"/>
  <c r="P32" i="6" s="1"/>
  <c r="G33" i="6"/>
  <c r="E33" i="6"/>
  <c r="D33" i="6"/>
  <c r="F17" i="6"/>
  <c r="G17" i="6" s="1"/>
  <c r="F11" i="6"/>
  <c r="G11" i="6" s="1"/>
  <c r="F10" i="6"/>
  <c r="G10" i="6" s="1"/>
  <c r="F3" i="6"/>
  <c r="G3" i="6" s="1"/>
  <c r="F24" i="6"/>
  <c r="G24" i="6" s="1"/>
  <c r="F16" i="6"/>
  <c r="G16" i="6" s="1"/>
  <c r="F5" i="6"/>
  <c r="G5" i="6" s="1"/>
  <c r="F15" i="6"/>
  <c r="G15" i="6" s="1"/>
  <c r="F2" i="6"/>
  <c r="G2" i="6" s="1"/>
  <c r="F12" i="6"/>
  <c r="G12" i="6" s="1"/>
  <c r="F19" i="6"/>
  <c r="G19" i="6" s="1"/>
  <c r="F25" i="6"/>
  <c r="G25" i="6" s="1"/>
  <c r="F7" i="6"/>
  <c r="G7" i="6" s="1"/>
  <c r="F13" i="6"/>
  <c r="G13" i="6" s="1"/>
  <c r="F32" i="6"/>
  <c r="G32" i="6" s="1"/>
  <c r="F20" i="6"/>
  <c r="G20" i="6" s="1"/>
  <c r="F21" i="6"/>
  <c r="G21" i="6" s="1"/>
  <c r="F4" i="6"/>
  <c r="G4" i="6" s="1"/>
  <c r="F9" i="6"/>
  <c r="G9" i="6" s="1"/>
  <c r="F23" i="6"/>
  <c r="G23" i="6" s="1"/>
  <c r="F18" i="6"/>
  <c r="G18" i="6" s="1"/>
  <c r="F29" i="6"/>
  <c r="G29" i="6" s="1"/>
  <c r="F30" i="6"/>
  <c r="G30" i="6" s="1"/>
  <c r="F8" i="6"/>
  <c r="G8" i="6" s="1"/>
  <c r="F14" i="6"/>
  <c r="G14" i="6" s="1"/>
  <c r="F22" i="6"/>
  <c r="G22" i="6" s="1"/>
  <c r="F31" i="6"/>
  <c r="G31" i="6" s="1"/>
  <c r="F26" i="6"/>
  <c r="G26" i="6" s="1"/>
  <c r="F27" i="6"/>
  <c r="G27" i="6" s="1"/>
  <c r="F28" i="6"/>
  <c r="G28" i="6" s="1"/>
  <c r="F6" i="6"/>
  <c r="G6" i="6" s="1"/>
  <c r="D119" i="3"/>
  <c r="I105" i="3"/>
  <c r="G82" i="3"/>
  <c r="I82" i="3" s="1"/>
  <c r="G81" i="3"/>
  <c r="G80" i="3"/>
  <c r="I107" i="3"/>
  <c r="I106" i="3"/>
  <c r="I100" i="3"/>
  <c r="I101" i="3"/>
  <c r="I102" i="3"/>
  <c r="I103" i="3"/>
  <c r="I104" i="3"/>
  <c r="I99" i="3"/>
  <c r="G35" i="3"/>
  <c r="G36" i="3"/>
  <c r="I36" i="3" s="1"/>
  <c r="G34" i="3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P15" i="6"/>
  <c r="P11" i="6"/>
  <c r="P9" i="6"/>
  <c r="P2" i="6"/>
  <c r="P25" i="6"/>
  <c r="P20" i="6"/>
  <c r="P5" i="6"/>
  <c r="P14" i="6"/>
  <c r="P3" i="6"/>
  <c r="P13" i="6"/>
  <c r="P19" i="6"/>
  <c r="P7" i="6"/>
  <c r="P12" i="6"/>
  <c r="P26" i="6"/>
  <c r="P21" i="6"/>
  <c r="P22" i="6"/>
  <c r="P4" i="6"/>
  <c r="P10" i="6"/>
  <c r="P27" i="6"/>
  <c r="P16" i="6"/>
  <c r="P23" i="6"/>
  <c r="P28" i="6"/>
  <c r="P8" i="6"/>
  <c r="P17" i="6"/>
  <c r="P18" i="6"/>
  <c r="P6" i="6"/>
  <c r="O15" i="6"/>
  <c r="O11" i="6"/>
  <c r="O9" i="6"/>
  <c r="O2" i="6"/>
  <c r="O25" i="6"/>
  <c r="O20" i="6"/>
  <c r="O5" i="6"/>
  <c r="O14" i="6"/>
  <c r="O3" i="6"/>
  <c r="O13" i="6"/>
  <c r="O19" i="6"/>
  <c r="O7" i="6"/>
  <c r="O12" i="6"/>
  <c r="O26" i="6"/>
  <c r="O21" i="6"/>
  <c r="O22" i="6"/>
  <c r="O4" i="6"/>
  <c r="O10" i="6"/>
  <c r="O27" i="6"/>
  <c r="O16" i="6"/>
  <c r="O23" i="6"/>
  <c r="O28" i="6"/>
  <c r="O8" i="6"/>
  <c r="O17" i="6"/>
  <c r="O18" i="6"/>
  <c r="O31" i="6"/>
  <c r="O6" i="6"/>
  <c r="K3" i="5"/>
  <c r="K4" i="5"/>
  <c r="K5" i="5"/>
  <c r="K9" i="5"/>
  <c r="K6" i="5"/>
  <c r="K7" i="5"/>
  <c r="K8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I46" i="3" l="1"/>
  <c r="J46" i="3" s="1"/>
  <c r="I47" i="3" s="1"/>
  <c r="K39" i="5"/>
  <c r="W39" i="5"/>
  <c r="H34" i="3"/>
  <c r="I34" i="3" s="1"/>
  <c r="H35" i="3"/>
  <c r="I35" i="3" s="1"/>
  <c r="I81" i="3"/>
  <c r="I80" i="3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I37" i="3" l="1"/>
  <c r="J37" i="3" s="1"/>
  <c r="I38" i="3" s="1"/>
  <c r="I83" i="3"/>
  <c r="J83" i="3" s="1"/>
  <c r="I84" i="3" s="1"/>
  <c r="K32" i="1"/>
  <c r="K31" i="1"/>
  <c r="K30" i="1"/>
  <c r="K29" i="1"/>
  <c r="K28" i="1"/>
  <c r="K22" i="1"/>
  <c r="K21" i="1"/>
  <c r="K20" i="1"/>
  <c r="K19" i="1"/>
  <c r="K18" i="1"/>
  <c r="K17" i="1"/>
  <c r="K16" i="1"/>
  <c r="K15" i="1"/>
  <c r="K10" i="1"/>
  <c r="K4" i="1"/>
  <c r="K5" i="1"/>
  <c r="K6" i="1"/>
  <c r="K7" i="1"/>
  <c r="K8" i="1"/>
  <c r="K9" i="1"/>
  <c r="K3" i="1"/>
  <c r="E108" i="3"/>
  <c r="F108" i="3" s="1"/>
  <c r="G108" i="3" s="1"/>
  <c r="H108" i="3" s="1"/>
  <c r="H107" i="3"/>
  <c r="E107" i="3"/>
  <c r="F107" i="3" s="1"/>
  <c r="G107" i="3" s="1"/>
  <c r="H106" i="3"/>
  <c r="E106" i="3"/>
  <c r="F106" i="3" s="1"/>
  <c r="G106" i="3" s="1"/>
  <c r="G105" i="3"/>
  <c r="E105" i="3"/>
  <c r="H105" i="3" s="1"/>
  <c r="G104" i="3"/>
  <c r="F104" i="3"/>
  <c r="E104" i="3"/>
  <c r="H104" i="3" s="1"/>
  <c r="G103" i="3"/>
  <c r="F103" i="3"/>
  <c r="E103" i="3"/>
  <c r="H103" i="3" s="1"/>
  <c r="G102" i="3"/>
  <c r="F102" i="3"/>
  <c r="E102" i="3"/>
  <c r="H102" i="3" s="1"/>
  <c r="G101" i="3"/>
  <c r="F101" i="3"/>
  <c r="E101" i="3"/>
  <c r="H101" i="3" s="1"/>
  <c r="G100" i="3"/>
  <c r="F100" i="3"/>
  <c r="E100" i="3"/>
  <c r="H100" i="3" s="1"/>
  <c r="G99" i="3"/>
  <c r="F99" i="3"/>
  <c r="E99" i="3"/>
  <c r="H99" i="3" s="1"/>
  <c r="F6" i="4"/>
  <c r="E6" i="4"/>
  <c r="D6" i="4"/>
  <c r="G6" i="4" s="1"/>
  <c r="C6" i="4"/>
  <c r="G5" i="4"/>
  <c r="G4" i="4"/>
  <c r="G3" i="4"/>
  <c r="F105" i="3" l="1"/>
  <c r="F32" i="1" l="1"/>
  <c r="D32" i="1"/>
  <c r="B32" i="1"/>
  <c r="F22" i="1"/>
  <c r="D22" i="1"/>
  <c r="C22" i="1"/>
  <c r="E22" i="1"/>
  <c r="G22" i="1"/>
  <c r="H22" i="1"/>
  <c r="I22" i="1"/>
  <c r="J22" i="1"/>
  <c r="B22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4" i="1"/>
  <c r="F5" i="1"/>
  <c r="F6" i="1"/>
  <c r="F7" i="1"/>
  <c r="F8" i="1"/>
  <c r="F9" i="1"/>
  <c r="F3" i="1"/>
  <c r="F10" i="1"/>
  <c r="B10" i="1"/>
  <c r="E5" i="1"/>
  <c r="E6" i="1"/>
  <c r="E7" i="1"/>
  <c r="E8" i="1"/>
  <c r="E9" i="1"/>
  <c r="E4" i="1"/>
  <c r="C5" i="1"/>
  <c r="C6" i="1"/>
  <c r="D6" i="1" s="1"/>
  <c r="C7" i="1"/>
  <c r="D7" i="1" s="1"/>
  <c r="C8" i="1"/>
  <c r="D8" i="1" s="1"/>
  <c r="C9" i="1"/>
  <c r="D9" i="1" s="1"/>
  <c r="C4" i="1"/>
  <c r="D4" i="1" s="1"/>
  <c r="D5" i="1"/>
  <c r="D3" i="1"/>
  <c r="B5" i="1"/>
  <c r="B6" i="1"/>
  <c r="B7" i="1"/>
  <c r="B8" i="1"/>
  <c r="B9" i="1"/>
  <c r="B4" i="1"/>
  <c r="K7" i="9"/>
  <c r="K10" i="9"/>
  <c r="K9" i="9"/>
  <c r="K11" i="9"/>
  <c r="I15" i="9"/>
  <c r="K8" i="9"/>
  <c r="I14" i="9"/>
  <c r="L11" i="9"/>
  <c r="L10" i="9"/>
  <c r="L12" i="9"/>
  <c r="L9" i="9"/>
  <c r="L8" i="9"/>
  <c r="K15" i="9"/>
  <c r="K14" i="9"/>
  <c r="L13" i="9"/>
  <c r="I13" i="9"/>
  <c r="K13" i="9"/>
  <c r="I16" i="9"/>
  <c r="L7" i="9"/>
  <c r="K12" i="9"/>
</calcChain>
</file>

<file path=xl/sharedStrings.xml><?xml version="1.0" encoding="utf-8"?>
<sst xmlns="http://schemas.openxmlformats.org/spreadsheetml/2006/main" count="1277" uniqueCount="292">
  <si>
    <t>subscription month</t>
  </si>
  <si>
    <t># subscriptions</t>
  </si>
  <si>
    <t># crn with ffd</t>
  </si>
  <si>
    <t>'% sweeped from subscribed</t>
  </si>
  <si>
    <t># crn with live ffd</t>
  </si>
  <si>
    <t>'% crn with live ffd</t>
  </si>
  <si>
    <t>sum total sweepout (in crs)</t>
  </si>
  <si>
    <t>sum ffd live bal (in crs)</t>
  </si>
  <si>
    <t>sum sa bal (in crs)</t>
  </si>
  <si>
    <t>sum sa+ffd bal (in crs)</t>
  </si>
  <si>
    <t>Till 2023 March</t>
  </si>
  <si>
    <t>Subscription Month</t>
  </si>
  <si>
    <t>Total</t>
  </si>
  <si>
    <t>ETB</t>
  </si>
  <si>
    <t>NTB</t>
  </si>
  <si>
    <t>month year</t>
  </si>
  <si>
    <t>M1 sa</t>
  </si>
  <si>
    <t>25k</t>
  </si>
  <si>
    <t>bkt</t>
  </si>
  <si>
    <t>cnt</t>
  </si>
  <si>
    <t>additional amt in sa due to limit chg</t>
  </si>
  <si>
    <t xml:space="preserve">current SA </t>
  </si>
  <si>
    <t>New ats after addition</t>
  </si>
  <si>
    <t>revised cnt (5%)</t>
  </si>
  <si>
    <t>revised sa</t>
  </si>
  <si>
    <t>lt 25k</t>
  </si>
  <si>
    <t>gt 25k</t>
  </si>
  <si>
    <t>50K</t>
  </si>
  <si>
    <t>revised cnt (10%)</t>
  </si>
  <si>
    <t>lt 50k</t>
  </si>
  <si>
    <t>gt 50k</t>
  </si>
  <si>
    <t>1 lakh</t>
  </si>
  <si>
    <t>revised cnt (20%)</t>
  </si>
  <si>
    <t>lt 1 lakh</t>
  </si>
  <si>
    <t>gt 1 lakh</t>
  </si>
  <si>
    <t>1 lk/ 5 lk</t>
  </si>
  <si>
    <t>5 lakh</t>
  </si>
  <si>
    <t>M2 sa</t>
  </si>
  <si>
    <t>Sweepin/ sweepout limits</t>
  </si>
  <si>
    <t>SA Gain</t>
  </si>
  <si>
    <t>Sweep-Out/Sweep IN</t>
  </si>
  <si>
    <t>Grand Total</t>
  </si>
  <si>
    <t xml:space="preserve">Out/In Limit </t>
  </si>
  <si>
    <t>25K</t>
  </si>
  <si>
    <t>50k</t>
  </si>
  <si>
    <t>1 lakh / 5 lakh</t>
  </si>
  <si>
    <t>1 - 1K</t>
  </si>
  <si>
    <t>1K - 5K</t>
  </si>
  <si>
    <t>5K - 10K</t>
  </si>
  <si>
    <t>10K - 25K</t>
  </si>
  <si>
    <t>25K - 50K</t>
  </si>
  <si>
    <t>50K - 1L</t>
  </si>
  <si>
    <t>1L - 2L</t>
  </si>
  <si>
    <t>2L - 5L</t>
  </si>
  <si>
    <t>gt 5L</t>
  </si>
  <si>
    <t>Current</t>
  </si>
  <si>
    <t>Based on SA and TD lob 63/413</t>
  </si>
  <si>
    <t xml:space="preserve">live bal to sweep out </t>
  </si>
  <si>
    <t>TD</t>
  </si>
  <si>
    <t>CREDIT_CARD</t>
  </si>
  <si>
    <t>SPLN</t>
  </si>
  <si>
    <t>GI_TAG</t>
  </si>
  <si>
    <t>CONSUMER_DURABLE</t>
  </si>
  <si>
    <t>Demat_tag</t>
  </si>
  <si>
    <t>RD</t>
  </si>
  <si>
    <t>APY</t>
  </si>
  <si>
    <t>LIFE_INSURANCE</t>
  </si>
  <si>
    <t>MF</t>
  </si>
  <si>
    <t>CA</t>
  </si>
  <si>
    <t>Forex</t>
  </si>
  <si>
    <t>RETAIL_ARD</t>
  </si>
  <si>
    <t>SMART_EQUITY</t>
  </si>
  <si>
    <t>NPS</t>
  </si>
  <si>
    <t>MF_OTH</t>
  </si>
  <si>
    <t>Trade</t>
  </si>
  <si>
    <t>CARLOAN</t>
  </si>
  <si>
    <t>GLN</t>
  </si>
  <si>
    <t>HF</t>
  </si>
  <si>
    <t>Smart_OD</t>
  </si>
  <si>
    <t>SOVEREIGN_GOLD</t>
  </si>
  <si>
    <t>LAP</t>
  </si>
  <si>
    <t>CV</t>
  </si>
  <si>
    <t>TFE</t>
  </si>
  <si>
    <t>OD_TD</t>
  </si>
  <si>
    <t>CSG</t>
  </si>
  <si>
    <t>CE</t>
  </si>
  <si>
    <t>M-1</t>
  </si>
  <si>
    <t>Locker</t>
  </si>
  <si>
    <t>LAS</t>
  </si>
  <si>
    <t>SARAL</t>
  </si>
  <si>
    <t>MICRO_LOAN</t>
  </si>
  <si>
    <t>M1</t>
  </si>
  <si>
    <t>NaN</t>
  </si>
  <si>
    <t>may</t>
  </si>
  <si>
    <t>jun</t>
  </si>
  <si>
    <t>CMS</t>
  </si>
  <si>
    <t>NR_Pins</t>
  </si>
  <si>
    <t>CORP_REAL_EST</t>
  </si>
  <si>
    <t>jul</t>
  </si>
  <si>
    <t>M2</t>
  </si>
  <si>
    <t>1-5 lakh</t>
  </si>
  <si>
    <t>&lt; 1 lakh</t>
  </si>
  <si>
    <t>&gt; 5 lakh</t>
  </si>
  <si>
    <t>flexi limit after 1 lkh</t>
  </si>
  <si>
    <t>1.25 * sa for sa between 1 to 5 lkh</t>
  </si>
  <si>
    <t>revised cnt (20%,10%)</t>
  </si>
  <si>
    <t>M-1 SA</t>
  </si>
  <si>
    <t>Sweepin limit</t>
  </si>
  <si>
    <t>&lt;=1 lakh</t>
  </si>
  <si>
    <t>1 to 5 lakhs</t>
  </si>
  <si>
    <t>1.25 * (M-1 Sa)</t>
  </si>
  <si>
    <t>&gt;=5 lakhs</t>
  </si>
  <si>
    <t>5 lakhs</t>
  </si>
  <si>
    <t>Products</t>
  </si>
  <si>
    <t>Subscribed base</t>
  </si>
  <si>
    <t>Non- subscribed base</t>
  </si>
  <si>
    <t>S</t>
  </si>
  <si>
    <t>Non subscribed base</t>
  </si>
  <si>
    <t>Subscribed Base</t>
  </si>
  <si>
    <t>Product</t>
  </si>
  <si>
    <t>M1 analysis</t>
  </si>
  <si>
    <t>increment in sub base</t>
  </si>
  <si>
    <t>% increment</t>
  </si>
  <si>
    <t>M2 analysis</t>
  </si>
  <si>
    <t>jun,jul,aug base</t>
  </si>
  <si>
    <t>jun,jul base</t>
  </si>
  <si>
    <t>1.1 * sa for sa between 1 to 5 lkh</t>
  </si>
  <si>
    <t>preamb</t>
  </si>
  <si>
    <t>0balance</t>
  </si>
  <si>
    <t>0 balance</t>
  </si>
  <si>
    <t>1. 1 - 1K</t>
  </si>
  <si>
    <t>2. 1K - 5K</t>
  </si>
  <si>
    <t>3. 5K - 10K</t>
  </si>
  <si>
    <t>4. 10K - 25K</t>
  </si>
  <si>
    <t>5. 25K - 50K</t>
  </si>
  <si>
    <t>6. 50K - 1L</t>
  </si>
  <si>
    <t>7. 1L - 2L</t>
  </si>
  <si>
    <t>8. 2L - 5L</t>
  </si>
  <si>
    <t>9. gt 5L</t>
  </si>
  <si>
    <t>AMB Bucket</t>
  </si>
  <si>
    <t>breached 50K</t>
  </si>
  <si>
    <t>breached 25K</t>
  </si>
  <si>
    <t>% from total</t>
  </si>
  <si>
    <t>% not breached</t>
  </si>
  <si>
    <t xml:space="preserve">Total </t>
  </si>
  <si>
    <t>M1_bkt SA+FFD</t>
  </si>
  <si>
    <t>M2_bkt SA+FFD</t>
  </si>
  <si>
    <t>SA+FFD</t>
  </si>
  <si>
    <t>M1 to M2</t>
  </si>
  <si>
    <t>breached 1L</t>
  </si>
  <si>
    <t>M1_bkt</t>
  </si>
  <si>
    <t>M2_bkt</t>
  </si>
  <si>
    <t>cross threshold</t>
  </si>
  <si>
    <t>&lt;25K</t>
  </si>
  <si>
    <t>25K to 50K</t>
  </si>
  <si>
    <t>50K to 1 Lac</t>
  </si>
  <si>
    <t>1 Lac to 5 Lac</t>
  </si>
  <si>
    <t>&gt;5 Lac</t>
  </si>
  <si>
    <t>Xtreme change</t>
  </si>
  <si>
    <t>No change</t>
  </si>
  <si>
    <t>+ve change</t>
  </si>
  <si>
    <t>-ve change</t>
  </si>
  <si>
    <t>Pre bkt</t>
  </si>
  <si>
    <t xml:space="preserve">One in </t>
  </si>
  <si>
    <t>M2 Bkt changes</t>
  </si>
  <si>
    <t>M1 bkt changes</t>
  </si>
  <si>
    <t>75k</t>
  </si>
  <si>
    <t>1.5 amb</t>
  </si>
  <si>
    <t>30 to 35 %</t>
  </si>
  <si>
    <t>30 to 35%</t>
  </si>
  <si>
    <t>5 to 10k</t>
  </si>
  <si>
    <t>threshold of 50K</t>
  </si>
  <si>
    <t>can keep</t>
  </si>
  <si>
    <t>25 k onwards- check sweepin limit as well play with that</t>
  </si>
  <si>
    <t>pink ones ok with sweepin limits</t>
  </si>
  <si>
    <t>25kto 50 k</t>
  </si>
  <si>
    <t>50 - 55% cross 50k</t>
  </si>
  <si>
    <t>1 in 4 will cross bucket</t>
  </si>
  <si>
    <t>2x</t>
  </si>
  <si>
    <t xml:space="preserve">around 40-45% shold make to </t>
  </si>
  <si>
    <t>currently around 40-45% are breaching the threshold and staying there</t>
  </si>
  <si>
    <t>we should make that go to 60%</t>
  </si>
  <si>
    <t>in 1 to 25K bucket around 50% is crossing threshold</t>
  </si>
  <si>
    <t>for higher buckets- we want the number to go down</t>
  </si>
  <si>
    <t>double click on 1 to 5 lakh- and check what threshold is going upto 25% of the customers to reverse calculate the multiplier</t>
  </si>
  <si>
    <t>add sweepout as a new column in the table  4columns for 4 different kinds of sweepouts</t>
  </si>
  <si>
    <t>for higher buckets we should bring the ffd crossing to  1 third or 25%</t>
  </si>
  <si>
    <t>proposed sweepout</t>
  </si>
  <si>
    <t>Analysis done on M2 of Swept out base</t>
  </si>
  <si>
    <t>By M2</t>
  </si>
  <si>
    <t>Questions-</t>
  </si>
  <si>
    <t>Ideal percent of target customers from each bucket?</t>
  </si>
  <si>
    <t>Apt sweepout limit for customers in different buckets</t>
  </si>
  <si>
    <t>Minimization of SA cannibalization</t>
  </si>
  <si>
    <t>If limit moves to 50K 30-35% will still sweepout</t>
  </si>
  <si>
    <t>From Customers in Presubsc amb bkt &lt;10K, around 50% of customers switch to higher buckets</t>
  </si>
  <si>
    <t>we shuld increase these bucket ratio to 60% for improving their sa</t>
  </si>
  <si>
    <t>10-25K</t>
  </si>
  <si>
    <t>70% moved to higher buckets, 44% in 50K+ bkts so 40-44% will still sweepout if limit is 50K</t>
  </si>
  <si>
    <t>Sweepout limit changes</t>
  </si>
  <si>
    <t>1 Lac</t>
  </si>
  <si>
    <t>75K</t>
  </si>
  <si>
    <t>30-35%</t>
  </si>
  <si>
    <t>40-45%</t>
  </si>
  <si>
    <t>50-55%</t>
  </si>
  <si>
    <t>75-80%</t>
  </si>
  <si>
    <t>85-90%</t>
  </si>
  <si>
    <t>90-95%</t>
  </si>
  <si>
    <t>92-97%</t>
  </si>
  <si>
    <t>90-96%</t>
  </si>
  <si>
    <t>15-19%</t>
  </si>
  <si>
    <t>15-18%</t>
  </si>
  <si>
    <t>12-15%</t>
  </si>
  <si>
    <t>17-21%</t>
  </si>
  <si>
    <t>20-24%</t>
  </si>
  <si>
    <t>36-41%</t>
  </si>
  <si>
    <t>70-75%</t>
  </si>
  <si>
    <t>85-89%</t>
  </si>
  <si>
    <t>8. 2L - 3L</t>
  </si>
  <si>
    <t>9. 3L - 4L</t>
  </si>
  <si>
    <t>10. 4L - 5L</t>
  </si>
  <si>
    <t>11. gt 5L</t>
  </si>
  <si>
    <t>+2 lakh and above</t>
  </si>
  <si>
    <t>+1 lakh and above</t>
  </si>
  <si>
    <t>swepout cnt</t>
  </si>
  <si>
    <t>subsc cnt</t>
  </si>
  <si>
    <t xml:space="preserve">revised swp </t>
  </si>
  <si>
    <t>revised ffd</t>
  </si>
  <si>
    <t>Percent likely to sweepout after limit change</t>
  </si>
  <si>
    <t>1 lkh</t>
  </si>
  <si>
    <t xml:space="preserve">              </t>
  </si>
  <si>
    <t>dynamic limits</t>
  </si>
  <si>
    <t>28-33%</t>
  </si>
  <si>
    <t>31-36%</t>
  </si>
  <si>
    <t>40-44%</t>
  </si>
  <si>
    <t>1 Lakh</t>
  </si>
  <si>
    <t>2 Lakh</t>
  </si>
  <si>
    <t>3 lakh</t>
  </si>
  <si>
    <t>4 lakh</t>
  </si>
  <si>
    <t>27-32%</t>
  </si>
  <si>
    <t>32-36%</t>
  </si>
  <si>
    <t>32-37%</t>
  </si>
  <si>
    <t>32-39%</t>
  </si>
  <si>
    <t>65-70%</t>
  </si>
  <si>
    <t>%still sub</t>
  </si>
  <si>
    <t>ATS of addiitl amt</t>
  </si>
  <si>
    <t>revised incre in sa</t>
  </si>
  <si>
    <t>68 cr</t>
  </si>
  <si>
    <t>curr</t>
  </si>
  <si>
    <t>proposl 1</t>
  </si>
  <si>
    <t>proposal 2</t>
  </si>
  <si>
    <t>p 3</t>
  </si>
  <si>
    <t>sa</t>
  </si>
  <si>
    <t>ffd</t>
  </si>
  <si>
    <t>bleed</t>
  </si>
  <si>
    <t>no change</t>
  </si>
  <si>
    <t>minor change</t>
  </si>
  <si>
    <t>status quo</t>
  </si>
  <si>
    <t>activmoney induced behaviour</t>
  </si>
  <si>
    <t>gt 5 lakh 1.1 of amb for all customers</t>
  </si>
  <si>
    <t>gt 5 lakh if we keep sweepout 1.1 of amb till 10 lakh and then 10 lakh for all above</t>
  </si>
  <si>
    <t>effective change in deposits</t>
  </si>
  <si>
    <t>%M1 SA Diff</t>
  </si>
  <si>
    <t>%SA+FFD M1 Diff</t>
  </si>
  <si>
    <t>Subscribers</t>
  </si>
  <si>
    <t>Non subscribers</t>
  </si>
  <si>
    <t>% effective change</t>
  </si>
  <si>
    <t>Effective Bal (Cr)</t>
  </si>
  <si>
    <t>Non Subscribers</t>
  </si>
  <si>
    <t>% effective Change</t>
  </si>
  <si>
    <t>&lt;=25K</t>
  </si>
  <si>
    <t>&gt;25K</t>
  </si>
  <si>
    <t>Net balance change (Cr)</t>
  </si>
  <si>
    <t xml:space="preserve">Post subscription, we have effectively Lost 30 Cr SA by M1 and 78 Cr SA by M2; However, gained 33 Cr and 68 Cr in SA + FFD Balances by M1 &amp; M2 respectively </t>
  </si>
  <si>
    <t>5 lakh or 1.1 of amb</t>
  </si>
  <si>
    <t>ATS of additional amount in SA</t>
  </si>
  <si>
    <t>New SA- (J+K)</t>
  </si>
  <si>
    <t xml:space="preserve">Revised additional amt in SA </t>
  </si>
  <si>
    <t>Current share of customers crossing the dynamic limit</t>
  </si>
  <si>
    <t>Pre subsc AMB bucket</t>
  </si>
  <si>
    <t># CRNs swept out</t>
  </si>
  <si>
    <t>Additional amt in sa due to limit chg</t>
  </si>
  <si>
    <t>%M2 SA Diff</t>
  </si>
  <si>
    <t>%SA+FFD M2 Diff</t>
  </si>
  <si>
    <t>Subscription count</t>
  </si>
  <si>
    <t xml:space="preserve">Revised #CRNs to sweepout </t>
  </si>
  <si>
    <t>78 crores was lost in SA in M2</t>
  </si>
  <si>
    <t>Dynamic limits - based on M2 SA +FFD balance of Jun- Jul subscribed ETB customers</t>
  </si>
  <si>
    <t>point</t>
  </si>
  <si>
    <t>upto 1 lakh limit simulation keep smaller ones 50K only</t>
  </si>
  <si>
    <t>can we use this baseor lookalike  for activ money subscription?</t>
  </si>
  <si>
    <t>find out customers whom we shouldn’t touch for activmoney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</si>
</sst>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/>
      <top style="thick">
        <color theme="9" tint="-0.499984740745262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/>
      <top/>
      <bottom/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/>
      <top/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  <border>
      <left/>
      <right style="thick">
        <color theme="9" tint="-0.499984740745262"/>
      </right>
      <top/>
      <bottom style="thick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17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/>
    <xf numFmtId="0" fontId="0" fillId="4" borderId="1" xfId="0" applyFill="1" applyBorder="1"/>
    <xf numFmtId="9" fontId="0" fillId="4" borderId="1" xfId="1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2" applyNumberFormat="1" applyFont="1"/>
    <xf numFmtId="164" fontId="0" fillId="0" borderId="1" xfId="2" applyNumberFormat="1" applyFont="1" applyBorder="1"/>
    <xf numFmtId="1" fontId="0" fillId="0" borderId="1" xfId="0" applyNumberForma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8" fillId="0" borderId="1" xfId="2" applyNumberFormat="1" applyFont="1" applyFill="1" applyBorder="1" applyAlignment="1">
      <alignment horizontal="center" vertical="center" wrapText="1"/>
    </xf>
    <xf numFmtId="164" fontId="8" fillId="0" borderId="1" xfId="2" applyNumberFormat="1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9" fillId="4" borderId="1" xfId="2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64" fontId="9" fillId="4" borderId="1" xfId="2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164" fontId="9" fillId="0" borderId="1" xfId="2" applyNumberFormat="1" applyFont="1" applyFill="1" applyBorder="1" applyAlignment="1">
      <alignment vertical="center"/>
    </xf>
    <xf numFmtId="164" fontId="8" fillId="0" borderId="1" xfId="2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4" fontId="3" fillId="0" borderId="2" xfId="2" applyNumberFormat="1" applyFont="1" applyBorder="1" applyAlignment="1">
      <alignment horizontal="right" vertical="center"/>
    </xf>
    <xf numFmtId="164" fontId="3" fillId="0" borderId="1" xfId="2" applyNumberFormat="1" applyFont="1" applyBorder="1" applyAlignment="1">
      <alignment horizontal="right" vertical="center"/>
    </xf>
    <xf numFmtId="164" fontId="3" fillId="3" borderId="1" xfId="2" applyNumberFormat="1" applyFont="1" applyFill="1" applyBorder="1" applyAlignment="1">
      <alignment horizontal="right" vertical="center"/>
    </xf>
    <xf numFmtId="164" fontId="0" fillId="4" borderId="1" xfId="2" applyNumberFormat="1" applyFont="1" applyFill="1" applyBorder="1"/>
    <xf numFmtId="164" fontId="2" fillId="2" borderId="1" xfId="2" applyNumberFormat="1" applyFont="1" applyFill="1" applyBorder="1"/>
    <xf numFmtId="9" fontId="3" fillId="3" borderId="1" xfId="0" applyNumberFormat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1" fontId="0" fillId="0" borderId="0" xfId="0" applyNumberFormat="1"/>
    <xf numFmtId="0" fontId="0" fillId="0" borderId="0" xfId="0" applyFill="1"/>
    <xf numFmtId="9" fontId="0" fillId="0" borderId="0" xfId="1" applyFont="1" applyFill="1"/>
    <xf numFmtId="9" fontId="0" fillId="4" borderId="0" xfId="1" applyFont="1" applyFill="1"/>
    <xf numFmtId="9" fontId="0" fillId="0" borderId="0" xfId="1" applyFont="1"/>
    <xf numFmtId="165" fontId="0" fillId="0" borderId="0" xfId="1" applyNumberFormat="1" applyFont="1"/>
    <xf numFmtId="0" fontId="6" fillId="0" borderId="0" xfId="0" applyFont="1"/>
    <xf numFmtId="164" fontId="9" fillId="0" borderId="0" xfId="2" applyNumberFormat="1" applyFont="1" applyFill="1" applyBorder="1" applyAlignment="1">
      <alignment horizontal="center" vertical="center"/>
    </xf>
    <xf numFmtId="43" fontId="9" fillId="0" borderId="0" xfId="2" applyNumberFormat="1" applyFont="1" applyFill="1" applyBorder="1"/>
    <xf numFmtId="1" fontId="0" fillId="0" borderId="1" xfId="2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/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/>
    <xf numFmtId="0" fontId="0" fillId="0" borderId="7" xfId="0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9" fontId="9" fillId="0" borderId="10" xfId="1" applyFont="1" applyFill="1" applyBorder="1" applyAlignment="1">
      <alignment horizontal="center" vertical="center"/>
    </xf>
    <xf numFmtId="0" fontId="9" fillId="0" borderId="11" xfId="0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/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/>
    <xf numFmtId="0" fontId="0" fillId="0" borderId="15" xfId="0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/>
    </xf>
    <xf numFmtId="9" fontId="9" fillId="0" borderId="18" xfId="1" applyFont="1" applyFill="1" applyBorder="1" applyAlignment="1">
      <alignment horizontal="center" vertical="center"/>
    </xf>
    <xf numFmtId="0" fontId="9" fillId="0" borderId="19" xfId="0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9" fontId="0" fillId="0" borderId="20" xfId="1" applyFont="1" applyBorder="1"/>
    <xf numFmtId="0" fontId="0" fillId="9" borderId="20" xfId="0" applyFill="1" applyBorder="1"/>
    <xf numFmtId="165" fontId="0" fillId="0" borderId="20" xfId="1" applyNumberFormat="1" applyFont="1" applyBorder="1"/>
    <xf numFmtId="0" fontId="6" fillId="0" borderId="20" xfId="0" applyFont="1" applyBorder="1"/>
    <xf numFmtId="9" fontId="6" fillId="0" borderId="20" xfId="1" applyFont="1" applyBorder="1"/>
    <xf numFmtId="0" fontId="10" fillId="0" borderId="0" xfId="0" applyFont="1"/>
    <xf numFmtId="0" fontId="0" fillId="2" borderId="20" xfId="0" applyFill="1" applyBorder="1"/>
    <xf numFmtId="164" fontId="0" fillId="0" borderId="20" xfId="2" applyNumberFormat="1" applyFont="1" applyBorder="1"/>
    <xf numFmtId="164" fontId="0" fillId="0" borderId="0" xfId="2" applyNumberFormat="1" applyFont="1" applyBorder="1"/>
    <xf numFmtId="0" fontId="0" fillId="0" borderId="21" xfId="0" applyFill="1" applyBorder="1"/>
    <xf numFmtId="0" fontId="6" fillId="8" borderId="20" xfId="0" applyFont="1" applyFill="1" applyBorder="1"/>
    <xf numFmtId="164" fontId="6" fillId="8" borderId="20" xfId="2" applyNumberFormat="1" applyFont="1" applyFill="1" applyBorder="1"/>
    <xf numFmtId="10" fontId="0" fillId="0" borderId="0" xfId="1" applyNumberFormat="1" applyFont="1"/>
    <xf numFmtId="0" fontId="9" fillId="0" borderId="5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Border="1"/>
    <xf numFmtId="9" fontId="0" fillId="0" borderId="1" xfId="1" applyNumberFormat="1" applyFont="1" applyBorder="1"/>
    <xf numFmtId="9" fontId="0" fillId="0" borderId="0" xfId="0" applyNumberFormat="1"/>
    <xf numFmtId="9" fontId="0" fillId="0" borderId="0" xfId="1" applyFont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0" borderId="2" xfId="0" applyFill="1" applyBorder="1"/>
    <xf numFmtId="0" fontId="0" fillId="0" borderId="22" xfId="0" applyBorder="1"/>
    <xf numFmtId="0" fontId="0" fillId="10" borderId="23" xfId="0" applyFill="1" applyBorder="1"/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27" xfId="1" applyFont="1" applyBorder="1"/>
    <xf numFmtId="9" fontId="0" fillId="0" borderId="22" xfId="1" applyFont="1" applyBorder="1"/>
    <xf numFmtId="9" fontId="0" fillId="0" borderId="29" xfId="1" applyFont="1" applyBorder="1"/>
    <xf numFmtId="9" fontId="0" fillId="0" borderId="28" xfId="1" applyFont="1" applyBorder="1"/>
    <xf numFmtId="9" fontId="0" fillId="0" borderId="25" xfId="1" applyFont="1" applyBorder="1"/>
    <xf numFmtId="9" fontId="0" fillId="0" borderId="24" xfId="1" applyFont="1" applyBorder="1"/>
    <xf numFmtId="9" fontId="0" fillId="0" borderId="26" xfId="1" applyFont="1" applyBorder="1"/>
    <xf numFmtId="9" fontId="0" fillId="0" borderId="2" xfId="1" applyFont="1" applyBorder="1"/>
    <xf numFmtId="9" fontId="0" fillId="10" borderId="23" xfId="1" applyFont="1" applyFill="1" applyBorder="1"/>
    <xf numFmtId="9" fontId="0" fillId="11" borderId="1" xfId="1" applyFont="1" applyFill="1" applyBorder="1"/>
    <xf numFmtId="9" fontId="0" fillId="15" borderId="1" xfId="1" applyFont="1" applyFill="1" applyBorder="1"/>
    <xf numFmtId="9" fontId="0" fillId="14" borderId="1" xfId="1" applyFont="1" applyFill="1" applyBorder="1"/>
    <xf numFmtId="9" fontId="0" fillId="12" borderId="1" xfId="1" applyFont="1" applyFill="1" applyBorder="1"/>
    <xf numFmtId="9" fontId="0" fillId="10" borderId="2" xfId="1" applyFont="1" applyFill="1" applyBorder="1"/>
    <xf numFmtId="9" fontId="0" fillId="13" borderId="1" xfId="1" applyFont="1" applyFill="1" applyBorder="1"/>
    <xf numFmtId="0" fontId="0" fillId="0" borderId="30" xfId="0" applyBorder="1"/>
    <xf numFmtId="0" fontId="0" fillId="0" borderId="30" xfId="0" quotePrefix="1" applyBorder="1"/>
    <xf numFmtId="9" fontId="0" fillId="0" borderId="30" xfId="1" applyFont="1" applyBorder="1"/>
    <xf numFmtId="1" fontId="0" fillId="0" borderId="30" xfId="0" applyNumberFormat="1" applyBorder="1"/>
    <xf numFmtId="0" fontId="0" fillId="0" borderId="0" xfId="0" applyFill="1" applyBorder="1"/>
    <xf numFmtId="9" fontId="0" fillId="0" borderId="1" xfId="0" applyNumberFormat="1" applyBorder="1"/>
    <xf numFmtId="9" fontId="0" fillId="0" borderId="23" xfId="1" applyFont="1" applyBorder="1"/>
    <xf numFmtId="9" fontId="0" fillId="0" borderId="32" xfId="1" applyFont="1" applyBorder="1"/>
    <xf numFmtId="9" fontId="0" fillId="0" borderId="33" xfId="1" applyFont="1" applyBorder="1"/>
    <xf numFmtId="9" fontId="0" fillId="0" borderId="34" xfId="1" applyFont="1" applyBorder="1"/>
    <xf numFmtId="9" fontId="0" fillId="0" borderId="35" xfId="1" applyFont="1" applyBorder="1"/>
    <xf numFmtId="9" fontId="0" fillId="0" borderId="36" xfId="1" applyFont="1" applyBorder="1"/>
    <xf numFmtId="9" fontId="0" fillId="0" borderId="37" xfId="1" applyFont="1" applyBorder="1"/>
    <xf numFmtId="9" fontId="0" fillId="0" borderId="38" xfId="1" applyFont="1" applyBorder="1"/>
    <xf numFmtId="9" fontId="0" fillId="0" borderId="39" xfId="1" applyFont="1" applyBorder="1"/>
    <xf numFmtId="9" fontId="0" fillId="0" borderId="40" xfId="1" applyFont="1" applyBorder="1"/>
    <xf numFmtId="9" fontId="0" fillId="0" borderId="41" xfId="1" applyFont="1" applyBorder="1"/>
    <xf numFmtId="9" fontId="0" fillId="0" borderId="42" xfId="1" applyFont="1" applyBorder="1"/>
    <xf numFmtId="9" fontId="0" fillId="0" borderId="43" xfId="1" applyFont="1" applyBorder="1"/>
    <xf numFmtId="9" fontId="0" fillId="0" borderId="44" xfId="1" applyFont="1" applyBorder="1"/>
    <xf numFmtId="9" fontId="0" fillId="0" borderId="45" xfId="1" applyFont="1" applyBorder="1"/>
    <xf numFmtId="9" fontId="0" fillId="0" borderId="46" xfId="1" applyFont="1" applyBorder="1"/>
    <xf numFmtId="9" fontId="0" fillId="0" borderId="47" xfId="1" applyFont="1" applyBorder="1"/>
    <xf numFmtId="0" fontId="0" fillId="0" borderId="0" xfId="0" quotePrefix="1"/>
    <xf numFmtId="0" fontId="0" fillId="0" borderId="46" xfId="0" applyBorder="1"/>
    <xf numFmtId="9" fontId="0" fillId="0" borderId="48" xfId="1" applyFont="1" applyBorder="1"/>
    <xf numFmtId="9" fontId="0" fillId="0" borderId="49" xfId="1" applyFont="1" applyBorder="1"/>
    <xf numFmtId="9" fontId="0" fillId="0" borderId="50" xfId="1" applyFont="1" applyBorder="1"/>
    <xf numFmtId="164" fontId="9" fillId="0" borderId="51" xfId="2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164" fontId="9" fillId="0" borderId="30" xfId="2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64" fontId="9" fillId="4" borderId="30" xfId="2" applyNumberFormat="1" applyFont="1" applyFill="1" applyBorder="1" applyAlignment="1">
      <alignment horizontal="center" vertical="center"/>
    </xf>
    <xf numFmtId="164" fontId="9" fillId="4" borderId="30" xfId="0" applyNumberFormat="1" applyFont="1" applyFill="1" applyBorder="1" applyAlignment="1">
      <alignment horizontal="center" vertical="center"/>
    </xf>
    <xf numFmtId="9" fontId="9" fillId="0" borderId="30" xfId="1" applyFont="1" applyFill="1" applyBorder="1" applyAlignment="1">
      <alignment horizontal="center" vertical="center"/>
    </xf>
    <xf numFmtId="0" fontId="0" fillId="0" borderId="30" xfId="0" applyFill="1" applyBorder="1"/>
    <xf numFmtId="164" fontId="0" fillId="0" borderId="0" xfId="0" applyNumberFormat="1"/>
    <xf numFmtId="0" fontId="4" fillId="2" borderId="51" xfId="0" applyFont="1" applyFill="1" applyBorder="1" applyAlignment="1">
      <alignment horizontal="center" wrapText="1"/>
    </xf>
    <xf numFmtId="164" fontId="0" fillId="0" borderId="30" xfId="2" applyNumberFormat="1" applyFon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4" borderId="30" xfId="0" applyNumberFormat="1" applyFill="1" applyBorder="1" applyAlignment="1">
      <alignment horizontal="center"/>
    </xf>
    <xf numFmtId="0" fontId="0" fillId="0" borderId="23" xfId="0" applyBorder="1"/>
    <xf numFmtId="0" fontId="0" fillId="0" borderId="52" xfId="0" applyBorder="1"/>
    <xf numFmtId="9" fontId="0" fillId="0" borderId="53" xfId="1" applyFont="1" applyBorder="1"/>
    <xf numFmtId="9" fontId="0" fillId="0" borderId="54" xfId="1" applyFont="1" applyBorder="1"/>
    <xf numFmtId="9" fontId="0" fillId="0" borderId="55" xfId="1" applyFont="1" applyBorder="1"/>
    <xf numFmtId="0" fontId="0" fillId="0" borderId="56" xfId="0" applyBorder="1"/>
    <xf numFmtId="9" fontId="0" fillId="0" borderId="57" xfId="1" applyFont="1" applyBorder="1"/>
    <xf numFmtId="0" fontId="0" fillId="0" borderId="58" xfId="0" applyBorder="1"/>
    <xf numFmtId="9" fontId="0" fillId="0" borderId="59" xfId="1" applyFont="1" applyBorder="1"/>
    <xf numFmtId="9" fontId="0" fillId="0" borderId="60" xfId="1" applyFont="1" applyBorder="1"/>
    <xf numFmtId="9" fontId="0" fillId="0" borderId="61" xfId="1" applyFont="1" applyBorder="1"/>
    <xf numFmtId="0" fontId="9" fillId="0" borderId="62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/>
    </xf>
    <xf numFmtId="0" fontId="9" fillId="0" borderId="63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/>
    </xf>
    <xf numFmtId="0" fontId="9" fillId="0" borderId="64" xfId="0" applyFont="1" applyFill="1" applyBorder="1"/>
    <xf numFmtId="0" fontId="9" fillId="0" borderId="65" xfId="0" applyFont="1" applyFill="1" applyBorder="1" applyAlignment="1">
      <alignment horizontal="center" vertical="center" wrapText="1"/>
    </xf>
    <xf numFmtId="0" fontId="9" fillId="0" borderId="66" xfId="0" applyFont="1" applyFill="1" applyBorder="1"/>
    <xf numFmtId="0" fontId="0" fillId="0" borderId="65" xfId="0" applyBorder="1" applyAlignment="1">
      <alignment horizontal="center" vertical="center" wrapText="1"/>
    </xf>
    <xf numFmtId="0" fontId="9" fillId="0" borderId="67" xfId="0" applyFont="1" applyFill="1" applyBorder="1" applyAlignment="1">
      <alignment horizontal="center" vertical="center" wrapText="1"/>
    </xf>
    <xf numFmtId="0" fontId="9" fillId="0" borderId="68" xfId="0" applyFont="1" applyFill="1" applyBorder="1" applyAlignment="1">
      <alignment horizontal="center"/>
    </xf>
    <xf numFmtId="0" fontId="9" fillId="0" borderId="68" xfId="0" applyFont="1" applyFill="1" applyBorder="1" applyAlignment="1">
      <alignment horizontal="center" vertical="center" wrapText="1"/>
    </xf>
    <xf numFmtId="0" fontId="9" fillId="0" borderId="68" xfId="0" applyFont="1" applyFill="1" applyBorder="1" applyAlignment="1">
      <alignment horizontal="center" vertical="center"/>
    </xf>
    <xf numFmtId="9" fontId="9" fillId="0" borderId="68" xfId="1" applyFont="1" applyFill="1" applyBorder="1" applyAlignment="1">
      <alignment horizontal="center" vertical="center"/>
    </xf>
    <xf numFmtId="0" fontId="9" fillId="0" borderId="69" xfId="0" applyFont="1" applyFill="1" applyBorder="1"/>
    <xf numFmtId="9" fontId="9" fillId="0" borderId="70" xfId="1" applyFont="1" applyFill="1" applyBorder="1" applyAlignment="1">
      <alignment horizontal="center" vertical="center"/>
    </xf>
    <xf numFmtId="164" fontId="0" fillId="16" borderId="30" xfId="0" applyNumberFormat="1" applyFill="1" applyBorder="1" applyAlignment="1">
      <alignment horizontal="center"/>
    </xf>
    <xf numFmtId="164" fontId="9" fillId="16" borderId="30" xfId="2" applyNumberFormat="1" applyFont="1" applyFill="1" applyBorder="1" applyAlignment="1">
      <alignment horizontal="center" vertical="center"/>
    </xf>
    <xf numFmtId="164" fontId="0" fillId="0" borderId="46" xfId="2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0" fontId="0" fillId="0" borderId="71" xfId="0" applyBorder="1" applyAlignment="1">
      <alignment horizontal="center"/>
    </xf>
    <xf numFmtId="1" fontId="0" fillId="0" borderId="46" xfId="0" applyNumberFormat="1" applyBorder="1"/>
    <xf numFmtId="0" fontId="0" fillId="0" borderId="31" xfId="0" applyBorder="1"/>
    <xf numFmtId="1" fontId="0" fillId="0" borderId="0" xfId="1" applyNumberFormat="1" applyFont="1"/>
    <xf numFmtId="164" fontId="8" fillId="0" borderId="0" xfId="2" applyNumberFormat="1" applyFont="1"/>
    <xf numFmtId="0" fontId="11" fillId="17" borderId="0" xfId="0" applyFont="1" applyFill="1" applyAlignment="1">
      <alignment horizontal="right" vertical="center" wrapText="1"/>
    </xf>
    <xf numFmtId="0" fontId="11" fillId="18" borderId="0" xfId="0" applyFont="1" applyFill="1" applyAlignment="1">
      <alignment horizontal="right" vertical="center" wrapText="1"/>
    </xf>
    <xf numFmtId="0" fontId="8" fillId="18" borderId="0" xfId="0" applyFont="1" applyFill="1" applyAlignment="1">
      <alignment horizontal="right" vertical="center" wrapText="1"/>
    </xf>
    <xf numFmtId="0" fontId="8" fillId="17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/>
    <xf numFmtId="0" fontId="6" fillId="0" borderId="1" xfId="0" applyFont="1" applyBorder="1"/>
    <xf numFmtId="9" fontId="6" fillId="0" borderId="1" xfId="0" applyNumberFormat="1" applyFont="1" applyBorder="1"/>
    <xf numFmtId="9" fontId="13" fillId="0" borderId="1" xfId="0" applyNumberFormat="1" applyFont="1" applyBorder="1"/>
    <xf numFmtId="2" fontId="13" fillId="0" borderId="1" xfId="0" applyNumberFormat="1" applyFont="1" applyBorder="1"/>
    <xf numFmtId="9" fontId="6" fillId="0" borderId="1" xfId="1" applyFont="1" applyBorder="1"/>
    <xf numFmtId="9" fontId="13" fillId="0" borderId="1" xfId="1" applyFont="1" applyBorder="1"/>
    <xf numFmtId="0" fontId="13" fillId="0" borderId="1" xfId="0" applyFont="1" applyBorder="1"/>
    <xf numFmtId="9" fontId="14" fillId="0" borderId="1" xfId="1" applyFont="1" applyBorder="1"/>
    <xf numFmtId="0" fontId="14" fillId="0" borderId="1" xfId="0" applyFont="1" applyBorder="1"/>
    <xf numFmtId="9" fontId="14" fillId="0" borderId="1" xfId="0" applyNumberFormat="1" applyFont="1" applyBorder="1"/>
    <xf numFmtId="2" fontId="14" fillId="0" borderId="1" xfId="0" applyNumberFormat="1" applyFont="1" applyBorder="1"/>
    <xf numFmtId="0" fontId="6" fillId="0" borderId="1" xfId="0" applyFont="1" applyBorder="1" applyAlignment="1">
      <alignment wrapText="1"/>
    </xf>
    <xf numFmtId="0" fontId="4" fillId="19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4" borderId="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9" fontId="9" fillId="0" borderId="47" xfId="1" applyFont="1" applyFill="1" applyBorder="1" applyAlignment="1">
      <alignment horizontal="right" vertical="center"/>
    </xf>
    <xf numFmtId="164" fontId="0" fillId="16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90" zoomScaleNormal="90" workbookViewId="0">
      <selection activeCell="I10" sqref="I10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2.5703125" bestFit="1" customWidth="1"/>
    <col min="4" max="4" width="25.140625" customWidth="1"/>
    <col min="5" max="5" width="16.42578125" bestFit="1" customWidth="1"/>
    <col min="6" max="6" width="17.5703125" bestFit="1" customWidth="1"/>
    <col min="7" max="7" width="25.5703125" bestFit="1" customWidth="1"/>
    <col min="8" max="8" width="21.42578125" bestFit="1" customWidth="1"/>
    <col min="9" max="9" width="16.7109375" bestFit="1" customWidth="1"/>
    <col min="10" max="10" width="19" customWidth="1"/>
    <col min="11" max="11" width="19.7109375" customWidth="1"/>
  </cols>
  <sheetData>
    <row r="1" spans="1:22" x14ac:dyDescent="0.25">
      <c r="B1" t="s">
        <v>56</v>
      </c>
    </row>
    <row r="2" spans="1:22" x14ac:dyDescent="0.25">
      <c r="A2" s="13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57</v>
      </c>
    </row>
    <row r="3" spans="1:22" x14ac:dyDescent="0.25">
      <c r="A3" s="14" t="s">
        <v>10</v>
      </c>
      <c r="B3" s="21">
        <v>32790</v>
      </c>
      <c r="C3" s="21">
        <v>6552</v>
      </c>
      <c r="D3" s="56">
        <f>C3/B3</f>
        <v>0.19981701738334859</v>
      </c>
      <c r="E3" s="64">
        <v>3261</v>
      </c>
      <c r="F3" s="9">
        <f>E3/C3</f>
        <v>0.49771062271062272</v>
      </c>
      <c r="G3" s="8">
        <v>379</v>
      </c>
      <c r="H3" s="8">
        <v>84</v>
      </c>
      <c r="I3" s="8">
        <v>14</v>
      </c>
      <c r="J3" s="8">
        <v>89</v>
      </c>
      <c r="K3" s="9">
        <f>H3/G3</f>
        <v>0.22163588390501318</v>
      </c>
    </row>
    <row r="4" spans="1:22" x14ac:dyDescent="0.25">
      <c r="A4" s="6">
        <v>45017</v>
      </c>
      <c r="B4" s="57">
        <f>SUM(B16,B26)</f>
        <v>248</v>
      </c>
      <c r="C4" s="58">
        <f>SUM(C16,C26)</f>
        <v>212</v>
      </c>
      <c r="D4" s="56">
        <f t="shared" ref="D4:D9" si="0">C4/B4</f>
        <v>0.85483870967741937</v>
      </c>
      <c r="E4" s="65">
        <f t="shared" ref="E4:E9" si="1">SUM(E16,E26)</f>
        <v>164</v>
      </c>
      <c r="F4" s="9">
        <f t="shared" ref="F4:F9" si="2">E4/C4</f>
        <v>0.77358490566037741</v>
      </c>
      <c r="G4" s="1">
        <f>SUM(G16,G26)</f>
        <v>11</v>
      </c>
      <c r="H4" s="1">
        <f>SUM(H16,H26)</f>
        <v>5</v>
      </c>
      <c r="I4" s="1">
        <f>SUM(I16,I26)</f>
        <v>0</v>
      </c>
      <c r="J4" s="1">
        <f>SUM(J16,J26)</f>
        <v>5</v>
      </c>
      <c r="K4" s="9">
        <f t="shared" ref="K4:K9" si="3">H4/G4</f>
        <v>0.45454545454545453</v>
      </c>
    </row>
    <row r="5" spans="1:22" x14ac:dyDescent="0.25">
      <c r="A5" s="6">
        <v>45047</v>
      </c>
      <c r="B5" s="57">
        <f t="shared" ref="B5:C9" si="4">SUM(B17,B27)</f>
        <v>430</v>
      </c>
      <c r="C5" s="58">
        <f t="shared" si="4"/>
        <v>351</v>
      </c>
      <c r="D5" s="56">
        <f t="shared" si="0"/>
        <v>0.81627906976744191</v>
      </c>
      <c r="E5" s="65">
        <f t="shared" si="1"/>
        <v>233</v>
      </c>
      <c r="F5" s="9">
        <f t="shared" si="2"/>
        <v>0.66381766381766383</v>
      </c>
      <c r="G5" s="1">
        <f t="shared" ref="G5:J9" si="5">SUM(G17,G27)</f>
        <v>12</v>
      </c>
      <c r="H5" s="1">
        <f t="shared" si="5"/>
        <v>5</v>
      </c>
      <c r="I5" s="1">
        <f t="shared" si="5"/>
        <v>1</v>
      </c>
      <c r="J5" s="1">
        <f t="shared" si="5"/>
        <v>6</v>
      </c>
      <c r="K5" s="9">
        <f t="shared" si="3"/>
        <v>0.41666666666666669</v>
      </c>
    </row>
    <row r="6" spans="1:22" x14ac:dyDescent="0.25">
      <c r="A6" s="6">
        <v>45078</v>
      </c>
      <c r="B6" s="57">
        <f t="shared" si="4"/>
        <v>191281</v>
      </c>
      <c r="C6" s="58">
        <f t="shared" si="4"/>
        <v>15046</v>
      </c>
      <c r="D6" s="56">
        <f t="shared" si="0"/>
        <v>7.8659145445705528E-2</v>
      </c>
      <c r="E6" s="65">
        <f t="shared" si="1"/>
        <v>5130</v>
      </c>
      <c r="F6" s="9">
        <f t="shared" si="2"/>
        <v>0.34095440648677389</v>
      </c>
      <c r="G6" s="1">
        <f t="shared" si="5"/>
        <v>197</v>
      </c>
      <c r="H6" s="1">
        <f t="shared" si="5"/>
        <v>59</v>
      </c>
      <c r="I6" s="1">
        <f t="shared" si="5"/>
        <v>14</v>
      </c>
      <c r="J6" s="1">
        <f t="shared" si="5"/>
        <v>68</v>
      </c>
      <c r="K6" s="9">
        <f t="shared" si="3"/>
        <v>0.29949238578680204</v>
      </c>
    </row>
    <row r="7" spans="1:22" x14ac:dyDescent="0.25">
      <c r="A7" s="6">
        <v>45108</v>
      </c>
      <c r="B7" s="57">
        <f t="shared" si="4"/>
        <v>307931</v>
      </c>
      <c r="C7" s="58">
        <f t="shared" si="4"/>
        <v>22885</v>
      </c>
      <c r="D7" s="56">
        <f t="shared" si="0"/>
        <v>7.431859734810721E-2</v>
      </c>
      <c r="E7" s="65">
        <f t="shared" si="1"/>
        <v>10442</v>
      </c>
      <c r="F7" s="9">
        <f t="shared" si="2"/>
        <v>0.45628140703517589</v>
      </c>
      <c r="G7" s="1">
        <f t="shared" si="5"/>
        <v>316</v>
      </c>
      <c r="H7" s="1">
        <f t="shared" si="5"/>
        <v>132</v>
      </c>
      <c r="I7" s="1">
        <f t="shared" si="5"/>
        <v>27</v>
      </c>
      <c r="J7" s="1">
        <f t="shared" si="5"/>
        <v>149</v>
      </c>
      <c r="K7" s="9">
        <f t="shared" si="3"/>
        <v>0.41772151898734178</v>
      </c>
    </row>
    <row r="8" spans="1:22" x14ac:dyDescent="0.25">
      <c r="A8" s="6">
        <v>45139</v>
      </c>
      <c r="B8" s="57">
        <f t="shared" si="4"/>
        <v>303840</v>
      </c>
      <c r="C8" s="58">
        <f t="shared" si="4"/>
        <v>16234</v>
      </c>
      <c r="D8" s="56">
        <f t="shared" si="0"/>
        <v>5.3429436545550289E-2</v>
      </c>
      <c r="E8" s="65">
        <f t="shared" si="1"/>
        <v>9414</v>
      </c>
      <c r="F8" s="9">
        <f t="shared" si="2"/>
        <v>0.57989404952568679</v>
      </c>
      <c r="G8" s="1">
        <f t="shared" si="5"/>
        <v>202</v>
      </c>
      <c r="H8" s="1">
        <f t="shared" si="5"/>
        <v>119</v>
      </c>
      <c r="I8" s="1">
        <f t="shared" si="5"/>
        <v>24</v>
      </c>
      <c r="J8" s="1">
        <f t="shared" si="5"/>
        <v>134</v>
      </c>
      <c r="K8" s="9">
        <f t="shared" si="3"/>
        <v>0.58910891089108908</v>
      </c>
    </row>
    <row r="9" spans="1:22" x14ac:dyDescent="0.25">
      <c r="A9" s="6">
        <v>45170</v>
      </c>
      <c r="B9" s="57">
        <f t="shared" si="4"/>
        <v>27911</v>
      </c>
      <c r="C9" s="58">
        <f t="shared" si="4"/>
        <v>2565</v>
      </c>
      <c r="D9" s="56">
        <f t="shared" si="0"/>
        <v>9.1899251191286585E-2</v>
      </c>
      <c r="E9" s="65">
        <f t="shared" si="1"/>
        <v>2290</v>
      </c>
      <c r="F9" s="9">
        <f t="shared" si="2"/>
        <v>0.89278752436647169</v>
      </c>
      <c r="G9" s="1">
        <f t="shared" si="5"/>
        <v>34</v>
      </c>
      <c r="H9" s="1">
        <f t="shared" si="5"/>
        <v>28</v>
      </c>
      <c r="I9" s="1">
        <f t="shared" si="5"/>
        <v>6</v>
      </c>
      <c r="J9" s="1">
        <f t="shared" si="5"/>
        <v>31</v>
      </c>
      <c r="K9" s="9">
        <f t="shared" si="3"/>
        <v>0.82352941176470584</v>
      </c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</row>
    <row r="10" spans="1:22" s="5" customFormat="1" x14ac:dyDescent="0.25">
      <c r="A10" s="7" t="s">
        <v>12</v>
      </c>
      <c r="B10" s="59">
        <f>SUM(B3:B9)</f>
        <v>864431</v>
      </c>
      <c r="C10" s="59">
        <v>77349</v>
      </c>
      <c r="D10" s="62">
        <v>7.0000000000000007E-2</v>
      </c>
      <c r="E10" s="66">
        <v>33808</v>
      </c>
      <c r="F10" s="4">
        <f>E10/C10</f>
        <v>0.43708386663046711</v>
      </c>
      <c r="G10" s="3">
        <v>1303</v>
      </c>
      <c r="H10" s="3">
        <v>461</v>
      </c>
      <c r="I10" s="3">
        <v>114</v>
      </c>
      <c r="J10" s="3">
        <v>534</v>
      </c>
      <c r="K10" s="12">
        <f>H10/G10</f>
        <v>0.35379892555640829</v>
      </c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1:22" x14ac:dyDescent="0.25">
      <c r="A11" s="15"/>
      <c r="B11" s="20"/>
      <c r="C11" s="20"/>
      <c r="D11" s="16"/>
      <c r="E11" s="67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</row>
    <row r="12" spans="1:22" x14ac:dyDescent="0.25">
      <c r="A12" s="16"/>
      <c r="B12" s="20"/>
      <c r="C12" s="20"/>
      <c r="D12" s="16"/>
      <c r="E12" s="67"/>
    </row>
    <row r="13" spans="1:22" x14ac:dyDescent="0.25">
      <c r="A13" s="16" t="s">
        <v>13</v>
      </c>
      <c r="B13" s="20"/>
      <c r="C13" s="20"/>
      <c r="D13" s="16"/>
      <c r="E13" s="67"/>
    </row>
    <row r="14" spans="1:22" x14ac:dyDescent="0.25">
      <c r="A14" s="17" t="s">
        <v>0</v>
      </c>
      <c r="B14" s="61" t="s">
        <v>1</v>
      </c>
      <c r="C14" s="61" t="s">
        <v>2</v>
      </c>
      <c r="D14" s="17" t="s">
        <v>3</v>
      </c>
      <c r="E14" s="68" t="s">
        <v>4</v>
      </c>
      <c r="F14" s="10" t="s">
        <v>5</v>
      </c>
      <c r="G14" s="10" t="s">
        <v>6</v>
      </c>
      <c r="H14" s="10" t="s">
        <v>7</v>
      </c>
      <c r="I14" s="10" t="s">
        <v>8</v>
      </c>
      <c r="J14" s="10" t="s">
        <v>9</v>
      </c>
      <c r="K14" s="2" t="s">
        <v>57</v>
      </c>
    </row>
    <row r="15" spans="1:22" x14ac:dyDescent="0.25">
      <c r="A15" s="14" t="s">
        <v>10</v>
      </c>
      <c r="B15" s="21">
        <v>32790</v>
      </c>
      <c r="C15" s="21">
        <v>6552</v>
      </c>
      <c r="D15" s="14">
        <v>19</v>
      </c>
      <c r="E15" s="64">
        <v>3261</v>
      </c>
      <c r="F15" s="8">
        <v>49</v>
      </c>
      <c r="G15" s="8">
        <v>379</v>
      </c>
      <c r="H15" s="8">
        <v>84</v>
      </c>
      <c r="I15" s="8">
        <v>14</v>
      </c>
      <c r="J15" s="8">
        <v>89</v>
      </c>
      <c r="K15" s="9">
        <f>H15/G15</f>
        <v>0.22163588390501318</v>
      </c>
    </row>
    <row r="16" spans="1:22" x14ac:dyDescent="0.25">
      <c r="A16" s="18">
        <v>45017</v>
      </c>
      <c r="B16" s="21">
        <v>240</v>
      </c>
      <c r="C16" s="21">
        <v>205</v>
      </c>
      <c r="D16" s="14">
        <v>85</v>
      </c>
      <c r="E16" s="64">
        <v>158</v>
      </c>
      <c r="F16" s="8">
        <v>77</v>
      </c>
      <c r="G16" s="8">
        <v>11</v>
      </c>
      <c r="H16" s="8">
        <v>5</v>
      </c>
      <c r="I16" s="8">
        <v>0</v>
      </c>
      <c r="J16" s="8">
        <v>5</v>
      </c>
      <c r="K16" s="9">
        <f t="shared" ref="K16:K21" si="6">H16/G16</f>
        <v>0.45454545454545453</v>
      </c>
    </row>
    <row r="17" spans="1:11" x14ac:dyDescent="0.25">
      <c r="A17" s="18">
        <v>45047</v>
      </c>
      <c r="B17" s="21">
        <v>407</v>
      </c>
      <c r="C17" s="21">
        <v>336</v>
      </c>
      <c r="D17" s="14">
        <v>82</v>
      </c>
      <c r="E17" s="64">
        <v>222</v>
      </c>
      <c r="F17" s="8">
        <v>66</v>
      </c>
      <c r="G17" s="8">
        <v>12</v>
      </c>
      <c r="H17" s="8">
        <v>5</v>
      </c>
      <c r="I17" s="8">
        <v>1</v>
      </c>
      <c r="J17" s="8">
        <v>6</v>
      </c>
      <c r="K17" s="9">
        <f t="shared" si="6"/>
        <v>0.41666666666666669</v>
      </c>
    </row>
    <row r="18" spans="1:11" x14ac:dyDescent="0.25">
      <c r="A18" s="18">
        <v>45078</v>
      </c>
      <c r="B18" s="21">
        <v>28445</v>
      </c>
      <c r="C18" s="21">
        <v>4117</v>
      </c>
      <c r="D18" s="14">
        <v>14</v>
      </c>
      <c r="E18" s="64">
        <v>1964</v>
      </c>
      <c r="F18" s="8">
        <v>47</v>
      </c>
      <c r="G18" s="8">
        <v>117</v>
      </c>
      <c r="H18" s="8">
        <v>37</v>
      </c>
      <c r="I18" s="8">
        <v>5</v>
      </c>
      <c r="J18" s="8">
        <v>37</v>
      </c>
      <c r="K18" s="9">
        <f t="shared" si="6"/>
        <v>0.31623931623931623</v>
      </c>
    </row>
    <row r="19" spans="1:11" x14ac:dyDescent="0.25">
      <c r="A19" s="18">
        <v>45108</v>
      </c>
      <c r="B19" s="21">
        <v>52563</v>
      </c>
      <c r="C19" s="21">
        <v>9535</v>
      </c>
      <c r="D19" s="14">
        <v>18</v>
      </c>
      <c r="E19" s="64">
        <v>5820</v>
      </c>
      <c r="F19" s="8">
        <v>61</v>
      </c>
      <c r="G19" s="8">
        <v>212</v>
      </c>
      <c r="H19" s="8">
        <v>96</v>
      </c>
      <c r="I19" s="8">
        <v>13</v>
      </c>
      <c r="J19" s="8">
        <v>99</v>
      </c>
      <c r="K19" s="9">
        <f t="shared" si="6"/>
        <v>0.45283018867924529</v>
      </c>
    </row>
    <row r="20" spans="1:11" x14ac:dyDescent="0.25">
      <c r="A20" s="18">
        <v>45139</v>
      </c>
      <c r="B20" s="21">
        <v>52309</v>
      </c>
      <c r="C20" s="21">
        <v>8154</v>
      </c>
      <c r="D20" s="14">
        <v>15</v>
      </c>
      <c r="E20" s="64">
        <v>5969</v>
      </c>
      <c r="F20" s="8">
        <v>73</v>
      </c>
      <c r="G20" s="8">
        <v>140</v>
      </c>
      <c r="H20" s="8">
        <v>90</v>
      </c>
      <c r="I20" s="8">
        <v>13</v>
      </c>
      <c r="J20" s="8">
        <v>94</v>
      </c>
      <c r="K20" s="9">
        <f t="shared" si="6"/>
        <v>0.6428571428571429</v>
      </c>
    </row>
    <row r="21" spans="1:11" x14ac:dyDescent="0.25">
      <c r="A21" s="18">
        <v>45170</v>
      </c>
      <c r="B21" s="21">
        <v>15673</v>
      </c>
      <c r="C21" s="21">
        <v>2147</v>
      </c>
      <c r="D21" s="14">
        <v>13</v>
      </c>
      <c r="E21" s="64">
        <v>1934</v>
      </c>
      <c r="F21" s="8">
        <v>90</v>
      </c>
      <c r="G21" s="8">
        <v>30</v>
      </c>
      <c r="H21" s="8">
        <v>25</v>
      </c>
      <c r="I21" s="8">
        <v>5</v>
      </c>
      <c r="J21" s="8">
        <v>27</v>
      </c>
      <c r="K21" s="9">
        <f t="shared" si="6"/>
        <v>0.83333333333333337</v>
      </c>
    </row>
    <row r="22" spans="1:11" x14ac:dyDescent="0.25">
      <c r="A22" s="19" t="s">
        <v>12</v>
      </c>
      <c r="B22" s="60">
        <f>SUM(B15:B21)</f>
        <v>182427</v>
      </c>
      <c r="C22" s="60">
        <f t="shared" ref="C22:J22" si="7">SUM(C15:C21)</f>
        <v>31046</v>
      </c>
      <c r="D22" s="63">
        <f>C22/B22</f>
        <v>0.17018314174985064</v>
      </c>
      <c r="E22" s="69">
        <f t="shared" si="7"/>
        <v>19328</v>
      </c>
      <c r="F22" s="12">
        <f>E22/C22</f>
        <v>0.62256007215100173</v>
      </c>
      <c r="G22" s="11">
        <f t="shared" si="7"/>
        <v>901</v>
      </c>
      <c r="H22" s="11">
        <f t="shared" si="7"/>
        <v>342</v>
      </c>
      <c r="I22" s="11">
        <f t="shared" si="7"/>
        <v>51</v>
      </c>
      <c r="J22" s="11">
        <f t="shared" si="7"/>
        <v>357</v>
      </c>
      <c r="K22" s="12">
        <f>H22/G22</f>
        <v>0.37957824639289678</v>
      </c>
    </row>
    <row r="23" spans="1:11" x14ac:dyDescent="0.25">
      <c r="A23" s="16"/>
      <c r="B23" s="20"/>
      <c r="C23" s="20"/>
      <c r="D23" s="16"/>
      <c r="E23" s="67"/>
    </row>
    <row r="24" spans="1:11" x14ac:dyDescent="0.25">
      <c r="A24" s="16" t="s">
        <v>14</v>
      </c>
      <c r="B24" s="20"/>
      <c r="C24" s="20"/>
      <c r="D24" s="16"/>
      <c r="E24" s="67"/>
    </row>
    <row r="25" spans="1:11" x14ac:dyDescent="0.25">
      <c r="A25" s="17" t="s">
        <v>15</v>
      </c>
      <c r="B25" s="61" t="s">
        <v>1</v>
      </c>
      <c r="C25" s="61" t="s">
        <v>2</v>
      </c>
      <c r="D25" s="17" t="s">
        <v>3</v>
      </c>
      <c r="E25" s="68" t="s">
        <v>4</v>
      </c>
      <c r="F25" s="10" t="s">
        <v>5</v>
      </c>
      <c r="G25" s="10" t="s">
        <v>6</v>
      </c>
      <c r="H25" s="10" t="s">
        <v>7</v>
      </c>
      <c r="I25" s="10" t="s">
        <v>8</v>
      </c>
      <c r="J25" s="10" t="s">
        <v>9</v>
      </c>
      <c r="K25" s="2" t="s">
        <v>57</v>
      </c>
    </row>
    <row r="26" spans="1:11" x14ac:dyDescent="0.25">
      <c r="A26" s="18">
        <v>45017</v>
      </c>
      <c r="B26" s="21">
        <v>8</v>
      </c>
      <c r="C26" s="21">
        <v>7</v>
      </c>
      <c r="D26" s="14">
        <v>87</v>
      </c>
      <c r="E26" s="64">
        <v>6</v>
      </c>
      <c r="F26" s="8">
        <v>85</v>
      </c>
      <c r="G26" s="8">
        <v>0</v>
      </c>
      <c r="H26" s="8">
        <v>0</v>
      </c>
      <c r="I26" s="8">
        <v>0</v>
      </c>
      <c r="J26" s="8">
        <v>0</v>
      </c>
      <c r="K26" s="9">
        <v>0</v>
      </c>
    </row>
    <row r="27" spans="1:11" x14ac:dyDescent="0.25">
      <c r="A27" s="18">
        <v>45047</v>
      </c>
      <c r="B27" s="21">
        <v>23</v>
      </c>
      <c r="C27" s="21">
        <v>15</v>
      </c>
      <c r="D27" s="14">
        <v>65</v>
      </c>
      <c r="E27" s="64">
        <v>11</v>
      </c>
      <c r="F27" s="8">
        <v>73</v>
      </c>
      <c r="G27" s="8">
        <v>0</v>
      </c>
      <c r="H27" s="8">
        <v>0</v>
      </c>
      <c r="I27" s="8">
        <v>0</v>
      </c>
      <c r="J27" s="8">
        <v>0</v>
      </c>
      <c r="K27" s="9">
        <v>0</v>
      </c>
    </row>
    <row r="28" spans="1:11" x14ac:dyDescent="0.25">
      <c r="A28" s="18">
        <v>45078</v>
      </c>
      <c r="B28" s="21">
        <v>162836</v>
      </c>
      <c r="C28" s="21">
        <v>10929</v>
      </c>
      <c r="D28" s="14">
        <v>6</v>
      </c>
      <c r="E28" s="64">
        <v>3166</v>
      </c>
      <c r="F28" s="8">
        <v>28</v>
      </c>
      <c r="G28" s="8">
        <v>80</v>
      </c>
      <c r="H28" s="8">
        <v>22</v>
      </c>
      <c r="I28" s="8">
        <v>9</v>
      </c>
      <c r="J28" s="8">
        <v>31</v>
      </c>
      <c r="K28" s="9">
        <f>H28/G28</f>
        <v>0.27500000000000002</v>
      </c>
    </row>
    <row r="29" spans="1:11" x14ac:dyDescent="0.25">
      <c r="A29" s="18">
        <v>45108</v>
      </c>
      <c r="B29" s="21">
        <v>255368</v>
      </c>
      <c r="C29" s="21">
        <v>13350</v>
      </c>
      <c r="D29" s="14">
        <v>5</v>
      </c>
      <c r="E29" s="64">
        <v>4622</v>
      </c>
      <c r="F29" s="8">
        <v>34</v>
      </c>
      <c r="G29" s="8">
        <v>104</v>
      </c>
      <c r="H29" s="8">
        <v>36</v>
      </c>
      <c r="I29" s="8">
        <v>14</v>
      </c>
      <c r="J29" s="8">
        <v>50</v>
      </c>
      <c r="K29" s="9">
        <f>H29/G29</f>
        <v>0.34615384615384615</v>
      </c>
    </row>
    <row r="30" spans="1:11" x14ac:dyDescent="0.25">
      <c r="A30" s="18">
        <v>45139</v>
      </c>
      <c r="B30" s="21">
        <v>251531</v>
      </c>
      <c r="C30" s="21">
        <v>8080</v>
      </c>
      <c r="D30" s="14">
        <v>3</v>
      </c>
      <c r="E30" s="64">
        <v>3445</v>
      </c>
      <c r="F30" s="8">
        <v>42</v>
      </c>
      <c r="G30" s="8">
        <v>62</v>
      </c>
      <c r="H30" s="8">
        <v>29</v>
      </c>
      <c r="I30" s="8">
        <v>11</v>
      </c>
      <c r="J30" s="8">
        <v>40</v>
      </c>
      <c r="K30" s="9">
        <f>H30/G30</f>
        <v>0.46774193548387094</v>
      </c>
    </row>
    <row r="31" spans="1:11" x14ac:dyDescent="0.25">
      <c r="A31" s="18">
        <v>45170</v>
      </c>
      <c r="B31" s="21">
        <v>12238</v>
      </c>
      <c r="C31" s="21">
        <v>418</v>
      </c>
      <c r="D31" s="14">
        <v>3</v>
      </c>
      <c r="E31" s="64">
        <v>356</v>
      </c>
      <c r="F31" s="8">
        <v>85</v>
      </c>
      <c r="G31" s="8">
        <v>4</v>
      </c>
      <c r="H31" s="8">
        <v>3</v>
      </c>
      <c r="I31" s="8">
        <v>1</v>
      </c>
      <c r="J31" s="8">
        <v>4</v>
      </c>
      <c r="K31" s="9">
        <f>H31/G31</f>
        <v>0.75</v>
      </c>
    </row>
    <row r="32" spans="1:11" x14ac:dyDescent="0.25">
      <c r="A32" s="19" t="s">
        <v>12</v>
      </c>
      <c r="B32" s="60">
        <f>SUM(B26:B31)</f>
        <v>682004</v>
      </c>
      <c r="C32" s="60">
        <v>39878</v>
      </c>
      <c r="D32" s="63">
        <f>C32/B32</f>
        <v>5.8471797819367628E-2</v>
      </c>
      <c r="E32" s="69">
        <v>12450</v>
      </c>
      <c r="F32" s="12">
        <f>E32/C32</f>
        <v>0.31220221676112142</v>
      </c>
      <c r="G32" s="11">
        <v>285</v>
      </c>
      <c r="H32" s="11">
        <v>96</v>
      </c>
      <c r="I32" s="11">
        <v>48</v>
      </c>
      <c r="J32" s="11">
        <v>142</v>
      </c>
      <c r="K32" s="81">
        <f>H32/G32</f>
        <v>0.33684210526315789</v>
      </c>
    </row>
    <row r="33" spans="1:11" x14ac:dyDescent="0.25">
      <c r="A33" s="16"/>
      <c r="D33" s="16"/>
      <c r="E33" s="67"/>
      <c r="K33" s="80"/>
    </row>
    <row r="34" spans="1:11" x14ac:dyDescent="0.25">
      <c r="A34" s="16"/>
      <c r="D34" s="16"/>
      <c r="E34" s="20"/>
    </row>
    <row r="35" spans="1:11" x14ac:dyDescent="0.25">
      <c r="A3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showGridLines="0" tabSelected="1" topLeftCell="C165" zoomScale="85" zoomScaleNormal="85" workbookViewId="0">
      <selection activeCell="I183" sqref="I183"/>
    </sheetView>
  </sheetViews>
  <sheetFormatPr defaultColWidth="15.5703125" defaultRowHeight="15" x14ac:dyDescent="0.25"/>
  <cols>
    <col min="1" max="1" width="21.42578125" customWidth="1"/>
    <col min="2" max="2" width="26.42578125" style="26" customWidth="1"/>
    <col min="3" max="3" width="17.5703125" style="16" customWidth="1"/>
    <col min="4" max="4" width="18.42578125" style="16" customWidth="1"/>
    <col min="5" max="5" width="18.42578125" style="26" customWidth="1"/>
    <col min="6" max="6" width="20.140625" style="15" customWidth="1"/>
    <col min="7" max="7" width="19.42578125" style="15" customWidth="1"/>
    <col min="8" max="8" width="20.7109375" style="15" customWidth="1"/>
    <col min="9" max="9" width="22.140625" style="15" customWidth="1"/>
    <col min="10" max="10" width="17.140625" style="15" customWidth="1"/>
    <col min="11" max="11" width="15.42578125" bestFit="1" customWidth="1"/>
    <col min="12" max="12" width="23" bestFit="1" customWidth="1"/>
    <col min="16" max="16" width="16.42578125" customWidth="1"/>
    <col min="17" max="17" width="20.140625" customWidth="1"/>
    <col min="22" max="22" width="21" bestFit="1" customWidth="1"/>
  </cols>
  <sheetData>
    <row r="1" spans="2:11" hidden="1" x14ac:dyDescent="0.25">
      <c r="B1" s="25" t="s">
        <v>13</v>
      </c>
      <c r="C1" s="49"/>
      <c r="D1" s="31"/>
      <c r="E1" s="25"/>
      <c r="F1" s="27"/>
      <c r="G1" s="27"/>
      <c r="H1" s="27"/>
      <c r="I1" s="27"/>
      <c r="J1" s="27"/>
      <c r="K1" s="23"/>
    </row>
    <row r="2" spans="2:11" hidden="1" x14ac:dyDescent="0.25">
      <c r="B2" s="25" t="s">
        <v>16</v>
      </c>
      <c r="C2" s="48"/>
      <c r="D2" s="28"/>
      <c r="E2" s="25"/>
      <c r="F2" s="27"/>
      <c r="G2" s="27"/>
      <c r="H2" s="27"/>
      <c r="I2" s="27"/>
      <c r="J2" s="27"/>
      <c r="K2" s="23"/>
    </row>
    <row r="3" spans="2:11" hidden="1" x14ac:dyDescent="0.25">
      <c r="C3" s="28"/>
      <c r="D3" s="28"/>
      <c r="E3" s="25"/>
      <c r="F3" s="27"/>
      <c r="G3" s="27"/>
      <c r="H3" s="27"/>
      <c r="I3" s="27"/>
      <c r="J3" s="27"/>
      <c r="K3" s="23"/>
    </row>
    <row r="4" spans="2:11" hidden="1" x14ac:dyDescent="0.25">
      <c r="B4" s="25" t="s">
        <v>38</v>
      </c>
      <c r="C4" s="50" t="s">
        <v>17</v>
      </c>
      <c r="D4" s="28"/>
      <c r="E4" s="25"/>
      <c r="F4" s="27"/>
      <c r="G4" s="27"/>
      <c r="H4" s="27"/>
      <c r="I4" s="27"/>
      <c r="J4" s="27"/>
      <c r="K4" s="23"/>
    </row>
    <row r="5" spans="2:11" ht="30" hidden="1" x14ac:dyDescent="0.25">
      <c r="B5" s="25"/>
      <c r="C5" s="29" t="s">
        <v>18</v>
      </c>
      <c r="D5" s="29" t="s">
        <v>19</v>
      </c>
      <c r="E5" s="33" t="s">
        <v>20</v>
      </c>
      <c r="F5" s="13" t="s">
        <v>21</v>
      </c>
      <c r="G5" s="13" t="s">
        <v>22</v>
      </c>
      <c r="H5" s="13" t="s">
        <v>23</v>
      </c>
      <c r="I5" s="13" t="s">
        <v>24</v>
      </c>
      <c r="J5" s="13" t="s">
        <v>39</v>
      </c>
      <c r="K5" s="23"/>
    </row>
    <row r="6" spans="2:11" hidden="1" x14ac:dyDescent="0.25">
      <c r="B6" s="25"/>
      <c r="C6" s="30" t="s">
        <v>25</v>
      </c>
      <c r="D6" s="51">
        <v>78573</v>
      </c>
      <c r="E6" s="34">
        <v>15250421.009</v>
      </c>
      <c r="F6" s="35">
        <v>220322084.53799999</v>
      </c>
      <c r="G6" s="36">
        <v>2998.1355624323878</v>
      </c>
      <c r="H6" s="36">
        <v>74644.349999999991</v>
      </c>
      <c r="I6" s="36">
        <v>223793880.26964998</v>
      </c>
      <c r="J6" s="37"/>
      <c r="K6" s="86"/>
    </row>
    <row r="7" spans="2:11" hidden="1" x14ac:dyDescent="0.25">
      <c r="B7" s="25"/>
      <c r="C7" s="30" t="s">
        <v>26</v>
      </c>
      <c r="D7" s="51">
        <v>6341</v>
      </c>
      <c r="E7" s="34">
        <v>3254093.6719999998</v>
      </c>
      <c r="F7" s="35">
        <v>615454673.278</v>
      </c>
      <c r="G7" s="36">
        <v>97572.743565683661</v>
      </c>
      <c r="H7" s="36">
        <v>6341</v>
      </c>
      <c r="I7" s="36">
        <v>618708766.95000005</v>
      </c>
      <c r="J7" s="37"/>
      <c r="K7" s="23"/>
    </row>
    <row r="8" spans="2:11" hidden="1" x14ac:dyDescent="0.25">
      <c r="B8" s="25"/>
      <c r="C8" s="32" t="s">
        <v>12</v>
      </c>
      <c r="D8" s="32"/>
      <c r="E8" s="38"/>
      <c r="F8" s="39">
        <v>835776757.81599998</v>
      </c>
      <c r="G8" s="39"/>
      <c r="H8" s="39"/>
      <c r="I8" s="39">
        <v>842502647.21965003</v>
      </c>
      <c r="J8" s="40">
        <v>6725889.4036500454</v>
      </c>
      <c r="K8" s="23"/>
    </row>
    <row r="9" spans="2:11" hidden="1" x14ac:dyDescent="0.25">
      <c r="B9" s="25"/>
      <c r="C9" s="28"/>
      <c r="D9" s="28"/>
      <c r="E9" s="25"/>
      <c r="F9" s="27"/>
      <c r="G9" s="27"/>
      <c r="H9" s="27"/>
      <c r="I9" s="41">
        <v>8.0474712185413279E-3</v>
      </c>
      <c r="J9" s="27"/>
      <c r="K9" s="23"/>
    </row>
    <row r="10" spans="2:11" hidden="1" x14ac:dyDescent="0.25">
      <c r="B10" s="25" t="s">
        <v>38</v>
      </c>
      <c r="C10" s="24" t="s">
        <v>27</v>
      </c>
      <c r="D10" s="28"/>
      <c r="E10" s="25"/>
      <c r="F10" s="27"/>
      <c r="G10" s="27"/>
      <c r="H10" s="42"/>
      <c r="I10" s="27"/>
      <c r="J10" s="27"/>
      <c r="K10" s="23"/>
    </row>
    <row r="11" spans="2:11" ht="30" hidden="1" x14ac:dyDescent="0.25">
      <c r="B11" s="25"/>
      <c r="C11" s="29" t="s">
        <v>18</v>
      </c>
      <c r="D11" s="29" t="s">
        <v>19</v>
      </c>
      <c r="E11" s="33" t="s">
        <v>20</v>
      </c>
      <c r="F11" s="13" t="s">
        <v>21</v>
      </c>
      <c r="G11" s="13" t="s">
        <v>22</v>
      </c>
      <c r="H11" s="13" t="s">
        <v>28</v>
      </c>
      <c r="I11" s="13" t="s">
        <v>24</v>
      </c>
      <c r="J11" s="13" t="s">
        <v>39</v>
      </c>
      <c r="K11" s="23"/>
    </row>
    <row r="12" spans="2:11" hidden="1" x14ac:dyDescent="0.25">
      <c r="B12" s="25"/>
      <c r="C12" s="30" t="s">
        <v>29</v>
      </c>
      <c r="D12" s="52">
        <v>78872</v>
      </c>
      <c r="E12" s="34">
        <v>52360068.531999998</v>
      </c>
      <c r="F12" s="35">
        <v>291381593.75800002</v>
      </c>
      <c r="G12" s="36">
        <v>4358.2217046607166</v>
      </c>
      <c r="H12" s="36">
        <v>72705.600000000006</v>
      </c>
      <c r="I12" s="36">
        <v>316867123.97038025</v>
      </c>
      <c r="J12" s="37"/>
      <c r="K12" s="23"/>
    </row>
    <row r="13" spans="2:11" hidden="1" x14ac:dyDescent="0.25">
      <c r="B13" s="25"/>
      <c r="C13" s="30" t="s">
        <v>30</v>
      </c>
      <c r="D13" s="52">
        <v>4086</v>
      </c>
      <c r="E13" s="34">
        <v>16229698.372</v>
      </c>
      <c r="F13" s="36">
        <v>544395164.05900002</v>
      </c>
      <c r="G13" s="36">
        <v>137206.28057537935</v>
      </c>
      <c r="H13" s="36">
        <v>4130</v>
      </c>
      <c r="I13" s="36">
        <v>566661938.77631676</v>
      </c>
      <c r="J13" s="37"/>
      <c r="K13" s="23"/>
    </row>
    <row r="14" spans="2:11" hidden="1" x14ac:dyDescent="0.25">
      <c r="B14" s="25"/>
      <c r="C14" s="32" t="s">
        <v>12</v>
      </c>
      <c r="D14" s="32"/>
      <c r="E14" s="38"/>
      <c r="F14" s="39">
        <v>835776757.81700003</v>
      </c>
      <c r="G14" s="39"/>
      <c r="H14" s="39"/>
      <c r="I14" s="39">
        <v>883529062.74669695</v>
      </c>
      <c r="J14" s="43">
        <v>47752304.929696918</v>
      </c>
      <c r="K14" s="23"/>
    </row>
    <row r="15" spans="2:11" hidden="1" x14ac:dyDescent="0.25">
      <c r="B15" s="25"/>
      <c r="C15" s="28"/>
      <c r="D15" s="28"/>
      <c r="E15" s="25"/>
      <c r="F15" s="27"/>
      <c r="G15" s="27"/>
      <c r="H15" s="27"/>
      <c r="I15" s="41">
        <v>5.713523914498788E-2</v>
      </c>
      <c r="J15" s="27"/>
      <c r="K15" s="23"/>
    </row>
    <row r="16" spans="2:11" hidden="1" x14ac:dyDescent="0.25">
      <c r="B16" s="25" t="s">
        <v>38</v>
      </c>
      <c r="C16" s="24" t="s">
        <v>31</v>
      </c>
      <c r="D16" s="28"/>
      <c r="E16" s="25"/>
      <c r="F16" s="27"/>
      <c r="G16" s="27"/>
      <c r="H16" s="27"/>
      <c r="I16" s="27"/>
      <c r="J16" s="27"/>
      <c r="K16" s="23"/>
    </row>
    <row r="17" spans="2:11" ht="30" hidden="1" x14ac:dyDescent="0.25">
      <c r="C17" s="29" t="s">
        <v>18</v>
      </c>
      <c r="D17" s="29" t="s">
        <v>19</v>
      </c>
      <c r="E17" s="33" t="s">
        <v>20</v>
      </c>
      <c r="F17" s="13" t="s">
        <v>21</v>
      </c>
      <c r="G17" s="13" t="s">
        <v>22</v>
      </c>
      <c r="H17" s="13" t="s">
        <v>32</v>
      </c>
      <c r="I17" s="13" t="s">
        <v>24</v>
      </c>
      <c r="J17" s="13" t="s">
        <v>39</v>
      </c>
      <c r="K17" s="23"/>
    </row>
    <row r="18" spans="2:11" hidden="1" x14ac:dyDescent="0.25">
      <c r="B18" s="25"/>
      <c r="C18" s="30" t="s">
        <v>33</v>
      </c>
      <c r="D18" s="53">
        <v>82483</v>
      </c>
      <c r="E18" s="34">
        <v>124517947.021</v>
      </c>
      <c r="F18" s="35">
        <v>382075311.33999997</v>
      </c>
      <c r="G18" s="36">
        <v>6141.789924723882</v>
      </c>
      <c r="H18" s="36">
        <v>65986.399999999994</v>
      </c>
      <c r="I18" s="36">
        <v>405274606.68879992</v>
      </c>
      <c r="J18" s="37"/>
      <c r="K18" s="23"/>
    </row>
    <row r="19" spans="2:11" hidden="1" x14ac:dyDescent="0.25">
      <c r="B19" s="25"/>
      <c r="C19" s="30" t="s">
        <v>34</v>
      </c>
      <c r="D19" s="53">
        <v>2431</v>
      </c>
      <c r="E19" s="34">
        <v>33231507.015999999</v>
      </c>
      <c r="F19" s="35">
        <v>453701446.477</v>
      </c>
      <c r="G19" s="36">
        <v>200301.50287659399</v>
      </c>
      <c r="H19" s="36">
        <v>2431</v>
      </c>
      <c r="I19" s="36">
        <v>486932953.49299997</v>
      </c>
      <c r="J19" s="37"/>
      <c r="K19" s="23"/>
    </row>
    <row r="20" spans="2:11" hidden="1" x14ac:dyDescent="0.25">
      <c r="B20" s="25"/>
      <c r="C20" s="32" t="s">
        <v>12</v>
      </c>
      <c r="D20" s="32"/>
      <c r="E20" s="38"/>
      <c r="F20" s="39">
        <v>835776757.81699991</v>
      </c>
      <c r="G20" s="39"/>
      <c r="H20" s="39"/>
      <c r="I20" s="39">
        <v>892207560.18179989</v>
      </c>
      <c r="J20" s="40">
        <v>56430802.364799976</v>
      </c>
      <c r="K20" s="23"/>
    </row>
    <row r="21" spans="2:11" hidden="1" x14ac:dyDescent="0.25">
      <c r="B21" s="25"/>
      <c r="C21" s="28"/>
      <c r="D21" s="28"/>
      <c r="E21" s="25"/>
      <c r="F21" s="27"/>
      <c r="G21" s="27"/>
      <c r="H21" s="27"/>
      <c r="I21" s="41">
        <v>6.7518989774487073E-2</v>
      </c>
      <c r="J21" s="27"/>
      <c r="K21" s="23"/>
    </row>
    <row r="22" spans="2:11" hidden="1" x14ac:dyDescent="0.25">
      <c r="B22" s="25"/>
      <c r="C22" s="28"/>
      <c r="D22" s="28"/>
      <c r="E22" s="25"/>
      <c r="F22" s="27"/>
      <c r="G22" s="27"/>
      <c r="H22" s="27"/>
      <c r="I22" s="41"/>
      <c r="J22" s="27"/>
      <c r="K22" s="23"/>
    </row>
    <row r="23" spans="2:11" hidden="1" x14ac:dyDescent="0.25">
      <c r="B23" s="25"/>
      <c r="C23" s="28"/>
      <c r="D23" s="28"/>
      <c r="E23" s="25"/>
      <c r="F23" s="27"/>
      <c r="G23" s="27"/>
      <c r="H23" s="27"/>
      <c r="I23" s="27"/>
      <c r="J23" s="27"/>
      <c r="K23" s="23"/>
    </row>
    <row r="24" spans="2:11" hidden="1" x14ac:dyDescent="0.25">
      <c r="B24" s="25" t="s">
        <v>38</v>
      </c>
      <c r="C24" s="24" t="s">
        <v>35</v>
      </c>
      <c r="D24" s="28"/>
      <c r="E24" s="25">
        <v>25</v>
      </c>
      <c r="F24" s="41"/>
      <c r="G24" s="27"/>
      <c r="H24" s="27"/>
      <c r="I24" s="27"/>
      <c r="J24" s="27"/>
      <c r="K24" s="23"/>
    </row>
    <row r="25" spans="2:11" ht="30" hidden="1" x14ac:dyDescent="0.25">
      <c r="C25" s="29" t="s">
        <v>18</v>
      </c>
      <c r="D25" s="29" t="s">
        <v>19</v>
      </c>
      <c r="E25" s="33" t="s">
        <v>20</v>
      </c>
      <c r="F25" s="13" t="s">
        <v>21</v>
      </c>
      <c r="G25" s="13" t="s">
        <v>22</v>
      </c>
      <c r="H25" s="13" t="s">
        <v>32</v>
      </c>
      <c r="I25" s="13" t="s">
        <v>24</v>
      </c>
      <c r="J25" s="13" t="s">
        <v>39</v>
      </c>
      <c r="K25" s="23"/>
    </row>
    <row r="26" spans="2:11" hidden="1" x14ac:dyDescent="0.25">
      <c r="B26" s="25"/>
      <c r="C26" s="30" t="s">
        <v>31</v>
      </c>
      <c r="D26" s="53">
        <v>82483</v>
      </c>
      <c r="E26" s="44">
        <v>124517947.02059108</v>
      </c>
      <c r="F26" s="36">
        <v>382075311.3395099</v>
      </c>
      <c r="G26" s="36">
        <v>6141.7899247129835</v>
      </c>
      <c r="H26" s="36">
        <v>62843.48</v>
      </c>
      <c r="I26" s="36">
        <v>385971452.29790187</v>
      </c>
      <c r="J26" s="37"/>
      <c r="K26" s="204"/>
    </row>
    <row r="27" spans="2:11" hidden="1" x14ac:dyDescent="0.25">
      <c r="B27" s="25"/>
      <c r="C27" s="30" t="s">
        <v>36</v>
      </c>
      <c r="D27" s="53">
        <v>2431</v>
      </c>
      <c r="E27" s="44">
        <v>226061347.35964513</v>
      </c>
      <c r="F27" s="36">
        <v>453701446.47702056</v>
      </c>
      <c r="G27" s="36">
        <v>279622.70416975138</v>
      </c>
      <c r="H27" s="36">
        <v>2024.8000000000002</v>
      </c>
      <c r="I27" s="36">
        <v>566180051.40291262</v>
      </c>
      <c r="J27" s="37"/>
      <c r="K27" s="23"/>
    </row>
    <row r="28" spans="2:11" hidden="1" x14ac:dyDescent="0.25">
      <c r="B28" s="25"/>
      <c r="C28" s="32" t="s">
        <v>12</v>
      </c>
      <c r="D28" s="32"/>
      <c r="E28" s="38"/>
      <c r="F28" s="39">
        <v>835776757.81653047</v>
      </c>
      <c r="G28" s="39"/>
      <c r="H28" s="39"/>
      <c r="I28" s="39">
        <v>952151503.70081449</v>
      </c>
      <c r="J28" s="40">
        <v>116374745.88428402</v>
      </c>
      <c r="K28" s="23"/>
    </row>
    <row r="29" spans="2:11" hidden="1" x14ac:dyDescent="0.25">
      <c r="B29" s="25"/>
      <c r="C29" s="28"/>
      <c r="D29" s="28"/>
      <c r="E29" s="25"/>
      <c r="F29" s="27"/>
      <c r="G29" s="27"/>
      <c r="H29" s="27"/>
      <c r="I29" s="41">
        <v>0.13924142397583947</v>
      </c>
      <c r="J29" s="27"/>
      <c r="K29" s="23"/>
    </row>
    <row r="30" spans="2:11" ht="15.75" hidden="1" thickBot="1" x14ac:dyDescent="0.3">
      <c r="B30" s="25"/>
      <c r="C30" s="28"/>
      <c r="D30" s="28"/>
      <c r="E30" s="25"/>
      <c r="F30" s="27"/>
      <c r="G30" s="27"/>
      <c r="H30" s="27"/>
      <c r="I30" s="41"/>
      <c r="J30" s="27"/>
      <c r="K30" s="23"/>
    </row>
    <row r="31" spans="2:11" ht="15.75" hidden="1" thickTop="1" x14ac:dyDescent="0.25">
      <c r="B31" s="88"/>
      <c r="C31" s="89"/>
      <c r="D31" s="89"/>
      <c r="E31" s="90"/>
      <c r="F31" s="91"/>
      <c r="G31" s="91"/>
      <c r="H31" s="91"/>
      <c r="I31" s="91"/>
      <c r="J31" s="91"/>
      <c r="K31" s="92"/>
    </row>
    <row r="32" spans="2:11" hidden="1" x14ac:dyDescent="0.25">
      <c r="B32" s="93" t="s">
        <v>38</v>
      </c>
      <c r="C32" s="77" t="s">
        <v>104</v>
      </c>
      <c r="D32" s="28"/>
      <c r="E32" s="25"/>
      <c r="F32" s="27"/>
      <c r="G32" s="27"/>
      <c r="H32" s="27"/>
      <c r="I32" s="27"/>
      <c r="J32" s="27"/>
      <c r="K32" s="94"/>
    </row>
    <row r="33" spans="1:11" ht="30" hidden="1" x14ac:dyDescent="0.25">
      <c r="B33" s="95"/>
      <c r="C33" s="29" t="s">
        <v>18</v>
      </c>
      <c r="D33" s="29" t="s">
        <v>19</v>
      </c>
      <c r="E33" s="33" t="s">
        <v>20</v>
      </c>
      <c r="F33" s="13" t="s">
        <v>21</v>
      </c>
      <c r="G33" s="13" t="s">
        <v>22</v>
      </c>
      <c r="H33" s="13" t="s">
        <v>105</v>
      </c>
      <c r="I33" s="13" t="s">
        <v>24</v>
      </c>
      <c r="J33" s="13" t="s">
        <v>39</v>
      </c>
      <c r="K33" s="94"/>
    </row>
    <row r="34" spans="1:11" hidden="1" x14ac:dyDescent="0.25">
      <c r="B34" s="93"/>
      <c r="C34" s="30" t="s">
        <v>101</v>
      </c>
      <c r="D34" s="53">
        <v>82483</v>
      </c>
      <c r="E34" s="44">
        <v>114779079.641</v>
      </c>
      <c r="F34" s="36">
        <v>382075311.33999997</v>
      </c>
      <c r="G34" s="36">
        <f>SUM(E34,F34)/D34</f>
        <v>6023.7187175660429</v>
      </c>
      <c r="H34" s="36">
        <f>SUM(I99:I105)</f>
        <v>65986.399999999994</v>
      </c>
      <c r="I34" s="36">
        <f>G34*H34</f>
        <v>397483512.78479987</v>
      </c>
      <c r="J34" s="37"/>
      <c r="K34" s="94"/>
    </row>
    <row r="35" spans="1:11" hidden="1" x14ac:dyDescent="0.25">
      <c r="B35" s="93"/>
      <c r="C35" s="30" t="s">
        <v>100</v>
      </c>
      <c r="D35" s="53">
        <v>2031</v>
      </c>
      <c r="E35" s="44">
        <v>136548507.73899999</v>
      </c>
      <c r="F35" s="85">
        <v>245244010.06553149</v>
      </c>
      <c r="G35" s="36">
        <f>SUM(E35,F35)/D35</f>
        <v>187982.52969203913</v>
      </c>
      <c r="H35" s="36">
        <f>SUM(I106:I107)</f>
        <v>1827.9</v>
      </c>
      <c r="I35" s="36">
        <f>G35*H35</f>
        <v>343613266.02407831</v>
      </c>
      <c r="J35" s="37"/>
      <c r="K35" s="94"/>
    </row>
    <row r="36" spans="1:11" hidden="1" x14ac:dyDescent="0.25">
      <c r="B36" s="93"/>
      <c r="C36" s="30" t="s">
        <v>102</v>
      </c>
      <c r="D36" s="53">
        <v>400</v>
      </c>
      <c r="E36" s="44">
        <v>48084548.600000001</v>
      </c>
      <c r="F36" s="36">
        <v>208457436.41100001</v>
      </c>
      <c r="G36" s="36">
        <f>SUM(E36,F36)/D36</f>
        <v>641354.9625275</v>
      </c>
      <c r="H36" s="36">
        <v>400</v>
      </c>
      <c r="I36" s="36">
        <f>G36*H36</f>
        <v>256541985.01100001</v>
      </c>
      <c r="J36" s="37"/>
      <c r="K36" s="94"/>
    </row>
    <row r="37" spans="1:11" hidden="1" x14ac:dyDescent="0.25">
      <c r="B37" s="93"/>
      <c r="C37" s="32" t="s">
        <v>12</v>
      </c>
      <c r="D37" s="32"/>
      <c r="E37" s="38"/>
      <c r="F37" s="39">
        <v>835776757.81653142</v>
      </c>
      <c r="G37" s="39"/>
      <c r="H37" s="39"/>
      <c r="I37" s="39">
        <f>SUM(I34:I36)</f>
        <v>997638763.81987822</v>
      </c>
      <c r="J37" s="40">
        <f>I37-F37</f>
        <v>161862006.0033468</v>
      </c>
      <c r="K37" s="94"/>
    </row>
    <row r="38" spans="1:11" ht="15.75" hidden="1" thickBot="1" x14ac:dyDescent="0.3">
      <c r="B38" s="96"/>
      <c r="C38" s="97"/>
      <c r="D38" s="97"/>
      <c r="E38" s="98"/>
      <c r="F38" s="99"/>
      <c r="G38" s="99"/>
      <c r="H38" s="99"/>
      <c r="I38" s="100">
        <f>J37/F37</f>
        <v>0.1936665556795473</v>
      </c>
      <c r="J38" s="99"/>
      <c r="K38" s="101"/>
    </row>
    <row r="39" spans="1:11" ht="15.75" hidden="1" thickTop="1" x14ac:dyDescent="0.25">
      <c r="B39" s="25"/>
      <c r="C39" s="28"/>
      <c r="D39" s="28"/>
      <c r="E39" s="25"/>
      <c r="F39" s="27"/>
      <c r="G39" s="27"/>
      <c r="H39" s="27"/>
      <c r="I39" s="41"/>
      <c r="J39" s="27"/>
      <c r="K39" s="23"/>
    </row>
    <row r="40" spans="1:11" ht="15.75" hidden="1" thickBot="1" x14ac:dyDescent="0.3">
      <c r="B40" s="25"/>
      <c r="C40" s="28"/>
      <c r="D40" s="28"/>
      <c r="E40" s="25"/>
      <c r="F40" s="27"/>
      <c r="G40" s="27"/>
      <c r="H40" s="27"/>
      <c r="I40" s="41"/>
      <c r="J40" s="27"/>
      <c r="K40" s="23"/>
    </row>
    <row r="41" spans="1:11" ht="22.5" hidden="1" customHeight="1" thickTop="1" x14ac:dyDescent="0.25">
      <c r="B41" s="88" t="s">
        <v>38</v>
      </c>
      <c r="C41" s="136" t="s">
        <v>126</v>
      </c>
      <c r="D41" s="89"/>
      <c r="E41" s="90"/>
      <c r="F41" s="91"/>
      <c r="G41" s="91"/>
      <c r="H41" s="91"/>
      <c r="I41" s="91"/>
      <c r="J41" s="91"/>
      <c r="K41" s="137"/>
    </row>
    <row r="42" spans="1:11" ht="30" hidden="1" x14ac:dyDescent="0.25">
      <c r="A42" s="121"/>
      <c r="B42" s="95"/>
      <c r="C42" s="29" t="s">
        <v>18</v>
      </c>
      <c r="D42" s="29" t="s">
        <v>19</v>
      </c>
      <c r="E42" s="33" t="s">
        <v>20</v>
      </c>
      <c r="F42" s="13" t="s">
        <v>21</v>
      </c>
      <c r="G42" s="13" t="s">
        <v>22</v>
      </c>
      <c r="H42" s="13" t="s">
        <v>105</v>
      </c>
      <c r="I42" s="13" t="s">
        <v>24</v>
      </c>
      <c r="J42" s="13" t="s">
        <v>39</v>
      </c>
      <c r="K42" s="138"/>
    </row>
    <row r="43" spans="1:11" hidden="1" x14ac:dyDescent="0.25">
      <c r="B43" s="93"/>
      <c r="C43" s="30" t="s">
        <v>101</v>
      </c>
      <c r="D43" s="139">
        <v>82483</v>
      </c>
      <c r="E43" s="44">
        <v>114779079.641</v>
      </c>
      <c r="F43" s="36">
        <v>382075311.33999997</v>
      </c>
      <c r="G43" s="36">
        <f>SUM(E43,F43)/D43</f>
        <v>6023.7187175660429</v>
      </c>
      <c r="H43" s="36">
        <v>65986.399999999994</v>
      </c>
      <c r="I43" s="36">
        <f>G43*H43</f>
        <v>397483512.78479987</v>
      </c>
      <c r="J43" s="37"/>
      <c r="K43" s="138"/>
    </row>
    <row r="44" spans="1:11" hidden="1" x14ac:dyDescent="0.25">
      <c r="B44" s="93"/>
      <c r="C44" s="30" t="s">
        <v>100</v>
      </c>
      <c r="D44" s="139">
        <v>2031</v>
      </c>
      <c r="E44" s="44">
        <v>122302019.241</v>
      </c>
      <c r="F44" s="85">
        <v>245244010.06553149</v>
      </c>
      <c r="G44" s="36">
        <f>SUM(E44,F44)/D44</f>
        <v>180968.0104906605</v>
      </c>
      <c r="H44" s="36">
        <v>1827.9</v>
      </c>
      <c r="I44" s="36">
        <f>G44*H44</f>
        <v>330791426.37587833</v>
      </c>
      <c r="J44" s="37"/>
      <c r="K44" s="138"/>
    </row>
    <row r="45" spans="1:11" hidden="1" x14ac:dyDescent="0.25">
      <c r="B45" s="93"/>
      <c r="C45" s="30" t="s">
        <v>102</v>
      </c>
      <c r="D45" s="139">
        <v>400</v>
      </c>
      <c r="E45" s="44">
        <v>48084548.600000001</v>
      </c>
      <c r="F45" s="36">
        <v>208457436.41100001</v>
      </c>
      <c r="G45" s="36">
        <f>SUM(E45,F45)/D45</f>
        <v>641354.9625275</v>
      </c>
      <c r="H45" s="36">
        <v>400</v>
      </c>
      <c r="I45" s="36">
        <f>G45*H45</f>
        <v>256541985.01100001</v>
      </c>
      <c r="J45" s="37"/>
      <c r="K45" s="138"/>
    </row>
    <row r="46" spans="1:11" hidden="1" x14ac:dyDescent="0.25">
      <c r="B46" s="93"/>
      <c r="C46" s="32" t="s">
        <v>12</v>
      </c>
      <c r="D46" s="32"/>
      <c r="E46" s="38"/>
      <c r="F46" s="39">
        <v>835776757.81653142</v>
      </c>
      <c r="G46" s="39"/>
      <c r="H46" s="39"/>
      <c r="I46" s="39">
        <f>SUM(I43:I45)</f>
        <v>984816924.17167819</v>
      </c>
      <c r="J46" s="40">
        <f>I46-F46</f>
        <v>149040166.35514677</v>
      </c>
      <c r="K46" s="138"/>
    </row>
    <row r="47" spans="1:11" ht="15.75" hidden="1" thickBot="1" x14ac:dyDescent="0.3">
      <c r="B47" s="96"/>
      <c r="C47" s="97"/>
      <c r="D47" s="97"/>
      <c r="E47" s="98"/>
      <c r="F47" s="99"/>
      <c r="G47" s="99"/>
      <c r="H47" s="99"/>
      <c r="I47" s="100">
        <f>J46/F46</f>
        <v>0.17832533025267958</v>
      </c>
      <c r="J47" s="99"/>
      <c r="K47" s="140"/>
    </row>
    <row r="48" spans="1:11" ht="15.75" hidden="1" thickTop="1" x14ac:dyDescent="0.25">
      <c r="B48" s="25"/>
      <c r="C48" s="28"/>
      <c r="D48" s="28"/>
      <c r="E48" s="25"/>
      <c r="F48" s="27"/>
      <c r="G48" s="27"/>
      <c r="H48" s="27"/>
      <c r="I48" s="41"/>
      <c r="J48" s="27"/>
      <c r="K48" s="23"/>
    </row>
    <row r="49" spans="2:11" hidden="1" x14ac:dyDescent="0.25">
      <c r="B49" s="25" t="s">
        <v>37</v>
      </c>
      <c r="C49" s="48"/>
      <c r="D49" s="28"/>
      <c r="E49" s="25"/>
      <c r="F49" s="27"/>
      <c r="G49" s="27"/>
      <c r="H49" s="27"/>
      <c r="I49" s="27"/>
      <c r="J49" s="27"/>
      <c r="K49" s="23"/>
    </row>
    <row r="50" spans="2:11" hidden="1" x14ac:dyDescent="0.25">
      <c r="B50" s="25"/>
      <c r="C50" s="28"/>
      <c r="D50" s="28"/>
      <c r="E50" s="25"/>
      <c r="F50" s="27"/>
      <c r="G50" s="27"/>
      <c r="H50" s="27"/>
      <c r="I50" s="27"/>
      <c r="J50" s="27"/>
      <c r="K50" s="23"/>
    </row>
    <row r="51" spans="2:11" hidden="1" x14ac:dyDescent="0.25">
      <c r="B51" s="25" t="s">
        <v>38</v>
      </c>
      <c r="C51" s="24" t="s">
        <v>17</v>
      </c>
      <c r="D51" s="28"/>
      <c r="E51" s="25"/>
      <c r="F51" s="27"/>
      <c r="G51" s="27"/>
      <c r="H51" s="27"/>
      <c r="I51" s="27"/>
      <c r="J51" s="27"/>
      <c r="K51" s="23"/>
    </row>
    <row r="52" spans="2:11" ht="30" hidden="1" x14ac:dyDescent="0.25">
      <c r="B52" s="25"/>
      <c r="C52" s="29" t="s">
        <v>18</v>
      </c>
      <c r="D52" s="29" t="s">
        <v>19</v>
      </c>
      <c r="E52" s="33" t="s">
        <v>20</v>
      </c>
      <c r="F52" s="13" t="s">
        <v>21</v>
      </c>
      <c r="G52" s="13" t="s">
        <v>22</v>
      </c>
      <c r="H52" s="13" t="s">
        <v>23</v>
      </c>
      <c r="I52" s="13" t="s">
        <v>24</v>
      </c>
      <c r="J52" s="13" t="s">
        <v>39</v>
      </c>
      <c r="K52" s="23"/>
    </row>
    <row r="53" spans="2:11" hidden="1" x14ac:dyDescent="0.25">
      <c r="B53" s="25"/>
      <c r="C53" s="30" t="s">
        <v>25</v>
      </c>
      <c r="D53" s="54">
        <v>78573</v>
      </c>
      <c r="E53" s="34">
        <v>26585632.530999999</v>
      </c>
      <c r="F53" s="35">
        <v>178528676.47600001</v>
      </c>
      <c r="G53" s="36">
        <v>2610.4935411273591</v>
      </c>
      <c r="H53" s="36">
        <v>74644.349999999991</v>
      </c>
      <c r="I53" s="36">
        <v>194858593.55664995</v>
      </c>
      <c r="J53" s="37"/>
      <c r="K53" s="23"/>
    </row>
    <row r="54" spans="2:11" hidden="1" x14ac:dyDescent="0.25">
      <c r="B54" s="25"/>
      <c r="C54" s="30" t="s">
        <v>26</v>
      </c>
      <c r="D54" s="54">
        <v>6341</v>
      </c>
      <c r="E54" s="34">
        <v>19800519.620999999</v>
      </c>
      <c r="F54" s="35">
        <v>141455609.227</v>
      </c>
      <c r="G54" s="36">
        <v>25430.709485570096</v>
      </c>
      <c r="H54" s="36">
        <v>6341</v>
      </c>
      <c r="I54" s="36">
        <v>161256128.84799999</v>
      </c>
      <c r="J54" s="37"/>
      <c r="K54" s="23"/>
    </row>
    <row r="55" spans="2:11" hidden="1" x14ac:dyDescent="0.25">
      <c r="B55" s="25"/>
      <c r="C55" s="32" t="s">
        <v>12</v>
      </c>
      <c r="D55" s="32"/>
      <c r="E55" s="38"/>
      <c r="F55" s="39">
        <v>319984285.70300001</v>
      </c>
      <c r="G55" s="39"/>
      <c r="H55" s="39"/>
      <c r="I55" s="39">
        <v>356114722.40464997</v>
      </c>
      <c r="J55" s="40">
        <v>36130436.701649964</v>
      </c>
      <c r="K55" s="23"/>
    </row>
    <row r="56" spans="2:11" hidden="1" x14ac:dyDescent="0.25">
      <c r="B56" s="25"/>
      <c r="C56" s="28"/>
      <c r="D56" s="28"/>
      <c r="E56" s="25"/>
      <c r="F56" s="27"/>
      <c r="G56" s="27"/>
      <c r="H56" s="27"/>
      <c r="I56" s="41">
        <v>0.11291315953929429</v>
      </c>
      <c r="J56" s="27"/>
      <c r="K56" s="23"/>
    </row>
    <row r="57" spans="2:11" hidden="1" x14ac:dyDescent="0.25">
      <c r="B57" s="25" t="s">
        <v>38</v>
      </c>
      <c r="C57" s="24" t="s">
        <v>27</v>
      </c>
      <c r="D57" s="28"/>
      <c r="E57" s="25"/>
      <c r="F57" s="27"/>
      <c r="G57" s="27"/>
      <c r="H57" s="42"/>
      <c r="I57" s="27"/>
      <c r="J57" s="27"/>
      <c r="K57" s="23"/>
    </row>
    <row r="58" spans="2:11" ht="30" hidden="1" x14ac:dyDescent="0.25">
      <c r="B58" s="25"/>
      <c r="C58" s="29" t="s">
        <v>18</v>
      </c>
      <c r="D58" s="29" t="s">
        <v>19</v>
      </c>
      <c r="E58" s="33" t="s">
        <v>20</v>
      </c>
      <c r="F58" s="13" t="s">
        <v>21</v>
      </c>
      <c r="G58" s="13" t="s">
        <v>22</v>
      </c>
      <c r="H58" s="13" t="s">
        <v>28</v>
      </c>
      <c r="I58" s="13" t="s">
        <v>24</v>
      </c>
      <c r="J58" s="13" t="s">
        <v>39</v>
      </c>
    </row>
    <row r="59" spans="2:11" hidden="1" x14ac:dyDescent="0.25">
      <c r="B59" s="25"/>
      <c r="C59" s="30" t="s">
        <v>29</v>
      </c>
      <c r="D59" s="53">
        <v>78872</v>
      </c>
      <c r="E59" s="34">
        <v>119262444.735</v>
      </c>
      <c r="F59" s="35">
        <v>218377055.89300001</v>
      </c>
      <c r="G59" s="36">
        <v>4280.8537963789431</v>
      </c>
      <c r="H59" s="36">
        <v>72705.600000000006</v>
      </c>
      <c r="I59" s="36">
        <v>311242043.77800894</v>
      </c>
      <c r="J59" s="37"/>
    </row>
    <row r="60" spans="2:11" hidden="1" x14ac:dyDescent="0.25">
      <c r="B60" s="25"/>
      <c r="C60" s="30" t="s">
        <v>30</v>
      </c>
      <c r="D60" s="53">
        <v>4086</v>
      </c>
      <c r="E60" s="34">
        <v>88988741.240999997</v>
      </c>
      <c r="F60" s="35">
        <v>101607229.81</v>
      </c>
      <c r="G60" s="36">
        <v>46646.101578805676</v>
      </c>
      <c r="H60" s="36">
        <v>4130</v>
      </c>
      <c r="I60" s="36">
        <v>192648399.52046743</v>
      </c>
      <c r="J60" s="37"/>
    </row>
    <row r="61" spans="2:11" hidden="1" x14ac:dyDescent="0.25">
      <c r="B61" s="25"/>
      <c r="C61" s="32" t="s">
        <v>12</v>
      </c>
      <c r="D61" s="32"/>
      <c r="E61" s="38"/>
      <c r="F61" s="39">
        <v>319984285.70300001</v>
      </c>
      <c r="G61" s="39"/>
      <c r="H61" s="39"/>
      <c r="I61" s="39">
        <v>503890443.29847634</v>
      </c>
      <c r="J61" s="40">
        <v>183906157.59547633</v>
      </c>
    </row>
    <row r="62" spans="2:11" hidden="1" x14ac:dyDescent="0.25">
      <c r="B62" s="25"/>
      <c r="C62" s="28"/>
      <c r="D62" s="28"/>
      <c r="E62" s="25"/>
      <c r="F62" s="27"/>
      <c r="G62" s="27"/>
      <c r="H62" s="27"/>
      <c r="I62" s="41">
        <v>0.57473496609821839</v>
      </c>
      <c r="J62" s="27"/>
    </row>
    <row r="63" spans="2:11" hidden="1" x14ac:dyDescent="0.25">
      <c r="B63" s="25" t="s">
        <v>38</v>
      </c>
      <c r="C63" s="24" t="s">
        <v>31</v>
      </c>
      <c r="D63" s="28"/>
      <c r="E63" s="25"/>
      <c r="F63" s="27"/>
      <c r="G63" s="27"/>
      <c r="H63" s="27"/>
      <c r="I63" s="27"/>
      <c r="J63" s="27"/>
    </row>
    <row r="64" spans="2:11" ht="30" hidden="1" x14ac:dyDescent="0.25">
      <c r="B64" s="25"/>
      <c r="C64" s="29" t="s">
        <v>18</v>
      </c>
      <c r="D64" s="29" t="s">
        <v>19</v>
      </c>
      <c r="E64" s="33" t="s">
        <v>20</v>
      </c>
      <c r="F64" s="13" t="s">
        <v>21</v>
      </c>
      <c r="G64" s="13" t="s">
        <v>22</v>
      </c>
      <c r="H64" s="13" t="s">
        <v>32</v>
      </c>
      <c r="I64" s="13" t="s">
        <v>24</v>
      </c>
      <c r="J64" s="13" t="s">
        <v>39</v>
      </c>
    </row>
    <row r="65" spans="2:11" hidden="1" x14ac:dyDescent="0.25">
      <c r="B65" s="25"/>
      <c r="C65" s="30" t="s">
        <v>33</v>
      </c>
      <c r="D65" s="53">
        <v>82483</v>
      </c>
      <c r="E65" s="34">
        <v>284893716.49299997</v>
      </c>
      <c r="F65" s="35">
        <v>254236291.93099999</v>
      </c>
      <c r="G65" s="36">
        <v>6536.2560579028404</v>
      </c>
      <c r="H65" s="36">
        <v>65986.399999999994</v>
      </c>
      <c r="I65" s="36">
        <v>431304006.73919994</v>
      </c>
      <c r="J65" s="37"/>
    </row>
    <row r="66" spans="2:11" hidden="1" x14ac:dyDescent="0.25">
      <c r="B66" s="25"/>
      <c r="C66" s="30" t="s">
        <v>34</v>
      </c>
      <c r="D66" s="53">
        <v>2431</v>
      </c>
      <c r="E66" s="34">
        <v>149287844.67699999</v>
      </c>
      <c r="F66" s="35">
        <v>65747993.772</v>
      </c>
      <c r="G66" s="36">
        <v>88455.713060057591</v>
      </c>
      <c r="H66" s="36">
        <v>3790.2</v>
      </c>
      <c r="I66" s="36">
        <v>335264843.64023024</v>
      </c>
      <c r="J66" s="37"/>
    </row>
    <row r="67" spans="2:11" hidden="1" x14ac:dyDescent="0.25">
      <c r="B67" s="25"/>
      <c r="C67" s="32" t="s">
        <v>12</v>
      </c>
      <c r="D67" s="32"/>
      <c r="E67" s="38"/>
      <c r="F67" s="39">
        <v>319984285.70300001</v>
      </c>
      <c r="G67" s="39"/>
      <c r="H67" s="39"/>
      <c r="I67" s="39">
        <v>766568850.37943017</v>
      </c>
      <c r="J67" s="40">
        <v>446584564.67643017</v>
      </c>
    </row>
    <row r="68" spans="2:11" hidden="1" x14ac:dyDescent="0.25">
      <c r="B68" s="25"/>
      <c r="C68" s="28"/>
      <c r="D68" s="28"/>
      <c r="E68" s="25"/>
      <c r="F68" s="27"/>
      <c r="G68" s="27"/>
      <c r="H68" s="27"/>
      <c r="I68" s="41">
        <v>1.3956453008162308</v>
      </c>
      <c r="J68" s="27"/>
    </row>
    <row r="69" spans="2:11" hidden="1" x14ac:dyDescent="0.25">
      <c r="B69" s="25"/>
      <c r="C69" s="28"/>
      <c r="D69" s="28"/>
      <c r="E69" s="25"/>
      <c r="F69" s="27"/>
      <c r="G69" s="27"/>
      <c r="H69" s="27"/>
      <c r="I69" s="41"/>
      <c r="J69" s="27"/>
      <c r="K69" s="23"/>
    </row>
    <row r="70" spans="2:11" hidden="1" x14ac:dyDescent="0.25">
      <c r="B70" s="25" t="s">
        <v>38</v>
      </c>
      <c r="C70" s="24" t="s">
        <v>35</v>
      </c>
      <c r="D70" s="28"/>
      <c r="E70" s="25"/>
      <c r="F70" s="27"/>
      <c r="G70" s="27"/>
      <c r="H70" s="27"/>
      <c r="I70" s="27"/>
      <c r="J70" s="27"/>
      <c r="K70" s="23"/>
    </row>
    <row r="71" spans="2:11" ht="30" hidden="1" x14ac:dyDescent="0.25">
      <c r="B71" s="25"/>
      <c r="C71" s="29" t="s">
        <v>18</v>
      </c>
      <c r="D71" s="29" t="s">
        <v>19</v>
      </c>
      <c r="E71" s="33" t="s">
        <v>20</v>
      </c>
      <c r="F71" s="13" t="s">
        <v>21</v>
      </c>
      <c r="G71" s="13" t="s">
        <v>22</v>
      </c>
      <c r="H71" s="13" t="s">
        <v>32</v>
      </c>
      <c r="I71" s="13" t="s">
        <v>24</v>
      </c>
      <c r="J71" s="13" t="s">
        <v>39</v>
      </c>
      <c r="K71" s="23"/>
    </row>
    <row r="72" spans="2:11" hidden="1" x14ac:dyDescent="0.25">
      <c r="B72" s="25"/>
      <c r="C72" s="30" t="s">
        <v>31</v>
      </c>
      <c r="D72" s="54">
        <v>82483</v>
      </c>
      <c r="E72" s="44">
        <v>284893716.49290198</v>
      </c>
      <c r="F72" s="36">
        <v>254236291.93128362</v>
      </c>
      <c r="G72" s="36">
        <v>6536.2560579050914</v>
      </c>
      <c r="H72" s="45">
        <v>62843.479999999996</v>
      </c>
      <c r="I72" s="36">
        <v>410761076.84983742</v>
      </c>
      <c r="J72" s="37"/>
      <c r="K72" s="23"/>
    </row>
    <row r="73" spans="2:11" hidden="1" x14ac:dyDescent="0.25">
      <c r="B73" s="25"/>
      <c r="C73" s="30" t="s">
        <v>36</v>
      </c>
      <c r="D73" s="54">
        <v>2431</v>
      </c>
      <c r="E73" s="44">
        <v>529105174.41483921</v>
      </c>
      <c r="F73" s="36">
        <v>65747993.771612778</v>
      </c>
      <c r="G73" s="36">
        <v>244694.84499648376</v>
      </c>
      <c r="H73" s="45">
        <v>2024.8000000000002</v>
      </c>
      <c r="I73" s="36">
        <v>495458122.14888036</v>
      </c>
      <c r="J73" s="37"/>
      <c r="K73" s="23"/>
    </row>
    <row r="74" spans="2:11" hidden="1" x14ac:dyDescent="0.25">
      <c r="B74" s="25"/>
      <c r="C74" s="32" t="s">
        <v>12</v>
      </c>
      <c r="D74" s="32"/>
      <c r="E74" s="46"/>
      <c r="F74" s="39">
        <v>319984285.70289642</v>
      </c>
      <c r="G74" s="47"/>
      <c r="H74" s="47"/>
      <c r="I74" s="39">
        <v>906219198.99871778</v>
      </c>
      <c r="J74" s="40">
        <v>586234913.29582143</v>
      </c>
      <c r="K74" s="23"/>
    </row>
    <row r="75" spans="2:11" hidden="1" x14ac:dyDescent="0.25">
      <c r="B75" s="25"/>
      <c r="C75" s="28"/>
      <c r="D75" s="28"/>
      <c r="E75" s="25"/>
      <c r="F75" s="27"/>
      <c r="G75" s="27"/>
      <c r="H75" s="27"/>
      <c r="I75" s="41">
        <v>1.8320740720378288</v>
      </c>
      <c r="J75" s="27"/>
      <c r="K75" s="23"/>
    </row>
    <row r="76" spans="2:11" ht="15.75" hidden="1" thickBot="1" x14ac:dyDescent="0.3">
      <c r="B76" s="25"/>
      <c r="C76" s="28"/>
      <c r="D76" s="28"/>
      <c r="E76" s="25"/>
      <c r="F76" s="27"/>
      <c r="G76" s="27"/>
      <c r="H76" s="27"/>
      <c r="I76" s="41"/>
      <c r="J76" s="27"/>
      <c r="K76" s="23"/>
    </row>
    <row r="77" spans="2:11" hidden="1" x14ac:dyDescent="0.25">
      <c r="B77" s="102"/>
      <c r="C77" s="103"/>
      <c r="D77" s="103"/>
      <c r="E77" s="104"/>
      <c r="F77" s="105"/>
      <c r="G77" s="105"/>
      <c r="H77" s="105"/>
      <c r="I77" s="105"/>
      <c r="J77" s="105"/>
      <c r="K77" s="106"/>
    </row>
    <row r="78" spans="2:11" hidden="1" x14ac:dyDescent="0.25">
      <c r="B78" s="107" t="s">
        <v>38</v>
      </c>
      <c r="C78" s="77" t="s">
        <v>104</v>
      </c>
      <c r="D78" s="28"/>
      <c r="E78" s="25"/>
      <c r="F78" s="27"/>
      <c r="G78" s="27"/>
      <c r="H78" s="27"/>
      <c r="I78" s="27"/>
      <c r="J78" s="27"/>
      <c r="K78" s="108"/>
    </row>
    <row r="79" spans="2:11" ht="30" hidden="1" x14ac:dyDescent="0.25">
      <c r="B79" s="109"/>
      <c r="C79" s="29" t="s">
        <v>18</v>
      </c>
      <c r="D79" s="29" t="s">
        <v>19</v>
      </c>
      <c r="E79" s="33" t="s">
        <v>20</v>
      </c>
      <c r="F79" s="13" t="s">
        <v>21</v>
      </c>
      <c r="G79" s="13" t="s">
        <v>22</v>
      </c>
      <c r="H79" s="13" t="s">
        <v>105</v>
      </c>
      <c r="I79" s="13" t="s">
        <v>24</v>
      </c>
      <c r="J79" s="13" t="s">
        <v>39</v>
      </c>
      <c r="K79" s="108"/>
    </row>
    <row r="80" spans="2:11" hidden="1" x14ac:dyDescent="0.25">
      <c r="B80" s="107"/>
      <c r="C80" s="30" t="s">
        <v>101</v>
      </c>
      <c r="D80" s="53">
        <v>82483</v>
      </c>
      <c r="E80" s="44">
        <v>284657906.36400002</v>
      </c>
      <c r="F80" s="36">
        <v>254236291.93128362</v>
      </c>
      <c r="G80" s="36">
        <f>SUM(E80,F80)/D80</f>
        <v>6533.3971642069719</v>
      </c>
      <c r="H80" s="36">
        <v>65986.399999999994</v>
      </c>
      <c r="I80" s="36">
        <f>G80*H80</f>
        <v>431115358.63622689</v>
      </c>
      <c r="J80" s="37"/>
      <c r="K80" s="108"/>
    </row>
    <row r="81" spans="2:11" hidden="1" x14ac:dyDescent="0.25">
      <c r="B81" s="107"/>
      <c r="C81" s="30" t="s">
        <v>100</v>
      </c>
      <c r="D81" s="53">
        <v>2031</v>
      </c>
      <c r="E81" s="44">
        <v>314806610.87699997</v>
      </c>
      <c r="F81" s="85">
        <v>47473635</v>
      </c>
      <c r="G81" s="36">
        <f>SUM(E81,F81)/D81</f>
        <v>178375.3057001477</v>
      </c>
      <c r="H81" s="36">
        <v>1827.9</v>
      </c>
      <c r="I81" s="36">
        <f>G81*H81</f>
        <v>326052221.28930002</v>
      </c>
      <c r="J81" s="120"/>
      <c r="K81" s="108"/>
    </row>
    <row r="82" spans="2:11" hidden="1" x14ac:dyDescent="0.25">
      <c r="B82" s="107"/>
      <c r="C82" s="30" t="s">
        <v>102</v>
      </c>
      <c r="D82" s="53">
        <v>400</v>
      </c>
      <c r="E82" s="44">
        <v>155765050.32800001</v>
      </c>
      <c r="F82" s="36">
        <v>18274358.771612823</v>
      </c>
      <c r="G82" s="36">
        <f>SUM(E82,F82)/D82</f>
        <v>435098.52274903207</v>
      </c>
      <c r="H82" s="36">
        <v>400</v>
      </c>
      <c r="I82" s="36">
        <f>G82*H82</f>
        <v>174039409.09961283</v>
      </c>
      <c r="J82" s="37"/>
      <c r="K82" s="108"/>
    </row>
    <row r="83" spans="2:11" hidden="1" x14ac:dyDescent="0.25">
      <c r="B83" s="107"/>
      <c r="C83" s="32" t="s">
        <v>12</v>
      </c>
      <c r="D83" s="32"/>
      <c r="E83" s="38"/>
      <c r="F83" s="39">
        <v>319984285.70289642</v>
      </c>
      <c r="G83" s="39"/>
      <c r="H83" s="39"/>
      <c r="I83" s="39">
        <f>SUM(I80:I82)</f>
        <v>931206989.02513969</v>
      </c>
      <c r="J83" s="40">
        <f>I83-F83</f>
        <v>611222703.32224321</v>
      </c>
      <c r="K83" s="108"/>
    </row>
    <row r="84" spans="2:11" ht="15.75" hidden="1" thickBot="1" x14ac:dyDescent="0.3">
      <c r="B84" s="110"/>
      <c r="C84" s="111"/>
      <c r="D84" s="111"/>
      <c r="E84" s="112"/>
      <c r="F84" s="113"/>
      <c r="G84" s="113"/>
      <c r="H84" s="113"/>
      <c r="I84" s="114">
        <f>J83/F83</f>
        <v>1.9101647506832882</v>
      </c>
      <c r="J84" s="113"/>
      <c r="K84" s="115"/>
    </row>
    <row r="85" spans="2:11" hidden="1" x14ac:dyDescent="0.25"/>
    <row r="86" spans="2:11" ht="15.75" hidden="1" thickBot="1" x14ac:dyDescent="0.3"/>
    <row r="87" spans="2:11" hidden="1" x14ac:dyDescent="0.25">
      <c r="B87" s="233"/>
      <c r="C87" s="234"/>
      <c r="D87" s="234"/>
      <c r="E87" s="235"/>
      <c r="F87" s="236"/>
      <c r="G87" s="236"/>
      <c r="H87" s="236"/>
      <c r="I87" s="236"/>
      <c r="J87" s="236"/>
      <c r="K87" s="237"/>
    </row>
    <row r="88" spans="2:11" hidden="1" x14ac:dyDescent="0.25">
      <c r="B88" s="238" t="s">
        <v>38</v>
      </c>
      <c r="C88" s="77" t="s">
        <v>126</v>
      </c>
      <c r="D88" s="28"/>
      <c r="E88" s="25"/>
      <c r="F88" s="27"/>
      <c r="G88" s="27"/>
      <c r="H88" s="27"/>
      <c r="I88" s="27"/>
      <c r="J88" s="27"/>
      <c r="K88" s="239"/>
    </row>
    <row r="89" spans="2:11" ht="30" hidden="1" x14ac:dyDescent="0.25">
      <c r="B89" s="240"/>
      <c r="C89" s="29" t="s">
        <v>18</v>
      </c>
      <c r="D89" s="29" t="s">
        <v>19</v>
      </c>
      <c r="E89" s="33" t="s">
        <v>20</v>
      </c>
      <c r="F89" s="13" t="s">
        <v>21</v>
      </c>
      <c r="G89" s="13" t="s">
        <v>22</v>
      </c>
      <c r="H89" s="13" t="s">
        <v>105</v>
      </c>
      <c r="I89" s="13" t="s">
        <v>24</v>
      </c>
      <c r="J89" s="13" t="s">
        <v>39</v>
      </c>
      <c r="K89" s="239"/>
    </row>
    <row r="90" spans="2:11" hidden="1" x14ac:dyDescent="0.25">
      <c r="B90" s="238"/>
      <c r="C90" s="30" t="s">
        <v>101</v>
      </c>
      <c r="D90" s="53">
        <v>82483</v>
      </c>
      <c r="E90" s="44">
        <v>284657906.36400002</v>
      </c>
      <c r="F90" s="36">
        <v>254236291.93128362</v>
      </c>
      <c r="G90" s="36">
        <f>SUM(E90,F90)/D90</f>
        <v>6533.3971642069719</v>
      </c>
      <c r="H90" s="36">
        <v>65986.399999999994</v>
      </c>
      <c r="I90" s="36">
        <f>G90*H90</f>
        <v>431115358.63622689</v>
      </c>
      <c r="J90" s="37"/>
      <c r="K90" s="239"/>
    </row>
    <row r="91" spans="2:11" hidden="1" x14ac:dyDescent="0.25">
      <c r="B91" s="238"/>
      <c r="C91" s="30" t="s">
        <v>100</v>
      </c>
      <c r="D91" s="53">
        <v>2031</v>
      </c>
      <c r="E91" s="44">
        <v>292248195.25099999</v>
      </c>
      <c r="F91" s="85">
        <v>47473635</v>
      </c>
      <c r="G91" s="36">
        <f>SUM(E91,F91)/D91</f>
        <v>167268.2571398326</v>
      </c>
      <c r="H91" s="36">
        <v>1827.9</v>
      </c>
      <c r="I91" s="36">
        <f>G91*H91</f>
        <v>305749647.22589999</v>
      </c>
      <c r="J91" s="120"/>
      <c r="K91" s="239"/>
    </row>
    <row r="92" spans="2:11" hidden="1" x14ac:dyDescent="0.25">
      <c r="B92" s="238"/>
      <c r="C92" s="30" t="s">
        <v>102</v>
      </c>
      <c r="D92" s="53">
        <v>400</v>
      </c>
      <c r="E92" s="44">
        <v>155765050.32800001</v>
      </c>
      <c r="F92" s="36">
        <v>18274358.771612823</v>
      </c>
      <c r="G92" s="36">
        <f>SUM(E92,F92)/D92</f>
        <v>435098.52274903207</v>
      </c>
      <c r="H92" s="36">
        <v>400</v>
      </c>
      <c r="I92" s="36">
        <f>G92*H92</f>
        <v>174039409.09961283</v>
      </c>
      <c r="J92" s="37"/>
      <c r="K92" s="239"/>
    </row>
    <row r="93" spans="2:11" hidden="1" x14ac:dyDescent="0.25">
      <c r="B93" s="238"/>
      <c r="C93" s="32" t="s">
        <v>12</v>
      </c>
      <c r="D93" s="32"/>
      <c r="E93" s="38"/>
      <c r="F93" s="39">
        <v>319984285.70289642</v>
      </c>
      <c r="G93" s="39"/>
      <c r="H93" s="39"/>
      <c r="I93" s="39">
        <f>SUM(I90:I92)</f>
        <v>910904414.96173966</v>
      </c>
      <c r="J93" s="40">
        <f>I93-F93</f>
        <v>590920129.25884318</v>
      </c>
      <c r="K93" s="239"/>
    </row>
    <row r="94" spans="2:11" ht="15.75" hidden="1" thickBot="1" x14ac:dyDescent="0.3">
      <c r="B94" s="241"/>
      <c r="C94" s="242"/>
      <c r="D94" s="242"/>
      <c r="E94" s="243"/>
      <c r="F94" s="244"/>
      <c r="G94" s="244"/>
      <c r="H94" s="244"/>
      <c r="I94" s="245">
        <f>J93/F93</f>
        <v>1.8467160909505074</v>
      </c>
      <c r="J94" s="244"/>
      <c r="K94" s="246"/>
    </row>
    <row r="95" spans="2:11" hidden="1" x14ac:dyDescent="0.25"/>
    <row r="96" spans="2:11" hidden="1" x14ac:dyDescent="0.25"/>
    <row r="97" spans="3:9" hidden="1" x14ac:dyDescent="0.25">
      <c r="C97"/>
      <c r="D97"/>
      <c r="E97"/>
      <c r="F97"/>
      <c r="G97"/>
      <c r="H97"/>
    </row>
    <row r="98" spans="3:9" hidden="1" x14ac:dyDescent="0.25">
      <c r="C98" s="8" t="s">
        <v>127</v>
      </c>
      <c r="D98" s="8" t="s">
        <v>55</v>
      </c>
      <c r="E98" s="8" t="s">
        <v>43</v>
      </c>
      <c r="F98" s="8" t="s">
        <v>44</v>
      </c>
      <c r="G98" s="8" t="s">
        <v>31</v>
      </c>
      <c r="H98" s="8" t="s">
        <v>45</v>
      </c>
      <c r="I98" s="55" t="s">
        <v>103</v>
      </c>
    </row>
    <row r="99" spans="3:9" hidden="1" x14ac:dyDescent="0.25">
      <c r="C99" s="8" t="s">
        <v>128</v>
      </c>
      <c r="D99" s="8">
        <v>14114</v>
      </c>
      <c r="E99" s="22">
        <f>0.95*D99</f>
        <v>13408.3</v>
      </c>
      <c r="F99" s="22">
        <f t="shared" ref="F99:F104" si="0">0.9*D99</f>
        <v>12702.6</v>
      </c>
      <c r="G99" s="22">
        <f>0.8*D99</f>
        <v>11291.2</v>
      </c>
      <c r="H99" s="22">
        <f>0.8*E99</f>
        <v>10726.64</v>
      </c>
      <c r="I99" s="87">
        <f t="shared" ref="I99:I105" si="1">0.8*D99</f>
        <v>11291.2</v>
      </c>
    </row>
    <row r="100" spans="3:9" hidden="1" x14ac:dyDescent="0.25">
      <c r="C100" s="8" t="s">
        <v>46</v>
      </c>
      <c r="D100" s="8">
        <v>42146</v>
      </c>
      <c r="E100" s="22">
        <f>0.95*D100</f>
        <v>40038.699999999997</v>
      </c>
      <c r="F100" s="22">
        <f t="shared" si="0"/>
        <v>37931.4</v>
      </c>
      <c r="G100" s="22">
        <f t="shared" ref="G100:H105" si="2">0.8*D100</f>
        <v>33716.800000000003</v>
      </c>
      <c r="H100" s="22">
        <f t="shared" si="2"/>
        <v>32030.959999999999</v>
      </c>
      <c r="I100" s="87">
        <f t="shared" si="1"/>
        <v>33716.800000000003</v>
      </c>
    </row>
    <row r="101" spans="3:9" hidden="1" x14ac:dyDescent="0.25">
      <c r="C101" s="8" t="s">
        <v>47</v>
      </c>
      <c r="D101" s="8">
        <v>14327</v>
      </c>
      <c r="E101" s="22">
        <f>0.95*D101</f>
        <v>13610.65</v>
      </c>
      <c r="F101" s="22">
        <f t="shared" si="0"/>
        <v>12894.300000000001</v>
      </c>
      <c r="G101" s="22">
        <f t="shared" si="2"/>
        <v>11461.6</v>
      </c>
      <c r="H101" s="22">
        <f t="shared" si="2"/>
        <v>10888.52</v>
      </c>
      <c r="I101" s="87">
        <f t="shared" si="1"/>
        <v>11461.6</v>
      </c>
    </row>
    <row r="102" spans="3:9" hidden="1" x14ac:dyDescent="0.25">
      <c r="C102" s="8" t="s">
        <v>48</v>
      </c>
      <c r="D102" s="8">
        <v>4004</v>
      </c>
      <c r="E102" s="22">
        <f>0.95*D102</f>
        <v>3803.7999999999997</v>
      </c>
      <c r="F102" s="22">
        <f t="shared" si="0"/>
        <v>3603.6</v>
      </c>
      <c r="G102" s="22">
        <f t="shared" si="2"/>
        <v>3203.2000000000003</v>
      </c>
      <c r="H102" s="22">
        <f t="shared" si="2"/>
        <v>3043.04</v>
      </c>
      <c r="I102" s="87">
        <f t="shared" si="1"/>
        <v>3203.2000000000003</v>
      </c>
    </row>
    <row r="103" spans="3:9" hidden="1" x14ac:dyDescent="0.25">
      <c r="C103" s="8" t="s">
        <v>49</v>
      </c>
      <c r="D103" s="8">
        <v>3982</v>
      </c>
      <c r="E103" s="22">
        <f>0.95*D103</f>
        <v>3782.8999999999996</v>
      </c>
      <c r="F103" s="22">
        <f t="shared" si="0"/>
        <v>3583.8</v>
      </c>
      <c r="G103" s="22">
        <f t="shared" si="2"/>
        <v>3185.6000000000004</v>
      </c>
      <c r="H103" s="22">
        <f t="shared" si="2"/>
        <v>3026.3199999999997</v>
      </c>
      <c r="I103" s="87">
        <f t="shared" si="1"/>
        <v>3185.6000000000004</v>
      </c>
    </row>
    <row r="104" spans="3:9" hidden="1" x14ac:dyDescent="0.25">
      <c r="C104" s="8" t="s">
        <v>50</v>
      </c>
      <c r="D104" s="8">
        <v>2211</v>
      </c>
      <c r="E104" s="8">
        <f>D104</f>
        <v>2211</v>
      </c>
      <c r="F104" s="22">
        <f t="shared" si="0"/>
        <v>1989.9</v>
      </c>
      <c r="G104" s="22">
        <f t="shared" si="2"/>
        <v>1768.8000000000002</v>
      </c>
      <c r="H104" s="22">
        <f t="shared" si="2"/>
        <v>1768.8000000000002</v>
      </c>
      <c r="I104" s="87">
        <f t="shared" si="1"/>
        <v>1768.8000000000002</v>
      </c>
    </row>
    <row r="105" spans="3:9" hidden="1" x14ac:dyDescent="0.25">
      <c r="C105" s="8" t="s">
        <v>51</v>
      </c>
      <c r="D105" s="8">
        <v>1699</v>
      </c>
      <c r="E105" s="8">
        <f t="shared" ref="E105:H108" si="3">D105</f>
        <v>1699</v>
      </c>
      <c r="F105" s="22">
        <f>E105</f>
        <v>1699</v>
      </c>
      <c r="G105" s="22">
        <f t="shared" si="2"/>
        <v>1359.2</v>
      </c>
      <c r="H105" s="22">
        <f t="shared" si="2"/>
        <v>1359.2</v>
      </c>
      <c r="I105" s="87">
        <f t="shared" si="1"/>
        <v>1359.2</v>
      </c>
    </row>
    <row r="106" spans="3:9" hidden="1" x14ac:dyDescent="0.25">
      <c r="C106" s="8" t="s">
        <v>52</v>
      </c>
      <c r="D106" s="8">
        <v>1182</v>
      </c>
      <c r="E106" s="8">
        <f t="shared" si="3"/>
        <v>1182</v>
      </c>
      <c r="F106" s="22">
        <f t="shared" si="3"/>
        <v>1182</v>
      </c>
      <c r="G106" s="22">
        <f>F106</f>
        <v>1182</v>
      </c>
      <c r="H106" s="22">
        <f>D106*0.8</f>
        <v>945.6</v>
      </c>
      <c r="I106" s="87">
        <f>0.9*D106</f>
        <v>1063.8</v>
      </c>
    </row>
    <row r="107" spans="3:9" hidden="1" x14ac:dyDescent="0.25">
      <c r="C107" s="8" t="s">
        <v>53</v>
      </c>
      <c r="D107" s="8">
        <v>849</v>
      </c>
      <c r="E107" s="8">
        <f t="shared" si="3"/>
        <v>849</v>
      </c>
      <c r="F107" s="22">
        <f t="shared" si="3"/>
        <v>849</v>
      </c>
      <c r="G107" s="22">
        <f t="shared" si="3"/>
        <v>849</v>
      </c>
      <c r="H107" s="22">
        <f>D107*0.8</f>
        <v>679.2</v>
      </c>
      <c r="I107" s="87">
        <f>0.9*D107</f>
        <v>764.1</v>
      </c>
    </row>
    <row r="108" spans="3:9" hidden="1" x14ac:dyDescent="0.25">
      <c r="C108" s="8" t="s">
        <v>54</v>
      </c>
      <c r="D108" s="8">
        <v>400</v>
      </c>
      <c r="E108" s="8">
        <f t="shared" si="3"/>
        <v>400</v>
      </c>
      <c r="F108" s="22">
        <f t="shared" si="3"/>
        <v>400</v>
      </c>
      <c r="G108" s="22">
        <f t="shared" si="3"/>
        <v>400</v>
      </c>
      <c r="H108" s="22">
        <f t="shared" si="3"/>
        <v>400</v>
      </c>
      <c r="I108" s="87">
        <v>400</v>
      </c>
    </row>
    <row r="109" spans="3:9" hidden="1" x14ac:dyDescent="0.25">
      <c r="C109"/>
      <c r="D109"/>
      <c r="E109"/>
      <c r="F109"/>
      <c r="G109"/>
      <c r="H109"/>
    </row>
    <row r="110" spans="3:9" hidden="1" x14ac:dyDescent="0.25">
      <c r="C110"/>
      <c r="D110"/>
      <c r="E110"/>
      <c r="F110" s="78"/>
      <c r="G110"/>
      <c r="H110"/>
    </row>
    <row r="111" spans="3:9" hidden="1" x14ac:dyDescent="0.25"/>
    <row r="112" spans="3:9" hidden="1" x14ac:dyDescent="0.25"/>
    <row r="113" spans="4:8" hidden="1" x14ac:dyDescent="0.25"/>
    <row r="114" spans="4:8" hidden="1" x14ac:dyDescent="0.25"/>
    <row r="115" spans="4:8" hidden="1" x14ac:dyDescent="0.25"/>
    <row r="116" spans="4:8" hidden="1" x14ac:dyDescent="0.25"/>
    <row r="117" spans="4:8" hidden="1" x14ac:dyDescent="0.25"/>
    <row r="118" spans="4:8" hidden="1" x14ac:dyDescent="0.25"/>
    <row r="119" spans="4:8" ht="15.75" hidden="1" thickBot="1" x14ac:dyDescent="0.3">
      <c r="D119" s="16">
        <f>16/30</f>
        <v>0.53333333333333333</v>
      </c>
    </row>
    <row r="120" spans="4:8" ht="16.5" hidden="1" thickTop="1" thickBot="1" x14ac:dyDescent="0.3">
      <c r="G120" s="118" t="s">
        <v>106</v>
      </c>
      <c r="H120" s="119" t="s">
        <v>107</v>
      </c>
    </row>
    <row r="121" spans="4:8" ht="16.5" hidden="1" thickTop="1" thickBot="1" x14ac:dyDescent="0.3">
      <c r="G121" s="117" t="s">
        <v>108</v>
      </c>
      <c r="H121" s="117" t="s">
        <v>31</v>
      </c>
    </row>
    <row r="122" spans="4:8" ht="16.5" hidden="1" thickTop="1" thickBot="1" x14ac:dyDescent="0.3">
      <c r="G122" s="116" t="s">
        <v>109</v>
      </c>
      <c r="H122" s="117" t="s">
        <v>110</v>
      </c>
    </row>
    <row r="123" spans="4:8" ht="16.5" hidden="1" thickTop="1" thickBot="1" x14ac:dyDescent="0.3">
      <c r="G123" s="116" t="s">
        <v>111</v>
      </c>
      <c r="H123" s="116" t="s">
        <v>112</v>
      </c>
    </row>
    <row r="124" spans="4:8" ht="15.75" hidden="1" thickTop="1" x14ac:dyDescent="0.25">
      <c r="G124" s="26"/>
    </row>
    <row r="125" spans="4:8" hidden="1" x14ac:dyDescent="0.25"/>
    <row r="126" spans="4:8" hidden="1" x14ac:dyDescent="0.25"/>
    <row r="127" spans="4:8" hidden="1" x14ac:dyDescent="0.25"/>
    <row r="128" spans="4:8" hidden="1" x14ac:dyDescent="0.25"/>
    <row r="129" spans="2:14" hidden="1" x14ac:dyDescent="0.25"/>
    <row r="130" spans="2:14" hidden="1" x14ac:dyDescent="0.25"/>
    <row r="131" spans="2:14" hidden="1" x14ac:dyDescent="0.25"/>
    <row r="132" spans="2:14" hidden="1" x14ac:dyDescent="0.25">
      <c r="B132"/>
      <c r="C132"/>
      <c r="D132"/>
      <c r="E132"/>
      <c r="F132"/>
      <c r="G132"/>
      <c r="H132"/>
      <c r="I132"/>
      <c r="J132"/>
    </row>
    <row r="133" spans="2:14" hidden="1" x14ac:dyDescent="0.25">
      <c r="B133"/>
      <c r="C133"/>
      <c r="D133"/>
      <c r="E133"/>
      <c r="F133"/>
      <c r="G133"/>
      <c r="H133"/>
      <c r="I133"/>
      <c r="J133"/>
    </row>
    <row r="134" spans="2:14" hidden="1" x14ac:dyDescent="0.25">
      <c r="B134"/>
      <c r="C134"/>
      <c r="D134" s="24" t="s">
        <v>27</v>
      </c>
      <c r="E134" s="28"/>
      <c r="F134" s="25"/>
      <c r="G134" s="27"/>
      <c r="H134" s="27"/>
      <c r="I134" s="42"/>
      <c r="J134" s="27"/>
      <c r="K134" s="27"/>
    </row>
    <row r="135" spans="2:14" ht="45" hidden="1" x14ac:dyDescent="0.25">
      <c r="B135"/>
      <c r="C135" s="205" t="s">
        <v>18</v>
      </c>
      <c r="D135" s="205" t="s">
        <v>225</v>
      </c>
      <c r="E135" s="205" t="s">
        <v>224</v>
      </c>
      <c r="F135" s="206" t="s">
        <v>20</v>
      </c>
      <c r="G135" s="206" t="s">
        <v>245</v>
      </c>
      <c r="H135" s="215" t="s">
        <v>228</v>
      </c>
      <c r="I135" s="207" t="s">
        <v>226</v>
      </c>
      <c r="J135" s="207" t="s">
        <v>246</v>
      </c>
      <c r="K135" s="207" t="s">
        <v>21</v>
      </c>
      <c r="L135" s="207" t="s">
        <v>24</v>
      </c>
      <c r="M135" s="207" t="s">
        <v>39</v>
      </c>
    </row>
    <row r="136" spans="2:14" hidden="1" x14ac:dyDescent="0.25">
      <c r="B136"/>
      <c r="C136" s="176" t="s">
        <v>129</v>
      </c>
      <c r="D136" s="176">
        <v>10240</v>
      </c>
      <c r="E136" s="176">
        <v>360</v>
      </c>
      <c r="F136" s="216">
        <v>3776755.5389999999</v>
      </c>
      <c r="G136" s="217">
        <f>F136/E136</f>
        <v>10490.987608333333</v>
      </c>
      <c r="H136" s="218">
        <v>32</v>
      </c>
      <c r="I136" s="208">
        <f t="shared" ref="I136:I145" si="4">E136*H136/100</f>
        <v>115.2</v>
      </c>
      <c r="J136" s="208">
        <f t="shared" ref="J136:J145" si="5">I136*G136</f>
        <v>1208561.77248</v>
      </c>
      <c r="K136" s="216">
        <v>8545988.2780000009</v>
      </c>
      <c r="L136" s="208">
        <f t="shared" ref="L136:L145" si="6">K136+J136</f>
        <v>9754550.0504800007</v>
      </c>
      <c r="M136" s="209"/>
      <c r="N136" s="82">
        <f>J136/F136</f>
        <v>0.32</v>
      </c>
    </row>
    <row r="137" spans="2:14" hidden="1" x14ac:dyDescent="0.25">
      <c r="B137"/>
      <c r="C137" s="176" t="s">
        <v>130</v>
      </c>
      <c r="D137" s="176">
        <v>41086</v>
      </c>
      <c r="E137" s="176">
        <v>1732</v>
      </c>
      <c r="F137" s="216">
        <v>16629975.216</v>
      </c>
      <c r="G137" s="217">
        <f t="shared" ref="G137:G145" si="7">F137/E137</f>
        <v>9601.6023187066967</v>
      </c>
      <c r="H137" s="218">
        <v>32</v>
      </c>
      <c r="I137" s="208">
        <f t="shared" si="4"/>
        <v>554.24</v>
      </c>
      <c r="J137" s="208">
        <f t="shared" si="5"/>
        <v>5321592.0691200001</v>
      </c>
      <c r="K137" s="216">
        <v>42727457.642999999</v>
      </c>
      <c r="L137" s="208">
        <f t="shared" si="6"/>
        <v>48049049.712119997</v>
      </c>
      <c r="M137" s="209"/>
      <c r="N137" s="82">
        <f t="shared" ref="N137:N146" si="8">J137/F137</f>
        <v>0.32</v>
      </c>
    </row>
    <row r="138" spans="2:14" hidden="1" x14ac:dyDescent="0.25">
      <c r="B138"/>
      <c r="C138" s="176" t="s">
        <v>131</v>
      </c>
      <c r="D138" s="176">
        <v>14070</v>
      </c>
      <c r="E138" s="176">
        <v>2080</v>
      </c>
      <c r="F138" s="216">
        <v>20918916.927000001</v>
      </c>
      <c r="G138" s="217">
        <f t="shared" si="7"/>
        <v>10057.171599519232</v>
      </c>
      <c r="H138" s="218">
        <v>32</v>
      </c>
      <c r="I138" s="208">
        <f t="shared" si="4"/>
        <v>665.6</v>
      </c>
      <c r="J138" s="208">
        <f t="shared" si="5"/>
        <v>6694053.4166400004</v>
      </c>
      <c r="K138" s="216">
        <v>48287186.063000001</v>
      </c>
      <c r="L138" s="208">
        <f t="shared" si="6"/>
        <v>54981239.47964</v>
      </c>
      <c r="M138" s="211"/>
      <c r="N138" s="82">
        <f t="shared" si="8"/>
        <v>0.32</v>
      </c>
    </row>
    <row r="139" spans="2:14" hidden="1" x14ac:dyDescent="0.25">
      <c r="B139"/>
      <c r="C139" s="176" t="s">
        <v>132</v>
      </c>
      <c r="D139" s="176">
        <v>3991</v>
      </c>
      <c r="E139" s="176">
        <v>1323</v>
      </c>
      <c r="F139" s="216">
        <v>15735609.096000001</v>
      </c>
      <c r="G139" s="217">
        <f t="shared" si="7"/>
        <v>11893.884426303855</v>
      </c>
      <c r="H139" s="218">
        <v>32</v>
      </c>
      <c r="I139" s="208">
        <f t="shared" si="4"/>
        <v>423.36</v>
      </c>
      <c r="J139" s="208">
        <f t="shared" si="5"/>
        <v>5035394.91072</v>
      </c>
      <c r="K139" s="216">
        <v>29435770.399</v>
      </c>
      <c r="L139" s="208">
        <f t="shared" si="6"/>
        <v>34471165.309720002</v>
      </c>
      <c r="M139" s="209"/>
      <c r="N139" s="82">
        <f t="shared" si="8"/>
        <v>0.32</v>
      </c>
    </row>
    <row r="140" spans="2:14" hidden="1" x14ac:dyDescent="0.25">
      <c r="B140"/>
      <c r="C140" s="176" t="s">
        <v>133</v>
      </c>
      <c r="D140" s="176">
        <v>3944</v>
      </c>
      <c r="E140" s="176">
        <v>2068</v>
      </c>
      <c r="F140" s="216">
        <v>29975834.300999999</v>
      </c>
      <c r="G140" s="217">
        <f t="shared" si="7"/>
        <v>14495.084284816247</v>
      </c>
      <c r="H140" s="218">
        <v>42</v>
      </c>
      <c r="I140" s="208">
        <f t="shared" si="4"/>
        <v>868.56</v>
      </c>
      <c r="J140" s="208">
        <f t="shared" si="5"/>
        <v>12589850.406419998</v>
      </c>
      <c r="K140" s="216">
        <v>49021917.583999999</v>
      </c>
      <c r="L140" s="208">
        <f t="shared" si="6"/>
        <v>61611767.990419999</v>
      </c>
      <c r="M140" s="219"/>
      <c r="N140" s="82">
        <f t="shared" si="8"/>
        <v>0.41999999999999993</v>
      </c>
    </row>
    <row r="141" spans="2:14" hidden="1" x14ac:dyDescent="0.25">
      <c r="B141"/>
      <c r="C141" s="176" t="s">
        <v>134</v>
      </c>
      <c r="D141" s="176">
        <v>2204</v>
      </c>
      <c r="E141" s="176">
        <v>1721</v>
      </c>
      <c r="F141" s="216">
        <v>32100130.785999998</v>
      </c>
      <c r="G141" s="217">
        <f t="shared" si="7"/>
        <v>18652.022536897151</v>
      </c>
      <c r="H141" s="218">
        <v>52</v>
      </c>
      <c r="I141" s="208">
        <f t="shared" si="4"/>
        <v>894.92</v>
      </c>
      <c r="J141" s="208">
        <f t="shared" si="5"/>
        <v>16692068.008719997</v>
      </c>
      <c r="K141" s="216">
        <v>39848379.417000003</v>
      </c>
      <c r="L141" s="208">
        <f t="shared" si="6"/>
        <v>56540447.425719999</v>
      </c>
      <c r="M141" s="219"/>
      <c r="N141" s="82">
        <f t="shared" si="8"/>
        <v>0.51999999999999991</v>
      </c>
    </row>
    <row r="142" spans="2:14" hidden="1" x14ac:dyDescent="0.25">
      <c r="B142"/>
      <c r="C142" s="176" t="s">
        <v>135</v>
      </c>
      <c r="D142" s="176">
        <v>1670</v>
      </c>
      <c r="E142" s="176">
        <v>1505</v>
      </c>
      <c r="F142" s="216">
        <v>34244273.354000002</v>
      </c>
      <c r="G142" s="217">
        <f t="shared" si="7"/>
        <v>22753.670002657807</v>
      </c>
      <c r="H142" s="220">
        <v>77</v>
      </c>
      <c r="I142" s="208">
        <f t="shared" si="4"/>
        <v>1158.8499999999999</v>
      </c>
      <c r="J142" s="208">
        <f t="shared" si="5"/>
        <v>26368090.482579999</v>
      </c>
      <c r="K142" s="216">
        <v>35859236.038000003</v>
      </c>
      <c r="L142" s="208">
        <f t="shared" si="6"/>
        <v>62227326.520580001</v>
      </c>
      <c r="M142" s="219"/>
      <c r="N142" s="82">
        <f t="shared" si="8"/>
        <v>0.76999999999999991</v>
      </c>
    </row>
    <row r="143" spans="2:14" hidden="1" x14ac:dyDescent="0.25">
      <c r="B143"/>
      <c r="C143" s="176" t="s">
        <v>136</v>
      </c>
      <c r="D143" s="176">
        <v>1106</v>
      </c>
      <c r="E143" s="176">
        <v>1048</v>
      </c>
      <c r="F143" s="216">
        <v>25511225.353999998</v>
      </c>
      <c r="G143" s="217">
        <f t="shared" si="7"/>
        <v>24342.772284351144</v>
      </c>
      <c r="H143" s="218">
        <v>87</v>
      </c>
      <c r="I143" s="208">
        <f t="shared" si="4"/>
        <v>911.76</v>
      </c>
      <c r="J143" s="208">
        <f t="shared" si="5"/>
        <v>22194766.057979997</v>
      </c>
      <c r="K143" s="216">
        <v>26318626.640000001</v>
      </c>
      <c r="L143" s="208">
        <f t="shared" si="6"/>
        <v>48513392.697980002</v>
      </c>
      <c r="M143" s="219"/>
      <c r="N143" s="82">
        <f t="shared" si="8"/>
        <v>0.87</v>
      </c>
    </row>
    <row r="144" spans="2:14" hidden="1" x14ac:dyDescent="0.25">
      <c r="B144"/>
      <c r="C144" s="176" t="s">
        <v>137</v>
      </c>
      <c r="D144" s="213">
        <v>803</v>
      </c>
      <c r="E144" s="176">
        <v>788</v>
      </c>
      <c r="F144" s="216">
        <v>19918531.452</v>
      </c>
      <c r="G144" s="217">
        <f t="shared" si="7"/>
        <v>25277.324177664974</v>
      </c>
      <c r="H144" s="218">
        <v>93</v>
      </c>
      <c r="I144" s="208">
        <f t="shared" si="4"/>
        <v>732.84</v>
      </c>
      <c r="J144" s="208">
        <f t="shared" si="5"/>
        <v>18524234.250360001</v>
      </c>
      <c r="K144" s="216">
        <v>21155009.013999999</v>
      </c>
      <c r="L144" s="208">
        <f t="shared" si="6"/>
        <v>39679243.264359996</v>
      </c>
      <c r="M144" s="219"/>
      <c r="N144" s="82">
        <f t="shared" si="8"/>
        <v>0.93</v>
      </c>
    </row>
    <row r="145" spans="2:14" hidden="1" x14ac:dyDescent="0.25">
      <c r="B145"/>
      <c r="C145" s="200" t="s">
        <v>138</v>
      </c>
      <c r="D145" s="200">
        <v>386</v>
      </c>
      <c r="E145" s="200">
        <v>385</v>
      </c>
      <c r="F145" s="250">
        <v>9314711.0810000002</v>
      </c>
      <c r="G145" s="251">
        <f t="shared" si="7"/>
        <v>24194.054755844158</v>
      </c>
      <c r="H145" s="252">
        <v>94</v>
      </c>
      <c r="I145" s="208">
        <f t="shared" si="4"/>
        <v>361.9</v>
      </c>
      <c r="J145" s="208">
        <f t="shared" si="5"/>
        <v>8755828.4161399994</v>
      </c>
      <c r="K145" s="216">
        <v>18274358.118000001</v>
      </c>
      <c r="L145" s="208">
        <f t="shared" si="6"/>
        <v>27030186.534139998</v>
      </c>
      <c r="M145" s="219"/>
      <c r="N145" s="82">
        <f t="shared" si="8"/>
        <v>0.94</v>
      </c>
    </row>
    <row r="146" spans="2:14" hidden="1" x14ac:dyDescent="0.25">
      <c r="B146"/>
      <c r="C146" s="176"/>
      <c r="D146" s="221">
        <f>SUM(D136:D145)</f>
        <v>79500</v>
      </c>
      <c r="E146" s="221">
        <f>SUM(E136:E145)</f>
        <v>13010</v>
      </c>
      <c r="F146" s="221">
        <f>SUM(F136:F145)</f>
        <v>208125963.10599998</v>
      </c>
      <c r="G146" s="219"/>
      <c r="H146" s="219"/>
      <c r="I146" s="221">
        <f>SUM(I136:I145)</f>
        <v>6687.23</v>
      </c>
      <c r="J146" s="221">
        <f>SUM(J136:J145)</f>
        <v>123384439.79115999</v>
      </c>
      <c r="K146" s="210">
        <v>319984285.70300001</v>
      </c>
      <c r="L146" s="221">
        <f>SUM(L136:L145)</f>
        <v>442858368.98515999</v>
      </c>
      <c r="M146" s="221">
        <f>L146-K146</f>
        <v>122874083.28215998</v>
      </c>
      <c r="N146" s="82">
        <f t="shared" si="8"/>
        <v>0.59283540577933302</v>
      </c>
    </row>
    <row r="147" spans="2:14" hidden="1" x14ac:dyDescent="0.25">
      <c r="B147"/>
      <c r="C147"/>
      <c r="D147"/>
      <c r="E147"/>
      <c r="F147"/>
      <c r="G147"/>
      <c r="H147"/>
      <c r="I147" s="212">
        <f>I146/E146</f>
        <v>0.51400691775557261</v>
      </c>
      <c r="J147" s="247">
        <f>J146/F146</f>
        <v>0.59283540577933302</v>
      </c>
      <c r="K147" s="82">
        <f>J146/(J146+K146)</f>
        <v>0.27828855013091175</v>
      </c>
      <c r="M147" s="82">
        <f>M146/K146</f>
        <v>0.38400036743119342</v>
      </c>
    </row>
    <row r="148" spans="2:14" hidden="1" x14ac:dyDescent="0.25">
      <c r="B148"/>
      <c r="C148"/>
      <c r="D148"/>
      <c r="E148"/>
      <c r="F148"/>
      <c r="G148"/>
      <c r="H148"/>
      <c r="I148"/>
      <c r="J148"/>
      <c r="K148" s="82">
        <f>F146/(F146+K146)</f>
        <v>0.39409567145376923</v>
      </c>
      <c r="L148" t="s">
        <v>247</v>
      </c>
    </row>
    <row r="149" spans="2:14" hidden="1" x14ac:dyDescent="0.25">
      <c r="B149"/>
      <c r="C149"/>
      <c r="D149"/>
      <c r="E149"/>
      <c r="F149"/>
      <c r="G149"/>
      <c r="H149"/>
      <c r="I149"/>
      <c r="J149"/>
    </row>
    <row r="150" spans="2:14" hidden="1" x14ac:dyDescent="0.25">
      <c r="B150"/>
      <c r="C150"/>
      <c r="D150"/>
      <c r="E150"/>
      <c r="F150"/>
      <c r="G150"/>
      <c r="H150"/>
      <c r="I150"/>
      <c r="J150"/>
    </row>
    <row r="151" spans="2:14" hidden="1" x14ac:dyDescent="0.25">
      <c r="B151"/>
      <c r="C151"/>
      <c r="D151" s="24" t="s">
        <v>229</v>
      </c>
      <c r="E151" s="28"/>
      <c r="F151" s="25"/>
      <c r="G151" s="27"/>
      <c r="H151" s="27"/>
      <c r="I151" s="42"/>
      <c r="J151" s="27"/>
      <c r="K151" s="27"/>
    </row>
    <row r="152" spans="2:14" ht="45" hidden="1" x14ac:dyDescent="0.25">
      <c r="B152"/>
      <c r="C152" s="205" t="s">
        <v>18</v>
      </c>
      <c r="D152" s="205" t="s">
        <v>225</v>
      </c>
      <c r="E152" s="205" t="s">
        <v>224</v>
      </c>
      <c r="F152" s="206" t="s">
        <v>20</v>
      </c>
      <c r="G152" s="206" t="s">
        <v>245</v>
      </c>
      <c r="H152" s="215" t="s">
        <v>228</v>
      </c>
      <c r="I152" s="207" t="s">
        <v>226</v>
      </c>
      <c r="J152" s="207" t="s">
        <v>227</v>
      </c>
      <c r="K152" s="207" t="s">
        <v>21</v>
      </c>
      <c r="L152" s="207" t="s">
        <v>24</v>
      </c>
      <c r="M152" s="207" t="s">
        <v>39</v>
      </c>
    </row>
    <row r="153" spans="2:14" hidden="1" x14ac:dyDescent="0.25">
      <c r="B153" s="8" t="s">
        <v>210</v>
      </c>
      <c r="C153" s="176" t="s">
        <v>129</v>
      </c>
      <c r="D153" s="176">
        <v>10240</v>
      </c>
      <c r="E153" s="176">
        <v>360</v>
      </c>
      <c r="F153" s="179">
        <v>6542768.1330000004</v>
      </c>
      <c r="G153" s="217">
        <f>F153/E153</f>
        <v>18174.355925</v>
      </c>
      <c r="H153" s="218">
        <v>17</v>
      </c>
      <c r="I153" s="208">
        <f t="shared" ref="I153:I162" si="9">E153*H153/100</f>
        <v>61.2</v>
      </c>
      <c r="J153" s="208">
        <f t="shared" ref="J153:J162" si="10">I153*G153</f>
        <v>1112270.5826100002</v>
      </c>
      <c r="K153" s="216">
        <v>8545988.2780000009</v>
      </c>
      <c r="L153" s="208">
        <f t="shared" ref="L153:L162" si="11">K153+J153</f>
        <v>9658258.8606100008</v>
      </c>
      <c r="M153" s="209"/>
    </row>
    <row r="154" spans="2:14" hidden="1" x14ac:dyDescent="0.25">
      <c r="B154" s="8" t="s">
        <v>211</v>
      </c>
      <c r="C154" s="176" t="s">
        <v>130</v>
      </c>
      <c r="D154" s="176">
        <v>41086</v>
      </c>
      <c r="E154" s="176">
        <v>1732</v>
      </c>
      <c r="F154" s="179">
        <v>29313966.743000001</v>
      </c>
      <c r="G154" s="217">
        <f t="shared" ref="G154:G162" si="12">F154/E154</f>
        <v>16924.923061778292</v>
      </c>
      <c r="H154" s="218">
        <v>17</v>
      </c>
      <c r="I154" s="208">
        <f t="shared" si="9"/>
        <v>294.44</v>
      </c>
      <c r="J154" s="208">
        <f t="shared" si="10"/>
        <v>4983374.3463099999</v>
      </c>
      <c r="K154" s="216">
        <v>42727457.642999999</v>
      </c>
      <c r="L154" s="208">
        <f t="shared" si="11"/>
        <v>47710831.989309996</v>
      </c>
      <c r="M154" s="209"/>
    </row>
    <row r="155" spans="2:14" hidden="1" x14ac:dyDescent="0.25">
      <c r="B155" s="8" t="s">
        <v>212</v>
      </c>
      <c r="C155" s="176" t="s">
        <v>131</v>
      </c>
      <c r="D155" s="176">
        <v>14070</v>
      </c>
      <c r="E155" s="176">
        <v>2080</v>
      </c>
      <c r="F155" s="179">
        <v>35032161.148999996</v>
      </c>
      <c r="G155" s="217">
        <f t="shared" si="12"/>
        <v>16842.38516778846</v>
      </c>
      <c r="H155" s="218">
        <v>13</v>
      </c>
      <c r="I155" s="208">
        <f t="shared" si="9"/>
        <v>270.39999999999998</v>
      </c>
      <c r="J155" s="208">
        <f t="shared" si="10"/>
        <v>4554180.9493699986</v>
      </c>
      <c r="K155" s="216">
        <v>48287186.063000001</v>
      </c>
      <c r="L155" s="208">
        <f t="shared" si="11"/>
        <v>52841367.012369998</v>
      </c>
      <c r="M155" s="211"/>
    </row>
    <row r="156" spans="2:14" hidden="1" x14ac:dyDescent="0.25">
      <c r="B156" s="8" t="s">
        <v>211</v>
      </c>
      <c r="C156" s="176" t="s">
        <v>132</v>
      </c>
      <c r="D156" s="176">
        <v>3991</v>
      </c>
      <c r="E156" s="176">
        <v>1323</v>
      </c>
      <c r="F156" s="179">
        <v>26577764.193999998</v>
      </c>
      <c r="G156" s="217">
        <f t="shared" si="12"/>
        <v>20089.01299622071</v>
      </c>
      <c r="H156" s="218">
        <v>16</v>
      </c>
      <c r="I156" s="208">
        <f t="shared" si="9"/>
        <v>211.68</v>
      </c>
      <c r="J156" s="208">
        <f t="shared" si="10"/>
        <v>4252442.27104</v>
      </c>
      <c r="K156" s="216">
        <v>29435770.399</v>
      </c>
      <c r="L156" s="208">
        <f t="shared" si="11"/>
        <v>33688212.670039997</v>
      </c>
      <c r="M156" s="209"/>
    </row>
    <row r="157" spans="2:14" hidden="1" x14ac:dyDescent="0.25">
      <c r="B157" s="8" t="s">
        <v>213</v>
      </c>
      <c r="C157" s="176" t="s">
        <v>133</v>
      </c>
      <c r="D157" s="176">
        <v>3944</v>
      </c>
      <c r="E157" s="176">
        <v>2068</v>
      </c>
      <c r="F157" s="179">
        <v>52982088.322999999</v>
      </c>
      <c r="G157" s="217">
        <f t="shared" si="12"/>
        <v>25619.965339941973</v>
      </c>
      <c r="H157" s="218">
        <v>18</v>
      </c>
      <c r="I157" s="208">
        <f t="shared" si="9"/>
        <v>372.24</v>
      </c>
      <c r="J157" s="208">
        <f t="shared" si="10"/>
        <v>9536775.8981400002</v>
      </c>
      <c r="K157" s="216">
        <v>49021917.583999999</v>
      </c>
      <c r="L157" s="208">
        <f t="shared" si="11"/>
        <v>58558693.482139997</v>
      </c>
      <c r="M157" s="219"/>
    </row>
    <row r="158" spans="2:14" hidden="1" x14ac:dyDescent="0.25">
      <c r="B158" s="8" t="s">
        <v>214</v>
      </c>
      <c r="C158" s="176" t="s">
        <v>134</v>
      </c>
      <c r="D158" s="176">
        <v>2204</v>
      </c>
      <c r="E158" s="176">
        <v>1721</v>
      </c>
      <c r="F158" s="179">
        <v>58871670.033</v>
      </c>
      <c r="G158" s="217">
        <f t="shared" si="12"/>
        <v>34207.82686403254</v>
      </c>
      <c r="H158" s="218">
        <v>21</v>
      </c>
      <c r="I158" s="208">
        <f t="shared" si="9"/>
        <v>361.41</v>
      </c>
      <c r="J158" s="208">
        <f t="shared" si="10"/>
        <v>12363050.706930002</v>
      </c>
      <c r="K158" s="216">
        <v>39848379.417000003</v>
      </c>
      <c r="L158" s="208">
        <f t="shared" si="11"/>
        <v>52211430.123930007</v>
      </c>
      <c r="M158" s="219"/>
    </row>
    <row r="159" spans="2:14" hidden="1" x14ac:dyDescent="0.25">
      <c r="B159" s="8" t="s">
        <v>215</v>
      </c>
      <c r="C159" s="176" t="s">
        <v>135</v>
      </c>
      <c r="D159" s="176">
        <v>1670</v>
      </c>
      <c r="E159" s="176">
        <v>1505</v>
      </c>
      <c r="F159" s="179">
        <v>75337487.790000007</v>
      </c>
      <c r="G159" s="217">
        <f t="shared" si="12"/>
        <v>50058.131421926912</v>
      </c>
      <c r="H159" s="220">
        <v>38</v>
      </c>
      <c r="I159" s="208">
        <f t="shared" si="9"/>
        <v>571.9</v>
      </c>
      <c r="J159" s="208">
        <f t="shared" si="10"/>
        <v>28628245.360199999</v>
      </c>
      <c r="K159" s="216">
        <v>35859236.038000003</v>
      </c>
      <c r="L159" s="208">
        <f t="shared" si="11"/>
        <v>64487481.398200005</v>
      </c>
      <c r="M159" s="219"/>
    </row>
    <row r="160" spans="2:14" hidden="1" x14ac:dyDescent="0.25">
      <c r="B160" s="8" t="s">
        <v>216</v>
      </c>
      <c r="C160" s="176" t="s">
        <v>136</v>
      </c>
      <c r="D160" s="176">
        <v>1106</v>
      </c>
      <c r="E160" s="176">
        <v>1048</v>
      </c>
      <c r="F160" s="179">
        <v>67058675.344999999</v>
      </c>
      <c r="G160" s="217">
        <f t="shared" si="12"/>
        <v>63987.285634541986</v>
      </c>
      <c r="H160" s="218">
        <v>72</v>
      </c>
      <c r="I160" s="208">
        <f t="shared" si="9"/>
        <v>754.56</v>
      </c>
      <c r="J160" s="208">
        <f t="shared" si="10"/>
        <v>48282246.248399995</v>
      </c>
      <c r="K160" s="216">
        <v>26318626.640000001</v>
      </c>
      <c r="L160" s="208">
        <f t="shared" si="11"/>
        <v>74600872.888399988</v>
      </c>
      <c r="M160" s="219"/>
    </row>
    <row r="161" spans="1:13" hidden="1" x14ac:dyDescent="0.25">
      <c r="B161" s="8" t="s">
        <v>217</v>
      </c>
      <c r="C161" s="176" t="s">
        <v>137</v>
      </c>
      <c r="D161" s="213">
        <v>803</v>
      </c>
      <c r="E161" s="176">
        <v>788</v>
      </c>
      <c r="F161" s="179">
        <v>55485739.074000001</v>
      </c>
      <c r="G161" s="217">
        <f t="shared" si="12"/>
        <v>70413.374459390863</v>
      </c>
      <c r="H161" s="218">
        <v>82</v>
      </c>
      <c r="I161" s="208">
        <f t="shared" si="9"/>
        <v>646.16</v>
      </c>
      <c r="J161" s="208">
        <f t="shared" si="10"/>
        <v>45498306.040679999</v>
      </c>
      <c r="K161" s="216">
        <v>21155009.013999999</v>
      </c>
      <c r="L161" s="208">
        <f t="shared" si="11"/>
        <v>66653315.054679997</v>
      </c>
      <c r="M161" s="219"/>
    </row>
    <row r="162" spans="1:13" hidden="1" x14ac:dyDescent="0.25">
      <c r="B162" s="8" t="s">
        <v>207</v>
      </c>
      <c r="C162" s="200" t="s">
        <v>138</v>
      </c>
      <c r="D162" s="200">
        <v>386</v>
      </c>
      <c r="E162" s="200">
        <v>385</v>
      </c>
      <c r="F162" s="253">
        <v>26743430.256999999</v>
      </c>
      <c r="G162" s="251">
        <f t="shared" si="12"/>
        <v>69463.455212987014</v>
      </c>
      <c r="H162" s="252">
        <v>92</v>
      </c>
      <c r="I162" s="208">
        <f t="shared" si="9"/>
        <v>354.2</v>
      </c>
      <c r="J162" s="208">
        <f t="shared" si="10"/>
        <v>24603955.836440001</v>
      </c>
      <c r="K162" s="216">
        <v>18274358.118000001</v>
      </c>
      <c r="L162" s="208">
        <f t="shared" si="11"/>
        <v>42878313.954439998</v>
      </c>
      <c r="M162" s="219"/>
    </row>
    <row r="163" spans="1:13" hidden="1" x14ac:dyDescent="0.25">
      <c r="B163"/>
      <c r="C163" s="176"/>
      <c r="D163" s="221">
        <f>SUM(D153:D162)</f>
        <v>79500</v>
      </c>
      <c r="E163" s="221">
        <f>SUM(E153:E162)</f>
        <v>13010</v>
      </c>
      <c r="F163" s="219"/>
      <c r="G163" s="219"/>
      <c r="H163" s="219"/>
      <c r="I163" s="248">
        <f>SUM(I153:I162)</f>
        <v>3898.1899999999996</v>
      </c>
      <c r="J163" s="248">
        <f>SUM(J153:J162)</f>
        <v>183814848.24011999</v>
      </c>
      <c r="K163" s="249">
        <v>319984285.70300001</v>
      </c>
      <c r="L163" s="248">
        <f>SUM(L153:L162)</f>
        <v>503288777.43411994</v>
      </c>
      <c r="M163" s="248">
        <f>L163-K163</f>
        <v>183304491.73111993</v>
      </c>
    </row>
    <row r="164" spans="1:13" hidden="1" x14ac:dyDescent="0.25">
      <c r="B164"/>
      <c r="C164"/>
      <c r="D164"/>
      <c r="E164"/>
      <c r="F164"/>
      <c r="G164"/>
      <c r="H164"/>
      <c r="I164" s="212">
        <f>I163/E163</f>
        <v>0.29963028439661793</v>
      </c>
      <c r="J164"/>
      <c r="M164" s="82">
        <f>M163/K163</f>
        <v>0.57285466793596784</v>
      </c>
    </row>
    <row r="165" spans="1:13" x14ac:dyDescent="0.25">
      <c r="B165"/>
      <c r="C165"/>
      <c r="D165"/>
      <c r="E165"/>
      <c r="F165"/>
      <c r="G165"/>
      <c r="H165"/>
      <c r="I165"/>
      <c r="J165"/>
    </row>
    <row r="166" spans="1:13" x14ac:dyDescent="0.25">
      <c r="B166" s="275" t="s">
        <v>230</v>
      </c>
      <c r="C166" t="s">
        <v>287</v>
      </c>
      <c r="D166" s="24"/>
      <c r="E166" s="28"/>
      <c r="F166" s="25"/>
      <c r="G166" s="27"/>
      <c r="H166" s="27"/>
      <c r="I166" s="42"/>
      <c r="J166" s="27"/>
      <c r="K166" s="27"/>
    </row>
    <row r="167" spans="1:13" s="276" customFormat="1" ht="45" x14ac:dyDescent="0.25">
      <c r="A167" s="283" t="s">
        <v>231</v>
      </c>
      <c r="B167" s="33" t="s">
        <v>278</v>
      </c>
      <c r="C167" s="33" t="s">
        <v>279</v>
      </c>
      <c r="D167" s="33" t="s">
        <v>284</v>
      </c>
      <c r="E167" s="33" t="s">
        <v>280</v>
      </c>
      <c r="F167" s="33" t="s">
        <v>281</v>
      </c>
      <c r="G167" s="33" t="s">
        <v>275</v>
      </c>
      <c r="H167" s="33" t="s">
        <v>228</v>
      </c>
      <c r="I167" s="33" t="s">
        <v>285</v>
      </c>
      <c r="J167" s="33" t="s">
        <v>277</v>
      </c>
      <c r="K167" s="33" t="s">
        <v>21</v>
      </c>
      <c r="L167" s="33" t="s">
        <v>276</v>
      </c>
      <c r="M167" s="33" t="s">
        <v>39</v>
      </c>
    </row>
    <row r="168" spans="1:13" x14ac:dyDescent="0.25">
      <c r="A168" s="14" t="s">
        <v>27</v>
      </c>
      <c r="B168" s="14" t="s">
        <v>202</v>
      </c>
      <c r="C168" s="14" t="s">
        <v>129</v>
      </c>
      <c r="D168" s="64">
        <v>10240</v>
      </c>
      <c r="E168" s="64">
        <v>360</v>
      </c>
      <c r="F168" s="64">
        <v>3776755.5389999999</v>
      </c>
      <c r="G168" s="64">
        <f t="shared" ref="G168:G179" si="13">F168/E168</f>
        <v>10490.987608333333</v>
      </c>
      <c r="H168" s="64">
        <v>30</v>
      </c>
      <c r="I168" s="36">
        <f t="shared" ref="I168:I179" si="14">E168*H168/100</f>
        <v>108</v>
      </c>
      <c r="J168" s="36">
        <f t="shared" ref="J168:J179" si="15">I168*G168</f>
        <v>1133026.6617000001</v>
      </c>
      <c r="K168" s="64">
        <v>8545988.2780000009</v>
      </c>
      <c r="L168" s="36">
        <f t="shared" ref="L168:L179" si="16">K168+J168</f>
        <v>9679014.9397</v>
      </c>
      <c r="M168" s="37"/>
    </row>
    <row r="169" spans="1:13" x14ac:dyDescent="0.25">
      <c r="A169" s="14" t="s">
        <v>44</v>
      </c>
      <c r="B169" s="14" t="s">
        <v>202</v>
      </c>
      <c r="C169" s="14" t="s">
        <v>130</v>
      </c>
      <c r="D169" s="64">
        <v>41086</v>
      </c>
      <c r="E169" s="64">
        <v>1732</v>
      </c>
      <c r="F169" s="64">
        <v>16629975.216</v>
      </c>
      <c r="G169" s="64">
        <f t="shared" si="13"/>
        <v>9601.6023187066967</v>
      </c>
      <c r="H169" s="64">
        <v>30</v>
      </c>
      <c r="I169" s="36">
        <f t="shared" si="14"/>
        <v>519.6</v>
      </c>
      <c r="J169" s="36">
        <f t="shared" si="15"/>
        <v>4988992.5647999998</v>
      </c>
      <c r="K169" s="64">
        <v>42727457.642999999</v>
      </c>
      <c r="L169" s="36">
        <f t="shared" si="16"/>
        <v>47716450.207800001</v>
      </c>
      <c r="M169" s="37"/>
    </row>
    <row r="170" spans="1:13" x14ac:dyDescent="0.25">
      <c r="A170" s="14" t="s">
        <v>44</v>
      </c>
      <c r="B170" s="14" t="s">
        <v>232</v>
      </c>
      <c r="C170" s="14" t="s">
        <v>131</v>
      </c>
      <c r="D170" s="64">
        <v>14070</v>
      </c>
      <c r="E170" s="64">
        <v>2080</v>
      </c>
      <c r="F170" s="64">
        <v>20918916.927000001</v>
      </c>
      <c r="G170" s="64">
        <f t="shared" si="13"/>
        <v>10057.171599519232</v>
      </c>
      <c r="H170" s="64">
        <v>30</v>
      </c>
      <c r="I170" s="36">
        <f t="shared" si="14"/>
        <v>624</v>
      </c>
      <c r="J170" s="36">
        <f t="shared" si="15"/>
        <v>6275675.0781000005</v>
      </c>
      <c r="K170" s="64">
        <v>48287186.063000001</v>
      </c>
      <c r="L170" s="36">
        <f t="shared" si="16"/>
        <v>54562861.141100004</v>
      </c>
      <c r="M170" s="37"/>
    </row>
    <row r="171" spans="1:13" x14ac:dyDescent="0.25">
      <c r="A171" s="14" t="s">
        <v>44</v>
      </c>
      <c r="B171" s="14" t="s">
        <v>233</v>
      </c>
      <c r="C171" s="14" t="s">
        <v>132</v>
      </c>
      <c r="D171" s="64">
        <v>3991</v>
      </c>
      <c r="E171" s="64">
        <v>1323</v>
      </c>
      <c r="F171" s="64">
        <v>15735609.096000001</v>
      </c>
      <c r="G171" s="64">
        <f t="shared" si="13"/>
        <v>11893.884426303855</v>
      </c>
      <c r="H171" s="64">
        <v>30</v>
      </c>
      <c r="I171" s="36">
        <f t="shared" si="14"/>
        <v>396.9</v>
      </c>
      <c r="J171" s="36">
        <f t="shared" si="15"/>
        <v>4720682.7287999997</v>
      </c>
      <c r="K171" s="64">
        <v>29435770.399</v>
      </c>
      <c r="L171" s="36">
        <f t="shared" si="16"/>
        <v>34156453.127800003</v>
      </c>
      <c r="M171" s="37"/>
    </row>
    <row r="172" spans="1:13" x14ac:dyDescent="0.25">
      <c r="A172" s="14" t="s">
        <v>44</v>
      </c>
      <c r="B172" s="14" t="s">
        <v>234</v>
      </c>
      <c r="C172" s="14" t="s">
        <v>133</v>
      </c>
      <c r="D172" s="64">
        <v>3944</v>
      </c>
      <c r="E172" s="64">
        <v>2068</v>
      </c>
      <c r="F172" s="64">
        <v>29975834.300999999</v>
      </c>
      <c r="G172" s="64">
        <f t="shared" si="13"/>
        <v>14495.084284816247</v>
      </c>
      <c r="H172" s="64">
        <v>40</v>
      </c>
      <c r="I172" s="36">
        <f t="shared" si="14"/>
        <v>827.2</v>
      </c>
      <c r="J172" s="36">
        <f t="shared" si="15"/>
        <v>11990333.7204</v>
      </c>
      <c r="K172" s="64">
        <v>49021917.583999999</v>
      </c>
      <c r="L172" s="36">
        <f t="shared" si="16"/>
        <v>61012251.304399997</v>
      </c>
      <c r="M172" s="14"/>
    </row>
    <row r="173" spans="1:13" x14ac:dyDescent="0.25">
      <c r="A173" s="14" t="s">
        <v>31</v>
      </c>
      <c r="B173" s="14" t="s">
        <v>214</v>
      </c>
      <c r="C173" s="14" t="s">
        <v>134</v>
      </c>
      <c r="D173" s="64">
        <v>2204</v>
      </c>
      <c r="E173" s="64">
        <v>1721</v>
      </c>
      <c r="F173" s="64">
        <v>58871670.033</v>
      </c>
      <c r="G173" s="64">
        <f t="shared" si="13"/>
        <v>34207.82686403254</v>
      </c>
      <c r="H173" s="64">
        <v>20</v>
      </c>
      <c r="I173" s="36">
        <f t="shared" si="14"/>
        <v>344.2</v>
      </c>
      <c r="J173" s="36">
        <f t="shared" si="15"/>
        <v>11774334.0066</v>
      </c>
      <c r="K173" s="64">
        <v>39848379.417000003</v>
      </c>
      <c r="L173" s="36">
        <f t="shared" si="16"/>
        <v>51622713.423600003</v>
      </c>
      <c r="M173" s="14"/>
    </row>
    <row r="174" spans="1:13" x14ac:dyDescent="0.25">
      <c r="A174" s="14" t="s">
        <v>235</v>
      </c>
      <c r="B174" s="14" t="s">
        <v>215</v>
      </c>
      <c r="C174" s="14" t="s">
        <v>135</v>
      </c>
      <c r="D174" s="64">
        <v>1670</v>
      </c>
      <c r="E174" s="64">
        <v>1505</v>
      </c>
      <c r="F174" s="64">
        <v>75337487.790000007</v>
      </c>
      <c r="G174" s="64">
        <f t="shared" si="13"/>
        <v>50058.131421926912</v>
      </c>
      <c r="H174" s="64">
        <v>35</v>
      </c>
      <c r="I174" s="36">
        <f t="shared" si="14"/>
        <v>526.75</v>
      </c>
      <c r="J174" s="36">
        <f t="shared" si="15"/>
        <v>26368120.726500001</v>
      </c>
      <c r="K174" s="64">
        <v>35859236.038000003</v>
      </c>
      <c r="L174" s="36">
        <f t="shared" si="16"/>
        <v>62227356.764500007</v>
      </c>
      <c r="M174" s="14"/>
    </row>
    <row r="175" spans="1:13" x14ac:dyDescent="0.25">
      <c r="A175" s="14" t="s">
        <v>236</v>
      </c>
      <c r="B175" s="14" t="s">
        <v>239</v>
      </c>
      <c r="C175" s="14" t="s">
        <v>136</v>
      </c>
      <c r="D175" s="64">
        <v>1106</v>
      </c>
      <c r="E175" s="64">
        <v>1048</v>
      </c>
      <c r="F175" s="64">
        <v>117797690.18000001</v>
      </c>
      <c r="G175" s="64">
        <f t="shared" si="13"/>
        <v>112402.37612595421</v>
      </c>
      <c r="H175" s="64">
        <v>60</v>
      </c>
      <c r="I175" s="36">
        <f t="shared" si="14"/>
        <v>628.79999999999995</v>
      </c>
      <c r="J175" s="36">
        <f t="shared" si="15"/>
        <v>70678614.107999995</v>
      </c>
      <c r="K175" s="64">
        <v>26318626.640000001</v>
      </c>
      <c r="L175" s="36">
        <f t="shared" si="16"/>
        <v>96997240.747999996</v>
      </c>
      <c r="M175" s="14"/>
    </row>
    <row r="176" spans="1:13" x14ac:dyDescent="0.25">
      <c r="A176" s="14" t="s">
        <v>237</v>
      </c>
      <c r="B176" s="14" t="s">
        <v>240</v>
      </c>
      <c r="C176" s="14" t="s">
        <v>218</v>
      </c>
      <c r="D176" s="64">
        <v>439</v>
      </c>
      <c r="E176" s="64">
        <v>428</v>
      </c>
      <c r="F176" s="64">
        <v>85749496.537</v>
      </c>
      <c r="G176" s="64">
        <f t="shared" si="13"/>
        <v>200349.29097429907</v>
      </c>
      <c r="H176" s="64">
        <v>50</v>
      </c>
      <c r="I176" s="36">
        <f t="shared" si="14"/>
        <v>214</v>
      </c>
      <c r="J176" s="36">
        <f t="shared" si="15"/>
        <v>42874748.2685</v>
      </c>
      <c r="K176" s="64">
        <v>11996460.091</v>
      </c>
      <c r="L176" s="36">
        <f t="shared" si="16"/>
        <v>54871208.359499998</v>
      </c>
      <c r="M176" s="14"/>
    </row>
    <row r="177" spans="1:13" x14ac:dyDescent="0.25">
      <c r="A177" s="14" t="s">
        <v>238</v>
      </c>
      <c r="B177" s="14" t="s">
        <v>241</v>
      </c>
      <c r="C177" s="14" t="s">
        <v>219</v>
      </c>
      <c r="D177" s="64">
        <v>230</v>
      </c>
      <c r="E177" s="64">
        <v>229</v>
      </c>
      <c r="F177" s="64">
        <v>64868977.859999999</v>
      </c>
      <c r="G177" s="64">
        <f t="shared" si="13"/>
        <v>283270.64567685587</v>
      </c>
      <c r="H177" s="64">
        <v>55</v>
      </c>
      <c r="I177" s="36">
        <f t="shared" si="14"/>
        <v>125.95</v>
      </c>
      <c r="J177" s="36">
        <f t="shared" si="15"/>
        <v>35677937.822999999</v>
      </c>
      <c r="K177" s="64">
        <v>5723528.426</v>
      </c>
      <c r="L177" s="36">
        <f t="shared" si="16"/>
        <v>41401466.248999998</v>
      </c>
      <c r="M177" s="14"/>
    </row>
    <row r="178" spans="1:13" x14ac:dyDescent="0.25">
      <c r="A178" s="279" t="s">
        <v>36</v>
      </c>
      <c r="B178" s="279" t="s">
        <v>242</v>
      </c>
      <c r="C178" s="14" t="s">
        <v>220</v>
      </c>
      <c r="D178" s="64">
        <v>134</v>
      </c>
      <c r="E178" s="64">
        <v>131</v>
      </c>
      <c r="F178" s="64">
        <v>47812602.009000003</v>
      </c>
      <c r="G178" s="64">
        <f t="shared" si="13"/>
        <v>364981.69472519087</v>
      </c>
      <c r="H178" s="64">
        <v>50</v>
      </c>
      <c r="I178" s="36">
        <f t="shared" si="14"/>
        <v>65.5</v>
      </c>
      <c r="J178" s="36">
        <f t="shared" si="15"/>
        <v>23906301.004500002</v>
      </c>
      <c r="K178" s="64">
        <v>3435020.497</v>
      </c>
      <c r="L178" s="36">
        <f t="shared" si="16"/>
        <v>27341321.501500003</v>
      </c>
      <c r="M178" s="14"/>
    </row>
    <row r="179" spans="1:13" x14ac:dyDescent="0.25">
      <c r="A179" s="279" t="s">
        <v>274</v>
      </c>
      <c r="B179" s="279" t="s">
        <v>243</v>
      </c>
      <c r="C179" s="14" t="s">
        <v>221</v>
      </c>
      <c r="D179" s="64">
        <v>386</v>
      </c>
      <c r="E179" s="64">
        <v>385</v>
      </c>
      <c r="F179" s="280">
        <v>333661614.63499999</v>
      </c>
      <c r="G179" s="64">
        <f t="shared" si="13"/>
        <v>866653.54450649349</v>
      </c>
      <c r="H179" s="64">
        <v>51</v>
      </c>
      <c r="I179" s="36">
        <f t="shared" si="14"/>
        <v>196.35</v>
      </c>
      <c r="J179" s="36">
        <f t="shared" si="15"/>
        <v>170167423.46384999</v>
      </c>
      <c r="K179" s="64">
        <v>18274358.118000001</v>
      </c>
      <c r="L179" s="36">
        <f t="shared" si="16"/>
        <v>188441781.58184999</v>
      </c>
      <c r="M179" s="14"/>
    </row>
    <row r="180" spans="1:13" x14ac:dyDescent="0.25">
      <c r="A180" s="14"/>
      <c r="B180" s="14"/>
      <c r="C180" s="14"/>
      <c r="D180" s="277">
        <f>SUM(D168:D179)</f>
        <v>79500</v>
      </c>
      <c r="E180" s="277">
        <f>SUM(E168:E179)</f>
        <v>13010</v>
      </c>
      <c r="F180" s="284">
        <f>SUM(F168:F179)</f>
        <v>871136630.12300003</v>
      </c>
      <c r="G180" s="14"/>
      <c r="H180" s="14"/>
      <c r="I180" s="277">
        <f>SUM(I168:I179)</f>
        <v>4577.25</v>
      </c>
      <c r="J180" s="278">
        <f>SUM(J168:J179)</f>
        <v>410556190.15474999</v>
      </c>
      <c r="K180" s="282">
        <f>SUM(K168:K179)</f>
        <v>319473929.19400001</v>
      </c>
      <c r="L180" s="278">
        <f>SUM(L168:L179)</f>
        <v>730030119.34875011</v>
      </c>
      <c r="M180" s="278">
        <f>L180-K180</f>
        <v>410556190.15475011</v>
      </c>
    </row>
    <row r="181" spans="1:13" x14ac:dyDescent="0.25">
      <c r="B181"/>
      <c r="C181"/>
      <c r="D181"/>
      <c r="E181"/>
      <c r="F181"/>
      <c r="G181"/>
      <c r="H181"/>
      <c r="I181" s="281">
        <f>I180/E180</f>
        <v>0.35182551883166796</v>
      </c>
      <c r="J181"/>
      <c r="M181" s="82"/>
    </row>
    <row r="182" spans="1:13" x14ac:dyDescent="0.25">
      <c r="B182"/>
      <c r="C182"/>
      <c r="D182"/>
      <c r="E182"/>
      <c r="F182"/>
      <c r="G182"/>
      <c r="H182"/>
      <c r="I182"/>
      <c r="J182"/>
      <c r="M182" t="s">
        <v>286</v>
      </c>
    </row>
    <row r="183" spans="1:13" ht="75" x14ac:dyDescent="0.25">
      <c r="B183"/>
      <c r="C183"/>
      <c r="D183"/>
      <c r="E183" s="261" t="s">
        <v>260</v>
      </c>
      <c r="F183" s="256">
        <v>287231493.29400003</v>
      </c>
      <c r="G183"/>
      <c r="H183"/>
      <c r="I183"/>
      <c r="J183"/>
    </row>
    <row r="186" spans="1:13" ht="30" x14ac:dyDescent="0.25">
      <c r="E186" s="26" t="s">
        <v>259</v>
      </c>
      <c r="F186" s="256">
        <v>333661614.63499999</v>
      </c>
    </row>
    <row r="187" spans="1:13" x14ac:dyDescent="0.25">
      <c r="H187" s="15" t="s">
        <v>288</v>
      </c>
      <c r="I187" s="285" t="s">
        <v>289</v>
      </c>
    </row>
    <row r="188" spans="1:13" x14ac:dyDescent="0.25">
      <c r="I188" s="285" t="s">
        <v>290</v>
      </c>
    </row>
    <row r="189" spans="1:13" x14ac:dyDescent="0.25">
      <c r="I189" s="285" t="s">
        <v>291</v>
      </c>
    </row>
    <row r="196" spans="1:6" x14ac:dyDescent="0.25">
      <c r="C196" s="16" t="s">
        <v>248</v>
      </c>
      <c r="D196" s="16" t="s">
        <v>249</v>
      </c>
      <c r="E196" s="26" t="s">
        <v>250</v>
      </c>
      <c r="F196" s="15" t="s">
        <v>251</v>
      </c>
    </row>
    <row r="197" spans="1:6" x14ac:dyDescent="0.25">
      <c r="C197" s="16">
        <v>25000</v>
      </c>
      <c r="D197" s="16">
        <v>300000</v>
      </c>
      <c r="E197" s="26">
        <v>200000</v>
      </c>
      <c r="F197" s="15">
        <v>150000</v>
      </c>
    </row>
    <row r="198" spans="1:6" x14ac:dyDescent="0.25">
      <c r="A198" t="s">
        <v>257</v>
      </c>
      <c r="B198" s="26" t="s">
        <v>252</v>
      </c>
      <c r="C198" s="16">
        <v>25000</v>
      </c>
      <c r="D198" s="16">
        <v>200000</v>
      </c>
      <c r="E198" s="26">
        <v>200000</v>
      </c>
      <c r="F198" s="15">
        <v>150000</v>
      </c>
    </row>
    <row r="199" spans="1:6" x14ac:dyDescent="0.25">
      <c r="B199" s="26" t="s">
        <v>253</v>
      </c>
      <c r="C199" s="16">
        <v>175000</v>
      </c>
      <c r="D199" s="16">
        <v>0</v>
      </c>
      <c r="E199" s="26">
        <v>0</v>
      </c>
      <c r="F199" s="15">
        <v>50000</v>
      </c>
    </row>
    <row r="200" spans="1:6" x14ac:dyDescent="0.25">
      <c r="C200" s="16" t="s">
        <v>254</v>
      </c>
      <c r="D200" s="16" t="s">
        <v>255</v>
      </c>
      <c r="E200" s="16" t="s">
        <v>255</v>
      </c>
      <c r="F200" s="15" t="s">
        <v>256</v>
      </c>
    </row>
    <row r="203" spans="1:6" x14ac:dyDescent="0.25">
      <c r="A203" t="s">
        <v>258</v>
      </c>
      <c r="C203" s="16" t="s">
        <v>248</v>
      </c>
      <c r="D203" s="16" t="s">
        <v>249</v>
      </c>
      <c r="E203" s="26" t="s">
        <v>250</v>
      </c>
      <c r="F203" s="15" t="s">
        <v>251</v>
      </c>
    </row>
    <row r="204" spans="1:6" x14ac:dyDescent="0.25">
      <c r="A204">
        <v>250000</v>
      </c>
      <c r="C204" s="16">
        <v>25000</v>
      </c>
      <c r="D204" s="16">
        <v>300000</v>
      </c>
      <c r="E204" s="26">
        <v>200000</v>
      </c>
      <c r="F204" s="15">
        <v>150000</v>
      </c>
    </row>
    <row r="205" spans="1:6" x14ac:dyDescent="0.25">
      <c r="B205" s="26" t="s">
        <v>252</v>
      </c>
      <c r="C205" s="16">
        <v>25000</v>
      </c>
      <c r="D205" s="16">
        <v>250000</v>
      </c>
      <c r="E205" s="26">
        <v>200000</v>
      </c>
      <c r="F205" s="15">
        <v>150000</v>
      </c>
    </row>
    <row r="206" spans="1:6" x14ac:dyDescent="0.25">
      <c r="B206" s="26" t="s">
        <v>253</v>
      </c>
      <c r="C206" s="16">
        <v>225000</v>
      </c>
      <c r="D206" s="16">
        <v>0</v>
      </c>
      <c r="E206" s="26">
        <v>50000</v>
      </c>
      <c r="F206" s="15">
        <v>100000</v>
      </c>
    </row>
    <row r="207" spans="1:6" x14ac:dyDescent="0.25">
      <c r="C207" s="16" t="s">
        <v>254</v>
      </c>
      <c r="D207" s="16" t="s">
        <v>255</v>
      </c>
      <c r="E207" s="16" t="s">
        <v>255</v>
      </c>
      <c r="F207" s="15" t="s">
        <v>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7" sqref="F7"/>
    </sheetView>
  </sheetViews>
  <sheetFormatPr defaultRowHeight="15" x14ac:dyDescent="0.25"/>
  <cols>
    <col min="2" max="2" width="21.7109375" customWidth="1"/>
    <col min="4" max="4" width="11.42578125" customWidth="1"/>
    <col min="5" max="5" width="10.7109375" customWidth="1"/>
    <col min="11" max="11" width="10.85546875" customWidth="1"/>
    <col min="12" max="12" width="11.5703125" customWidth="1"/>
  </cols>
  <sheetData>
    <row r="1" spans="1:11" x14ac:dyDescent="0.25">
      <c r="A1" t="s">
        <v>13</v>
      </c>
    </row>
    <row r="2" spans="1:11" x14ac:dyDescent="0.25">
      <c r="B2" s="286" t="s">
        <v>261</v>
      </c>
      <c r="C2" s="287" t="s">
        <v>270</v>
      </c>
      <c r="D2" s="287"/>
      <c r="E2" s="287"/>
      <c r="F2" s="287"/>
      <c r="G2" s="262" t="s">
        <v>271</v>
      </c>
      <c r="H2" s="262"/>
      <c r="I2" s="262"/>
      <c r="J2" s="262"/>
      <c r="K2" s="286" t="s">
        <v>272</v>
      </c>
    </row>
    <row r="3" spans="1:11" ht="45" x14ac:dyDescent="0.25">
      <c r="B3" s="286"/>
      <c r="C3" s="274" t="s">
        <v>264</v>
      </c>
      <c r="D3" s="274" t="s">
        <v>265</v>
      </c>
      <c r="E3" s="274" t="s">
        <v>266</v>
      </c>
      <c r="F3" s="274" t="s">
        <v>267</v>
      </c>
      <c r="G3" s="274" t="s">
        <v>264</v>
      </c>
      <c r="H3" s="274" t="s">
        <v>268</v>
      </c>
      <c r="I3" s="274" t="s">
        <v>269</v>
      </c>
      <c r="J3" s="274" t="s">
        <v>267</v>
      </c>
      <c r="K3" s="286"/>
    </row>
    <row r="4" spans="1:11" x14ac:dyDescent="0.25">
      <c r="B4" s="263" t="s">
        <v>262</v>
      </c>
      <c r="C4" s="264">
        <v>0.43</v>
      </c>
      <c r="D4" s="264">
        <v>0.27</v>
      </c>
      <c r="E4" s="265">
        <v>0.16</v>
      </c>
      <c r="F4" s="266">
        <v>2.23</v>
      </c>
      <c r="G4" s="264">
        <v>-0.4</v>
      </c>
      <c r="H4" s="264">
        <v>-0.09</v>
      </c>
      <c r="I4" s="272">
        <v>-0.31</v>
      </c>
      <c r="J4" s="273">
        <v>-32.53</v>
      </c>
      <c r="K4" s="273">
        <v>-30.3</v>
      </c>
    </row>
    <row r="5" spans="1:11" x14ac:dyDescent="0.25">
      <c r="B5" s="263" t="s">
        <v>263</v>
      </c>
      <c r="C5" s="267">
        <v>1.36</v>
      </c>
      <c r="D5" s="267">
        <v>0.27</v>
      </c>
      <c r="E5" s="268">
        <v>1.0900000000000001</v>
      </c>
      <c r="F5" s="269">
        <v>14.72</v>
      </c>
      <c r="G5" s="267">
        <v>0.09</v>
      </c>
      <c r="H5" s="267">
        <v>-0.09</v>
      </c>
      <c r="I5" s="268">
        <v>0.17</v>
      </c>
      <c r="J5" s="269">
        <v>18.22</v>
      </c>
      <c r="K5" s="269">
        <v>32.94</v>
      </c>
    </row>
    <row r="6" spans="1:11" x14ac:dyDescent="0.25">
      <c r="B6" s="263"/>
      <c r="C6" s="263"/>
      <c r="D6" s="263"/>
      <c r="E6" s="269"/>
      <c r="F6" s="269"/>
      <c r="G6" s="263"/>
      <c r="H6" s="263"/>
      <c r="I6" s="269"/>
      <c r="J6" s="263"/>
      <c r="K6" s="263"/>
    </row>
    <row r="7" spans="1:11" x14ac:dyDescent="0.25">
      <c r="B7" s="263" t="s">
        <v>282</v>
      </c>
      <c r="C7" s="267">
        <v>0.31</v>
      </c>
      <c r="D7" s="267">
        <v>0.44</v>
      </c>
      <c r="E7" s="270">
        <v>-0.13</v>
      </c>
      <c r="F7" s="271">
        <v>-1.71</v>
      </c>
      <c r="G7" s="267">
        <v>-0.86</v>
      </c>
      <c r="H7" s="267">
        <v>-0.14000000000000001</v>
      </c>
      <c r="I7" s="270">
        <v>-0.72</v>
      </c>
      <c r="J7" s="271">
        <v>-76.14</v>
      </c>
      <c r="K7" s="271">
        <v>-77.849999999999994</v>
      </c>
    </row>
    <row r="8" spans="1:11" x14ac:dyDescent="0.25">
      <c r="B8" s="263" t="s">
        <v>283</v>
      </c>
      <c r="C8" s="267">
        <v>2.86</v>
      </c>
      <c r="D8" s="267">
        <v>0.44</v>
      </c>
      <c r="E8" s="268">
        <v>2.42</v>
      </c>
      <c r="F8" s="269">
        <v>32.799999999999997</v>
      </c>
      <c r="G8" s="267">
        <v>0.2</v>
      </c>
      <c r="H8" s="267">
        <v>-0.14000000000000001</v>
      </c>
      <c r="I8" s="268">
        <v>0.34</v>
      </c>
      <c r="J8" s="269">
        <v>35.39</v>
      </c>
      <c r="K8" s="269">
        <v>68.19</v>
      </c>
    </row>
    <row r="11" spans="1:11" x14ac:dyDescent="0.25">
      <c r="B11" t="s">
        <v>273</v>
      </c>
    </row>
    <row r="15" spans="1:11" ht="40.5" customHeight="1" x14ac:dyDescent="0.25"/>
    <row r="16" spans="1:11" ht="26.25" customHeight="1" x14ac:dyDescent="0.25"/>
  </sheetData>
  <mergeCells count="3">
    <mergeCell ref="B2:B3"/>
    <mergeCell ref="C2:F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workbookViewId="0">
      <selection activeCell="O7" sqref="O7:O16"/>
    </sheetView>
  </sheetViews>
  <sheetFormatPr defaultRowHeight="15" x14ac:dyDescent="0.25"/>
  <cols>
    <col min="1" max="1" width="14.42578125" customWidth="1"/>
    <col min="3" max="3" width="10" bestFit="1" customWidth="1"/>
    <col min="4" max="4" width="11" bestFit="1" customWidth="1"/>
    <col min="5" max="5" width="12" bestFit="1" customWidth="1"/>
    <col min="8" max="8" width="10.85546875" bestFit="1" customWidth="1"/>
    <col min="9" max="9" width="10.5703125" bestFit="1" customWidth="1"/>
    <col min="10" max="10" width="10.28515625" bestFit="1" customWidth="1"/>
    <col min="11" max="11" width="10.85546875" bestFit="1" customWidth="1"/>
    <col min="12" max="12" width="14.42578125" bestFit="1" customWidth="1"/>
    <col min="14" max="14" width="10.85546875" bestFit="1" customWidth="1"/>
    <col min="15" max="15" width="14" bestFit="1" customWidth="1"/>
    <col min="16" max="16" width="11.140625" customWidth="1"/>
    <col min="17" max="17" width="14" bestFit="1" customWidth="1"/>
    <col min="19" max="19" width="9.85546875" bestFit="1" customWidth="1"/>
    <col min="20" max="20" width="10.85546875" bestFit="1" customWidth="1"/>
    <col min="21" max="22" width="14.28515625" bestFit="1" customWidth="1"/>
    <col min="23" max="23" width="8.28515625" bestFit="1" customWidth="1"/>
    <col min="30" max="30" width="11.28515625" customWidth="1"/>
    <col min="31" max="31" width="11" customWidth="1"/>
    <col min="32" max="32" width="16.42578125" customWidth="1"/>
    <col min="33" max="33" width="17" customWidth="1"/>
    <col min="34" max="35" width="10.85546875" bestFit="1" customWidth="1"/>
    <col min="36" max="36" width="9.5703125" bestFit="1" customWidth="1"/>
  </cols>
  <sheetData>
    <row r="1" spans="1:22" x14ac:dyDescent="0.25">
      <c r="A1" t="s">
        <v>188</v>
      </c>
      <c r="F1" t="s">
        <v>190</v>
      </c>
    </row>
    <row r="2" spans="1:22" x14ac:dyDescent="0.25">
      <c r="A2" s="84" t="s">
        <v>189</v>
      </c>
      <c r="G2" t="s">
        <v>191</v>
      </c>
    </row>
    <row r="3" spans="1:22" x14ac:dyDescent="0.25">
      <c r="A3" s="84"/>
      <c r="G3" t="s">
        <v>192</v>
      </c>
    </row>
    <row r="4" spans="1:22" x14ac:dyDescent="0.25">
      <c r="G4" t="s">
        <v>193</v>
      </c>
    </row>
    <row r="5" spans="1:22" x14ac:dyDescent="0.25">
      <c r="A5" t="s">
        <v>164</v>
      </c>
      <c r="N5" s="288" t="s">
        <v>199</v>
      </c>
      <c r="O5" s="288"/>
      <c r="P5" s="288"/>
      <c r="Q5" s="288"/>
      <c r="U5">
        <v>25000</v>
      </c>
      <c r="V5">
        <v>50000</v>
      </c>
    </row>
    <row r="6" spans="1:22" ht="15.75" thickBot="1" x14ac:dyDescent="0.3">
      <c r="A6" s="8"/>
      <c r="B6" s="153" t="s">
        <v>153</v>
      </c>
      <c r="C6" s="146" t="s">
        <v>154</v>
      </c>
      <c r="D6" s="150" t="s">
        <v>155</v>
      </c>
      <c r="E6" s="149" t="s">
        <v>156</v>
      </c>
      <c r="F6" s="147" t="s">
        <v>157</v>
      </c>
      <c r="H6" s="176" t="s">
        <v>162</v>
      </c>
      <c r="I6" s="177" t="s">
        <v>161</v>
      </c>
      <c r="J6" s="176" t="s">
        <v>159</v>
      </c>
      <c r="K6" s="177" t="s">
        <v>160</v>
      </c>
      <c r="L6" s="176" t="s">
        <v>158</v>
      </c>
      <c r="N6" s="8" t="s">
        <v>27</v>
      </c>
      <c r="O6" s="8" t="s">
        <v>200</v>
      </c>
      <c r="P6" s="8" t="s">
        <v>201</v>
      </c>
      <c r="T6">
        <v>1000</v>
      </c>
      <c r="U6">
        <v>0.5</v>
      </c>
      <c r="V6">
        <v>0.32</v>
      </c>
    </row>
    <row r="7" spans="1:22" x14ac:dyDescent="0.25">
      <c r="A7" s="151" t="s">
        <v>129</v>
      </c>
      <c r="B7" s="161">
        <v>0.4955223880597015</v>
      </c>
      <c r="C7" s="162">
        <v>0.15223880597014924</v>
      </c>
      <c r="D7" s="9">
        <v>0.15820895522388059</v>
      </c>
      <c r="E7" s="9">
        <v>0.17313432835820897</v>
      </c>
      <c r="F7" s="9">
        <v>2.0895522388059702E-2</v>
      </c>
      <c r="H7" s="176" t="s">
        <v>129</v>
      </c>
      <c r="I7" s="178">
        <v>0</v>
      </c>
      <c r="J7" s="178">
        <v>0.4955223880597015</v>
      </c>
      <c r="K7" s="178">
        <f>SUM(C7:F7)</f>
        <v>0.5044776119402985</v>
      </c>
      <c r="L7" s="178">
        <f>SUM(D7:F7)</f>
        <v>0.35223880597014923</v>
      </c>
      <c r="N7" s="8" t="s">
        <v>202</v>
      </c>
      <c r="O7" s="8" t="s">
        <v>210</v>
      </c>
      <c r="P7" s="8"/>
      <c r="U7">
        <v>25000</v>
      </c>
      <c r="V7">
        <v>50000</v>
      </c>
    </row>
    <row r="8" spans="1:22" x14ac:dyDescent="0.25">
      <c r="A8" s="151" t="s">
        <v>130</v>
      </c>
      <c r="B8" s="163">
        <v>0.5062602068590093</v>
      </c>
      <c r="C8" s="162">
        <v>0.15024496461622211</v>
      </c>
      <c r="D8" s="9">
        <v>0.16058791507893305</v>
      </c>
      <c r="E8" s="9">
        <v>0.15459989112683722</v>
      </c>
      <c r="F8" s="9">
        <v>2.8307022318998367E-2</v>
      </c>
      <c r="H8" s="176" t="s">
        <v>130</v>
      </c>
      <c r="I8" s="178">
        <v>0</v>
      </c>
      <c r="J8" s="178">
        <v>0.5062602068590093</v>
      </c>
      <c r="K8" s="178">
        <f>SUM(C8:F8)</f>
        <v>0.49373979314099076</v>
      </c>
      <c r="L8" s="178">
        <f>SUM(D8:F8)</f>
        <v>0.34349482852476859</v>
      </c>
      <c r="N8" s="8" t="s">
        <v>202</v>
      </c>
      <c r="O8" s="8" t="s">
        <v>211</v>
      </c>
      <c r="P8" s="8"/>
      <c r="U8" s="20">
        <f>U7*T6*U6</f>
        <v>12500000</v>
      </c>
      <c r="V8" s="20">
        <f>V7*T6*V6</f>
        <v>16000000</v>
      </c>
    </row>
    <row r="9" spans="1:22" x14ac:dyDescent="0.25">
      <c r="A9" s="151" t="s">
        <v>131</v>
      </c>
      <c r="B9" s="163">
        <v>0.48333333333333334</v>
      </c>
      <c r="C9" s="162">
        <v>0.18815789473684211</v>
      </c>
      <c r="D9" s="9">
        <v>0.17587719298245613</v>
      </c>
      <c r="E9" s="9">
        <v>0.13728070175438598</v>
      </c>
      <c r="F9" s="9">
        <v>1.5350877192982455E-2</v>
      </c>
      <c r="H9" s="176" t="s">
        <v>131</v>
      </c>
      <c r="I9" s="178">
        <v>0</v>
      </c>
      <c r="J9" s="178">
        <v>0.48333333333333334</v>
      </c>
      <c r="K9" s="178">
        <f>SUM(C9:F9)</f>
        <v>0.51666666666666672</v>
      </c>
      <c r="L9" s="178">
        <f>SUM(D9:F9)</f>
        <v>0.32850877192982453</v>
      </c>
      <c r="N9" s="8" t="s">
        <v>202</v>
      </c>
      <c r="O9" s="8" t="s">
        <v>212</v>
      </c>
      <c r="P9" s="8"/>
      <c r="V9" s="214">
        <f>V8-U8</f>
        <v>3500000</v>
      </c>
    </row>
    <row r="10" spans="1:22" x14ac:dyDescent="0.25">
      <c r="A10" s="151" t="s">
        <v>132</v>
      </c>
      <c r="B10" s="163">
        <v>0.41871267418712677</v>
      </c>
      <c r="C10" s="162">
        <v>0.22428666224286661</v>
      </c>
      <c r="D10" s="9">
        <v>0.17650962176509621</v>
      </c>
      <c r="E10" s="9">
        <v>0.16323822163238222</v>
      </c>
      <c r="F10" s="9">
        <v>1.7252820172528202E-2</v>
      </c>
      <c r="H10" s="176" t="s">
        <v>132</v>
      </c>
      <c r="I10" s="178">
        <v>0</v>
      </c>
      <c r="J10" s="178">
        <v>0.41871267418712677</v>
      </c>
      <c r="K10" s="178">
        <f>SUM(C10:F10)</f>
        <v>0.58128732581287323</v>
      </c>
      <c r="L10" s="178">
        <f>SUM(D10:F10)</f>
        <v>0.35700066357000665</v>
      </c>
      <c r="N10" s="8" t="s">
        <v>202</v>
      </c>
      <c r="O10" s="8" t="s">
        <v>211</v>
      </c>
      <c r="P10" s="8"/>
    </row>
    <row r="11" spans="1:22" ht="15.75" thickBot="1" x14ac:dyDescent="0.3">
      <c r="A11" s="151" t="s">
        <v>133</v>
      </c>
      <c r="B11" s="164">
        <v>0.30197268588770865</v>
      </c>
      <c r="C11" s="165">
        <v>0.25796661608497723</v>
      </c>
      <c r="D11" s="9">
        <v>0.23179059180576631</v>
      </c>
      <c r="E11" s="9">
        <v>0.18247344461305007</v>
      </c>
      <c r="F11" s="9">
        <v>2.5796661608497723E-2</v>
      </c>
      <c r="H11" s="176" t="s">
        <v>133</v>
      </c>
      <c r="I11" s="178">
        <v>0</v>
      </c>
      <c r="J11" s="178">
        <v>0.30197268588770865</v>
      </c>
      <c r="K11" s="178">
        <f>SUM(C11:F11)</f>
        <v>0.69802731411229124</v>
      </c>
      <c r="L11" s="178">
        <f>SUM(D11:F11)</f>
        <v>0.44006069802731407</v>
      </c>
      <c r="N11" s="8" t="s">
        <v>203</v>
      </c>
      <c r="O11" s="8" t="s">
        <v>213</v>
      </c>
      <c r="P11" s="8"/>
    </row>
    <row r="12" spans="1:22" ht="15.75" thickBot="1" x14ac:dyDescent="0.3">
      <c r="A12" s="148" t="s">
        <v>134</v>
      </c>
      <c r="B12" s="166">
        <v>0.15724027276373848</v>
      </c>
      <c r="C12" s="167">
        <v>0.2831929402326514</v>
      </c>
      <c r="D12" s="165">
        <v>0.31809065383072604</v>
      </c>
      <c r="E12" s="9">
        <v>0.22342559165663858</v>
      </c>
      <c r="F12" s="9">
        <v>1.8050541516245487E-2</v>
      </c>
      <c r="H12" s="176" t="s">
        <v>134</v>
      </c>
      <c r="I12" s="178">
        <v>0.15724027276373848</v>
      </c>
      <c r="J12" s="178">
        <v>0.2831929402326514</v>
      </c>
      <c r="K12" s="178">
        <f>SUM(D12:F12)</f>
        <v>0.55956678700361018</v>
      </c>
      <c r="L12" s="178">
        <f>SUM(E12:F12)</f>
        <v>0.24147613317288408</v>
      </c>
      <c r="N12" s="8" t="s">
        <v>204</v>
      </c>
      <c r="O12" s="8" t="s">
        <v>214</v>
      </c>
      <c r="P12" s="8"/>
    </row>
    <row r="13" spans="1:22" ht="15.75" thickBot="1" x14ac:dyDescent="0.3">
      <c r="A13" s="150" t="s">
        <v>135</v>
      </c>
      <c r="B13" s="9">
        <v>7.6955964087216763E-2</v>
      </c>
      <c r="C13" s="166">
        <v>0.12526720820863618</v>
      </c>
      <c r="D13" s="167">
        <v>0.39204788371098759</v>
      </c>
      <c r="E13" s="165">
        <v>0.38007695596408719</v>
      </c>
      <c r="F13" s="9">
        <v>2.5651988029072252E-2</v>
      </c>
      <c r="H13" s="176" t="s">
        <v>135</v>
      </c>
      <c r="I13" s="178">
        <f>SUM(B13:C13)</f>
        <v>0.20222317229585296</v>
      </c>
      <c r="J13" s="178">
        <v>0.39204788371098759</v>
      </c>
      <c r="K13" s="178">
        <f>SUM(E13:F13)</f>
        <v>0.40572894399315945</v>
      </c>
      <c r="L13" s="178">
        <f>SUM(F13)</f>
        <v>2.5651988029072252E-2</v>
      </c>
      <c r="N13" s="181" t="s">
        <v>205</v>
      </c>
      <c r="O13" s="8" t="s">
        <v>215</v>
      </c>
      <c r="P13" s="8"/>
    </row>
    <row r="14" spans="1:22" x14ac:dyDescent="0.25">
      <c r="A14" s="149" t="s">
        <v>136</v>
      </c>
      <c r="B14" s="9">
        <v>4.1941282204913125E-2</v>
      </c>
      <c r="C14" s="9">
        <v>6.1713600958657876E-2</v>
      </c>
      <c r="D14" s="166">
        <v>0.14140203714799282</v>
      </c>
      <c r="E14" s="161">
        <v>0.70521270221689636</v>
      </c>
      <c r="F14" s="162">
        <v>4.9730377471539841E-2</v>
      </c>
      <c r="H14" s="176" t="s">
        <v>136</v>
      </c>
      <c r="I14" s="178">
        <f>SUM(B14:D14)</f>
        <v>0.24505692031156381</v>
      </c>
      <c r="J14" s="178">
        <v>0.70521270221689636</v>
      </c>
      <c r="K14" s="178">
        <f>SUM(F14)</f>
        <v>4.9730377471539841E-2</v>
      </c>
      <c r="L14" s="178"/>
      <c r="N14" s="8" t="s">
        <v>206</v>
      </c>
      <c r="O14" s="8" t="s">
        <v>216</v>
      </c>
      <c r="P14" s="8"/>
    </row>
    <row r="15" spans="1:22" ht="15.75" thickBot="1" x14ac:dyDescent="0.3">
      <c r="A15" s="149" t="s">
        <v>137</v>
      </c>
      <c r="B15" s="9">
        <v>2.8089887640449437E-2</v>
      </c>
      <c r="C15" s="9">
        <v>1.6853932584269662E-2</v>
      </c>
      <c r="D15" s="168">
        <v>6.1797752808988762E-2</v>
      </c>
      <c r="E15" s="164">
        <v>0.7126805778491172</v>
      </c>
      <c r="F15" s="165">
        <v>0.18057784911717495</v>
      </c>
      <c r="H15" s="176" t="s">
        <v>137</v>
      </c>
      <c r="I15" s="178">
        <f>SUM(B15:D15)</f>
        <v>0.10674157303370786</v>
      </c>
      <c r="J15" s="178">
        <v>0.7126805778491172</v>
      </c>
      <c r="K15" s="178">
        <f>SUM(F15)</f>
        <v>0.18057784911717495</v>
      </c>
      <c r="L15" s="178"/>
      <c r="N15" s="8" t="s">
        <v>209</v>
      </c>
      <c r="O15" s="8" t="s">
        <v>217</v>
      </c>
      <c r="P15" s="8"/>
    </row>
    <row r="16" spans="1:22" ht="15.75" thickBot="1" x14ac:dyDescent="0.3">
      <c r="A16" s="147" t="s">
        <v>138</v>
      </c>
      <c r="B16" s="9">
        <v>8.8495575221238937E-3</v>
      </c>
      <c r="C16" s="9">
        <v>1.9469026548672566E-2</v>
      </c>
      <c r="D16" s="9">
        <v>1.9469026548672566E-2</v>
      </c>
      <c r="E16" s="166">
        <v>0.21061946902654868</v>
      </c>
      <c r="F16" s="167">
        <v>0.74159292035398228</v>
      </c>
      <c r="H16" s="176" t="s">
        <v>138</v>
      </c>
      <c r="I16" s="178">
        <f>SUM(B16:E16)</f>
        <v>0.25840707964601772</v>
      </c>
      <c r="J16" s="178">
        <v>0.74159292035398228</v>
      </c>
      <c r="K16" s="178"/>
      <c r="L16" s="178"/>
      <c r="N16" s="8" t="s">
        <v>208</v>
      </c>
      <c r="O16" s="8" t="s">
        <v>207</v>
      </c>
      <c r="P16" s="8"/>
    </row>
    <row r="18" spans="1:33" x14ac:dyDescent="0.25">
      <c r="A18" t="s">
        <v>195</v>
      </c>
    </row>
    <row r="19" spans="1:33" x14ac:dyDescent="0.25">
      <c r="A19" t="s">
        <v>194</v>
      </c>
    </row>
    <row r="20" spans="1:33" x14ac:dyDescent="0.25">
      <c r="A20" t="s">
        <v>196</v>
      </c>
    </row>
    <row r="22" spans="1:33" x14ac:dyDescent="0.25">
      <c r="A22" t="s">
        <v>197</v>
      </c>
    </row>
    <row r="23" spans="1:33" x14ac:dyDescent="0.25">
      <c r="A23" t="s">
        <v>198</v>
      </c>
    </row>
    <row r="25" spans="1:33" x14ac:dyDescent="0.25">
      <c r="AC25" s="178" t="s">
        <v>162</v>
      </c>
      <c r="AD25" s="178" t="s">
        <v>161</v>
      </c>
      <c r="AE25" s="178" t="s">
        <v>159</v>
      </c>
      <c r="AF25" s="178" t="s">
        <v>160</v>
      </c>
      <c r="AG25" s="178" t="s">
        <v>158</v>
      </c>
    </row>
    <row r="26" spans="1:33" x14ac:dyDescent="0.25">
      <c r="AC26" s="178" t="s">
        <v>136</v>
      </c>
      <c r="AD26" s="178">
        <v>0.24505692031156381</v>
      </c>
      <c r="AE26" s="178">
        <v>0.70521270221689636</v>
      </c>
      <c r="AF26" s="178">
        <v>4.9730377471539841E-2</v>
      </c>
      <c r="AG26" s="178"/>
    </row>
    <row r="27" spans="1:33" x14ac:dyDescent="0.25">
      <c r="AC27" s="178" t="s">
        <v>137</v>
      </c>
      <c r="AD27" s="178">
        <v>0.10674157303370786</v>
      </c>
      <c r="AE27" s="178">
        <v>0.7126805778491172</v>
      </c>
      <c r="AF27" s="178">
        <v>0.18057784911717495</v>
      </c>
      <c r="AG27" s="178"/>
    </row>
    <row r="28" spans="1:33" x14ac:dyDescent="0.25">
      <c r="A28" s="8" t="s">
        <v>151</v>
      </c>
      <c r="B28" s="8" t="s">
        <v>129</v>
      </c>
      <c r="C28" s="8" t="s">
        <v>130</v>
      </c>
      <c r="D28" s="8" t="s">
        <v>131</v>
      </c>
      <c r="E28" s="8" t="s">
        <v>132</v>
      </c>
      <c r="F28" s="8" t="s">
        <v>133</v>
      </c>
      <c r="G28" s="8" t="s">
        <v>134</v>
      </c>
      <c r="H28" s="8" t="s">
        <v>135</v>
      </c>
      <c r="I28" s="8" t="s">
        <v>136</v>
      </c>
      <c r="J28" s="8" t="s">
        <v>218</v>
      </c>
      <c r="K28" s="8" t="s">
        <v>219</v>
      </c>
      <c r="L28" s="8" t="s">
        <v>220</v>
      </c>
      <c r="M28" s="8" t="s">
        <v>221</v>
      </c>
      <c r="O28" s="8" t="s">
        <v>151</v>
      </c>
      <c r="P28" s="8" t="s">
        <v>129</v>
      </c>
      <c r="Q28" s="8" t="s">
        <v>130</v>
      </c>
      <c r="R28" s="8" t="s">
        <v>131</v>
      </c>
      <c r="S28" s="8" t="s">
        <v>132</v>
      </c>
      <c r="T28" s="8" t="s">
        <v>133</v>
      </c>
      <c r="U28" s="8" t="s">
        <v>134</v>
      </c>
      <c r="V28" s="8" t="s">
        <v>135</v>
      </c>
      <c r="W28" s="8" t="s">
        <v>136</v>
      </c>
      <c r="X28" s="8" t="s">
        <v>218</v>
      </c>
      <c r="Y28" s="8" t="s">
        <v>219</v>
      </c>
      <c r="Z28" s="8" t="s">
        <v>220</v>
      </c>
      <c r="AA28" s="8" t="s">
        <v>221</v>
      </c>
      <c r="AC28" s="178" t="s">
        <v>138</v>
      </c>
      <c r="AD28" s="178">
        <v>0.25840707964601772</v>
      </c>
      <c r="AE28" s="178">
        <v>0.74159292035398228</v>
      </c>
      <c r="AF28" s="178"/>
      <c r="AG28" s="178"/>
    </row>
    <row r="29" spans="1:33" x14ac:dyDescent="0.25">
      <c r="A29" s="8" t="s">
        <v>139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O29" s="8" t="s">
        <v>139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33" x14ac:dyDescent="0.25">
      <c r="A30" s="8" t="s">
        <v>129</v>
      </c>
      <c r="B30" s="260">
        <v>5</v>
      </c>
      <c r="C30" s="260">
        <v>24</v>
      </c>
      <c r="D30" s="260">
        <v>65</v>
      </c>
      <c r="E30" s="260">
        <v>61</v>
      </c>
      <c r="F30" s="260">
        <v>64</v>
      </c>
      <c r="G30" s="260">
        <v>61</v>
      </c>
      <c r="H30" s="260">
        <v>38</v>
      </c>
      <c r="I30" s="260">
        <v>19</v>
      </c>
      <c r="J30" s="260">
        <v>11</v>
      </c>
      <c r="K30" s="260">
        <v>4</v>
      </c>
      <c r="L30">
        <v>4</v>
      </c>
      <c r="M30">
        <v>4</v>
      </c>
      <c r="O30" s="8" t="s">
        <v>129</v>
      </c>
      <c r="P30" s="9">
        <f>B30/SUM($B30:$M30)</f>
        <v>1.3888888888888888E-2</v>
      </c>
      <c r="Q30" s="9">
        <f t="shared" ref="Q30:AA30" si="0">C30/SUM($B30:$M30)</f>
        <v>6.6666666666666666E-2</v>
      </c>
      <c r="R30" s="9">
        <f t="shared" si="0"/>
        <v>0.18055555555555555</v>
      </c>
      <c r="S30" s="9">
        <f t="shared" si="0"/>
        <v>0.16944444444444445</v>
      </c>
      <c r="T30" s="9">
        <f t="shared" si="0"/>
        <v>0.17777777777777778</v>
      </c>
      <c r="U30" s="9">
        <f t="shared" si="0"/>
        <v>0.16944444444444445</v>
      </c>
      <c r="V30" s="9">
        <f t="shared" si="0"/>
        <v>0.10555555555555556</v>
      </c>
      <c r="W30" s="9">
        <f t="shared" si="0"/>
        <v>5.2777777777777778E-2</v>
      </c>
      <c r="X30" s="9">
        <f t="shared" si="0"/>
        <v>3.0555555555555555E-2</v>
      </c>
      <c r="Y30" s="9">
        <f t="shared" si="0"/>
        <v>1.1111111111111112E-2</v>
      </c>
      <c r="Z30" s="9">
        <f t="shared" si="0"/>
        <v>1.1111111111111112E-2</v>
      </c>
      <c r="AA30" s="9">
        <f t="shared" si="0"/>
        <v>1.1111111111111112E-2</v>
      </c>
    </row>
    <row r="31" spans="1:33" x14ac:dyDescent="0.25">
      <c r="A31" s="8" t="s">
        <v>130</v>
      </c>
      <c r="B31" s="259">
        <v>2</v>
      </c>
      <c r="C31" s="259">
        <v>163</v>
      </c>
      <c r="D31" s="259">
        <v>444</v>
      </c>
      <c r="E31" s="259">
        <v>238</v>
      </c>
      <c r="F31" s="259">
        <v>280</v>
      </c>
      <c r="G31" s="259">
        <v>240</v>
      </c>
      <c r="H31" s="259">
        <v>181</v>
      </c>
      <c r="I31" s="259">
        <v>104</v>
      </c>
      <c r="J31" s="259">
        <v>33</v>
      </c>
      <c r="K31" s="259">
        <v>15</v>
      </c>
      <c r="L31">
        <v>11</v>
      </c>
      <c r="M31">
        <v>21</v>
      </c>
      <c r="O31" s="8" t="s">
        <v>130</v>
      </c>
      <c r="P31" s="9">
        <f t="shared" ref="P31:P41" si="1">B31/SUM($B31:$M31)</f>
        <v>1.1547344110854503E-3</v>
      </c>
      <c r="Q31" s="9">
        <f t="shared" ref="Q31:Q41" si="2">C31/SUM($B31:$M31)</f>
        <v>9.4110854503464209E-2</v>
      </c>
      <c r="R31" s="9">
        <f t="shared" ref="R31:R41" si="3">D31/SUM($B31:$M31)</f>
        <v>0.25635103926096997</v>
      </c>
      <c r="S31" s="9">
        <f t="shared" ref="S31:S41" si="4">E31/SUM($B31:$M31)</f>
        <v>0.1374133949191686</v>
      </c>
      <c r="T31" s="9">
        <f t="shared" ref="T31:T41" si="5">F31/SUM($B31:$M31)</f>
        <v>0.16166281755196305</v>
      </c>
      <c r="U31" s="9">
        <f t="shared" ref="U31:U41" si="6">G31/SUM($B31:$M31)</f>
        <v>0.13856812933025403</v>
      </c>
      <c r="V31" s="9">
        <f t="shared" ref="V31:V41" si="7">H31/SUM($B31:$M31)</f>
        <v>0.10450346420323325</v>
      </c>
      <c r="W31" s="9">
        <f t="shared" ref="W31:W41" si="8">I31/SUM($B31:$M31)</f>
        <v>6.0046189376443418E-2</v>
      </c>
      <c r="X31" s="9">
        <f t="shared" ref="X31:X41" si="9">J31/SUM($B31:$M31)</f>
        <v>1.9053117782909929E-2</v>
      </c>
      <c r="Y31" s="9">
        <f t="shared" ref="Y31:Y41" si="10">K31/SUM($B31:$M31)</f>
        <v>8.6605080831408769E-3</v>
      </c>
      <c r="Z31" s="9">
        <f t="shared" ref="Z31:Z41" si="11">L31/SUM($B31:$M31)</f>
        <v>6.3510392609699767E-3</v>
      </c>
      <c r="AA31" s="9">
        <f t="shared" ref="AA31:AA41" si="12">M31/SUM($B31:$M31)</f>
        <v>1.2124711316397229E-2</v>
      </c>
      <c r="AF31" s="199" t="s">
        <v>223</v>
      </c>
      <c r="AG31" s="199" t="s">
        <v>222</v>
      </c>
    </row>
    <row r="32" spans="1:33" x14ac:dyDescent="0.25">
      <c r="A32" s="8" t="s">
        <v>131</v>
      </c>
      <c r="B32" s="260">
        <v>1</v>
      </c>
      <c r="C32" s="260">
        <v>77</v>
      </c>
      <c r="D32" s="260">
        <v>436</v>
      </c>
      <c r="E32" s="260">
        <v>372</v>
      </c>
      <c r="F32" s="260">
        <v>432</v>
      </c>
      <c r="G32" s="260">
        <v>326</v>
      </c>
      <c r="H32" s="260">
        <v>238</v>
      </c>
      <c r="I32" s="260">
        <v>115</v>
      </c>
      <c r="J32" s="260">
        <v>38</v>
      </c>
      <c r="K32" s="260">
        <v>13</v>
      </c>
      <c r="L32">
        <v>14</v>
      </c>
      <c r="M32">
        <v>18</v>
      </c>
      <c r="O32" s="8" t="s">
        <v>131</v>
      </c>
      <c r="P32" s="9">
        <f t="shared" si="1"/>
        <v>4.807692307692308E-4</v>
      </c>
      <c r="Q32" s="9">
        <f t="shared" si="2"/>
        <v>3.701923076923077E-2</v>
      </c>
      <c r="R32" s="9">
        <f t="shared" si="3"/>
        <v>0.20961538461538462</v>
      </c>
      <c r="S32" s="9">
        <f t="shared" si="4"/>
        <v>0.17884615384615385</v>
      </c>
      <c r="T32" s="9">
        <f t="shared" si="5"/>
        <v>0.2076923076923077</v>
      </c>
      <c r="U32" s="9">
        <f t="shared" si="6"/>
        <v>0.15673076923076923</v>
      </c>
      <c r="V32" s="9">
        <f t="shared" si="7"/>
        <v>0.11442307692307692</v>
      </c>
      <c r="W32" s="9">
        <f t="shared" si="8"/>
        <v>5.5288461538461536E-2</v>
      </c>
      <c r="X32" s="9">
        <f t="shared" si="9"/>
        <v>1.826923076923077E-2</v>
      </c>
      <c r="Y32" s="9">
        <f t="shared" si="10"/>
        <v>6.2500000000000003E-3</v>
      </c>
      <c r="Z32" s="9">
        <f t="shared" si="11"/>
        <v>6.7307692307692311E-3</v>
      </c>
      <c r="AA32" s="9">
        <f t="shared" si="12"/>
        <v>8.6538461538461543E-3</v>
      </c>
      <c r="AC32" s="176" t="s">
        <v>162</v>
      </c>
      <c r="AD32" s="177" t="s">
        <v>161</v>
      </c>
      <c r="AE32" s="176" t="s">
        <v>159</v>
      </c>
      <c r="AF32" s="177" t="s">
        <v>160</v>
      </c>
      <c r="AG32" s="176" t="s">
        <v>158</v>
      </c>
    </row>
    <row r="33" spans="1:41" x14ac:dyDescent="0.25">
      <c r="A33" s="8" t="s">
        <v>132</v>
      </c>
      <c r="B33" s="259">
        <v>1</v>
      </c>
      <c r="C33" s="259">
        <v>27</v>
      </c>
      <c r="D33" s="259">
        <v>142</v>
      </c>
      <c r="E33" s="259">
        <v>185</v>
      </c>
      <c r="F33" s="259">
        <v>356</v>
      </c>
      <c r="G33" s="259">
        <v>280</v>
      </c>
      <c r="H33" s="259">
        <v>184</v>
      </c>
      <c r="I33" s="259">
        <v>87</v>
      </c>
      <c r="J33" s="259">
        <v>30</v>
      </c>
      <c r="K33" s="259">
        <v>10</v>
      </c>
      <c r="L33">
        <v>5</v>
      </c>
      <c r="M33">
        <v>16</v>
      </c>
      <c r="O33" s="8" t="s">
        <v>132</v>
      </c>
      <c r="P33" s="9">
        <f t="shared" si="1"/>
        <v>7.5585789871504159E-4</v>
      </c>
      <c r="Q33" s="9">
        <f t="shared" si="2"/>
        <v>2.0408163265306121E-2</v>
      </c>
      <c r="R33" s="9">
        <f t="shared" si="3"/>
        <v>0.10733182161753591</v>
      </c>
      <c r="S33" s="9">
        <f t="shared" si="4"/>
        <v>0.13983371126228269</v>
      </c>
      <c r="T33" s="9">
        <f t="shared" si="5"/>
        <v>0.26908541194255481</v>
      </c>
      <c r="U33" s="9">
        <f t="shared" si="6"/>
        <v>0.21164021164021163</v>
      </c>
      <c r="V33" s="9">
        <f t="shared" si="7"/>
        <v>0.13907785336356765</v>
      </c>
      <c r="W33" s="9">
        <f t="shared" si="8"/>
        <v>6.5759637188208611E-2</v>
      </c>
      <c r="X33" s="9">
        <f t="shared" si="9"/>
        <v>2.2675736961451247E-2</v>
      </c>
      <c r="Y33" s="9">
        <f t="shared" si="10"/>
        <v>7.5585789871504159E-3</v>
      </c>
      <c r="Z33" s="9">
        <f t="shared" si="11"/>
        <v>3.779289493575208E-3</v>
      </c>
      <c r="AA33" s="9">
        <f t="shared" si="12"/>
        <v>1.2093726379440665E-2</v>
      </c>
      <c r="AC33" s="8" t="s">
        <v>136</v>
      </c>
      <c r="AD33" s="178">
        <f>SUM(P37:V37)</f>
        <v>0.26908396946564883</v>
      </c>
      <c r="AE33" s="197">
        <f>W37/SUM(P37:AA37)</f>
        <v>0.43416030534351147</v>
      </c>
      <c r="AF33" s="178">
        <f>SUM(X37:AA37)</f>
        <v>0.29675572519083965</v>
      </c>
      <c r="AG33" s="178">
        <f>SUM(Y37:AA37)</f>
        <v>0.12595419847328243</v>
      </c>
    </row>
    <row r="34" spans="1:41" x14ac:dyDescent="0.25">
      <c r="A34" s="8" t="s">
        <v>133</v>
      </c>
      <c r="B34" s="260">
        <v>2</v>
      </c>
      <c r="C34" s="260">
        <v>23</v>
      </c>
      <c r="D34" s="260">
        <v>107</v>
      </c>
      <c r="E34" s="260">
        <v>179</v>
      </c>
      <c r="F34" s="260">
        <v>517</v>
      </c>
      <c r="G34" s="260">
        <v>547</v>
      </c>
      <c r="H34" s="260">
        <v>386</v>
      </c>
      <c r="I34" s="260">
        <v>181</v>
      </c>
      <c r="J34" s="260">
        <v>56</v>
      </c>
      <c r="K34" s="260">
        <v>23</v>
      </c>
      <c r="L34">
        <v>7</v>
      </c>
      <c r="M34">
        <v>40</v>
      </c>
      <c r="O34" s="8" t="s">
        <v>133</v>
      </c>
      <c r="P34" s="9">
        <f t="shared" si="1"/>
        <v>9.6711798839458415E-4</v>
      </c>
      <c r="Q34" s="9">
        <f t="shared" si="2"/>
        <v>1.1121856866537718E-2</v>
      </c>
      <c r="R34" s="9">
        <f t="shared" si="3"/>
        <v>5.1740812379110254E-2</v>
      </c>
      <c r="S34" s="9">
        <f t="shared" si="4"/>
        <v>8.6557059961315283E-2</v>
      </c>
      <c r="T34" s="9">
        <f t="shared" si="5"/>
        <v>0.25</v>
      </c>
      <c r="U34" s="9">
        <f t="shared" si="6"/>
        <v>0.26450676982591875</v>
      </c>
      <c r="V34" s="9">
        <f t="shared" si="7"/>
        <v>0.18665377176015474</v>
      </c>
      <c r="W34" s="9">
        <f t="shared" si="8"/>
        <v>8.7524177949709861E-2</v>
      </c>
      <c r="X34" s="9">
        <f t="shared" si="9"/>
        <v>2.7079303675048357E-2</v>
      </c>
      <c r="Y34" s="9">
        <f t="shared" si="10"/>
        <v>1.1121856866537718E-2</v>
      </c>
      <c r="Z34" s="9">
        <f t="shared" si="11"/>
        <v>3.3849129593810446E-3</v>
      </c>
      <c r="AA34" s="9">
        <f t="shared" si="12"/>
        <v>1.9342359767891684E-2</v>
      </c>
      <c r="AC34" s="8" t="s">
        <v>218</v>
      </c>
      <c r="AD34" s="195">
        <f>SUM(P38:W38)/SUM(P38:AA38)</f>
        <v>0.31308411214953269</v>
      </c>
      <c r="AE34" s="178">
        <v>0.31065088757396447</v>
      </c>
      <c r="AF34" s="196">
        <f>SUM(Y38:AA38)</f>
        <v>0.37616822429906538</v>
      </c>
      <c r="AG34" s="178">
        <f>SUM(Z38:AA38)</f>
        <v>0.17523364485981308</v>
      </c>
    </row>
    <row r="35" spans="1:41" ht="15.75" thickBot="1" x14ac:dyDescent="0.3">
      <c r="A35" s="8" t="s">
        <v>134</v>
      </c>
      <c r="B35" s="259">
        <v>0</v>
      </c>
      <c r="C35" s="259">
        <v>7</v>
      </c>
      <c r="D35" s="259">
        <v>38</v>
      </c>
      <c r="E35" s="259">
        <v>64</v>
      </c>
      <c r="F35" s="259">
        <v>275</v>
      </c>
      <c r="G35" s="259">
        <v>494</v>
      </c>
      <c r="H35" s="259">
        <v>489</v>
      </c>
      <c r="I35" s="259">
        <v>231</v>
      </c>
      <c r="J35" s="259">
        <v>62</v>
      </c>
      <c r="K35" s="259">
        <v>19</v>
      </c>
      <c r="L35">
        <v>14</v>
      </c>
      <c r="M35">
        <v>28</v>
      </c>
      <c r="O35" s="222" t="s">
        <v>134</v>
      </c>
      <c r="P35" s="182">
        <f t="shared" si="1"/>
        <v>0</v>
      </c>
      <c r="Q35" s="182">
        <f t="shared" si="2"/>
        <v>4.0674026728646133E-3</v>
      </c>
      <c r="R35" s="182">
        <f t="shared" si="3"/>
        <v>2.2080185938407902E-2</v>
      </c>
      <c r="S35" s="182">
        <f t="shared" si="4"/>
        <v>3.7187681580476466E-2</v>
      </c>
      <c r="T35" s="182">
        <f t="shared" si="5"/>
        <v>0.15979081929110983</v>
      </c>
      <c r="U35" s="182">
        <f t="shared" si="6"/>
        <v>0.28704241719930274</v>
      </c>
      <c r="V35" s="182">
        <f t="shared" si="7"/>
        <v>0.28413712957582798</v>
      </c>
      <c r="W35" s="182">
        <f t="shared" si="8"/>
        <v>0.13422428820453225</v>
      </c>
      <c r="X35" s="182">
        <f t="shared" si="9"/>
        <v>3.6025566531086579E-2</v>
      </c>
      <c r="Y35" s="182">
        <f t="shared" si="10"/>
        <v>1.1040092969203951E-2</v>
      </c>
      <c r="Z35" s="182">
        <f t="shared" si="11"/>
        <v>8.1348053457292267E-3</v>
      </c>
      <c r="AA35" s="182">
        <f t="shared" si="12"/>
        <v>1.6269610691458453E-2</v>
      </c>
      <c r="AC35" s="8" t="s">
        <v>219</v>
      </c>
      <c r="AD35" s="178">
        <f>SUM(P39:X39)</f>
        <v>0.34497816593886466</v>
      </c>
      <c r="AE35" s="198">
        <v>0.28690807799442897</v>
      </c>
      <c r="AF35" s="178">
        <f>SUM(Z39:AA39)</f>
        <v>0.31441048034934499</v>
      </c>
      <c r="AG35" s="178">
        <f>AA39</f>
        <v>0.13100436681222707</v>
      </c>
    </row>
    <row r="36" spans="1:41" ht="15.75" thickBot="1" x14ac:dyDescent="0.3">
      <c r="A36" s="8" t="s">
        <v>135</v>
      </c>
      <c r="B36" s="260">
        <v>0</v>
      </c>
      <c r="C36" s="260">
        <v>11</v>
      </c>
      <c r="D36" s="260">
        <v>14</v>
      </c>
      <c r="E36" s="260">
        <v>29</v>
      </c>
      <c r="F36" s="260">
        <v>98</v>
      </c>
      <c r="G36" s="260">
        <v>215</v>
      </c>
      <c r="H36" s="260">
        <v>578</v>
      </c>
      <c r="I36" s="260">
        <v>389</v>
      </c>
      <c r="J36" s="260">
        <v>90</v>
      </c>
      <c r="K36" s="260">
        <v>26</v>
      </c>
      <c r="L36">
        <v>16</v>
      </c>
      <c r="M36">
        <v>39</v>
      </c>
      <c r="O36" s="223" t="s">
        <v>135</v>
      </c>
      <c r="P36" s="224">
        <f t="shared" si="1"/>
        <v>0</v>
      </c>
      <c r="Q36" s="224">
        <f t="shared" si="2"/>
        <v>7.3089700996677737E-3</v>
      </c>
      <c r="R36" s="224">
        <f t="shared" si="3"/>
        <v>9.3023255813953487E-3</v>
      </c>
      <c r="S36" s="224">
        <f t="shared" si="4"/>
        <v>1.9269102990033222E-2</v>
      </c>
      <c r="T36" s="224">
        <f t="shared" si="5"/>
        <v>6.5116279069767441E-2</v>
      </c>
      <c r="U36" s="224">
        <f t="shared" si="6"/>
        <v>0.14285714285714285</v>
      </c>
      <c r="V36" s="224">
        <f t="shared" si="7"/>
        <v>0.38405315614617941</v>
      </c>
      <c r="W36" s="225">
        <f t="shared" si="8"/>
        <v>0.25847176079734219</v>
      </c>
      <c r="X36" s="225">
        <f t="shared" si="9"/>
        <v>5.9800664451827246E-2</v>
      </c>
      <c r="Y36" s="225">
        <f t="shared" si="10"/>
        <v>1.7275747508305649E-2</v>
      </c>
      <c r="Z36" s="225">
        <f t="shared" si="11"/>
        <v>1.0631229235880399E-2</v>
      </c>
      <c r="AA36" s="226">
        <f t="shared" si="12"/>
        <v>2.5913621262458473E-2</v>
      </c>
      <c r="AC36" s="8" t="s">
        <v>220</v>
      </c>
      <c r="AD36" s="178">
        <f>SUM(P40:Y40)</f>
        <v>0.35877862595419846</v>
      </c>
      <c r="AE36" s="178">
        <v>0.27014218009478674</v>
      </c>
      <c r="AF36" s="178">
        <f>SUM(AA40)</f>
        <v>0.36641221374045801</v>
      </c>
      <c r="AG36" s="178"/>
    </row>
    <row r="37" spans="1:41" ht="15.75" thickBot="1" x14ac:dyDescent="0.3">
      <c r="A37" s="8" t="s">
        <v>136</v>
      </c>
      <c r="B37" s="259">
        <v>0</v>
      </c>
      <c r="C37" s="259">
        <v>5</v>
      </c>
      <c r="D37" s="259">
        <v>4</v>
      </c>
      <c r="E37" s="259">
        <v>17</v>
      </c>
      <c r="F37" s="259">
        <v>40</v>
      </c>
      <c r="G37" s="259">
        <v>66</v>
      </c>
      <c r="H37" s="259">
        <v>150</v>
      </c>
      <c r="I37" s="259">
        <v>455</v>
      </c>
      <c r="J37" s="259">
        <v>179</v>
      </c>
      <c r="K37" s="259">
        <v>55</v>
      </c>
      <c r="L37">
        <v>30</v>
      </c>
      <c r="M37">
        <v>47</v>
      </c>
      <c r="O37" s="227" t="s">
        <v>136</v>
      </c>
      <c r="P37" s="9">
        <f t="shared" si="1"/>
        <v>0</v>
      </c>
      <c r="Q37" s="9">
        <f t="shared" si="2"/>
        <v>4.7709923664122139E-3</v>
      </c>
      <c r="R37" s="9">
        <f t="shared" si="3"/>
        <v>3.8167938931297708E-3</v>
      </c>
      <c r="S37" s="9">
        <f t="shared" si="4"/>
        <v>1.6221374045801526E-2</v>
      </c>
      <c r="T37" s="9">
        <f t="shared" si="5"/>
        <v>3.8167938931297711E-2</v>
      </c>
      <c r="U37" s="9">
        <f t="shared" si="6"/>
        <v>6.2977099236641215E-2</v>
      </c>
      <c r="V37" s="168">
        <f t="shared" si="7"/>
        <v>0.1431297709923664</v>
      </c>
      <c r="W37" s="167">
        <f t="shared" si="8"/>
        <v>0.43416030534351147</v>
      </c>
      <c r="X37" s="189">
        <f t="shared" si="9"/>
        <v>0.17080152671755724</v>
      </c>
      <c r="Y37" s="183">
        <f t="shared" si="10"/>
        <v>5.2480916030534348E-2</v>
      </c>
      <c r="Z37" s="184">
        <f t="shared" si="11"/>
        <v>2.8625954198473282E-2</v>
      </c>
      <c r="AA37" s="228">
        <f t="shared" si="12"/>
        <v>4.4847328244274808E-2</v>
      </c>
      <c r="AC37" s="8" t="s">
        <v>221</v>
      </c>
      <c r="AD37" s="178">
        <f>SUM(P41:Z41)</f>
        <v>0.25454545454545452</v>
      </c>
      <c r="AE37" s="178">
        <v>0.74159292035398228</v>
      </c>
      <c r="AF37" s="178"/>
      <c r="AG37" s="178"/>
    </row>
    <row r="38" spans="1:41" ht="15.75" thickBot="1" x14ac:dyDescent="0.3">
      <c r="A38" s="8" t="s">
        <v>218</v>
      </c>
      <c r="B38" s="260">
        <v>0</v>
      </c>
      <c r="C38" s="260">
        <v>1</v>
      </c>
      <c r="D38" s="260">
        <v>3</v>
      </c>
      <c r="E38" s="260">
        <v>2</v>
      </c>
      <c r="F38" s="260">
        <v>6</v>
      </c>
      <c r="G38" s="260">
        <v>10</v>
      </c>
      <c r="H38" s="260">
        <v>33</v>
      </c>
      <c r="I38" s="260">
        <v>79</v>
      </c>
      <c r="J38" s="260">
        <v>133</v>
      </c>
      <c r="K38" s="260">
        <v>86</v>
      </c>
      <c r="L38">
        <v>32</v>
      </c>
      <c r="M38">
        <v>43</v>
      </c>
      <c r="O38" s="227" t="s">
        <v>218</v>
      </c>
      <c r="P38" s="9">
        <f t="shared" si="1"/>
        <v>0</v>
      </c>
      <c r="Q38" s="9">
        <f t="shared" si="2"/>
        <v>2.3364485981308409E-3</v>
      </c>
      <c r="R38" s="9">
        <f t="shared" si="3"/>
        <v>7.0093457943925233E-3</v>
      </c>
      <c r="S38" s="9">
        <f t="shared" si="4"/>
        <v>4.6728971962616819E-3</v>
      </c>
      <c r="T38" s="9">
        <f t="shared" si="5"/>
        <v>1.4018691588785047E-2</v>
      </c>
      <c r="U38" s="9">
        <f t="shared" si="6"/>
        <v>2.336448598130841E-2</v>
      </c>
      <c r="V38" s="168">
        <f t="shared" si="7"/>
        <v>7.7102803738317752E-2</v>
      </c>
      <c r="W38" s="192">
        <f t="shared" si="8"/>
        <v>0.18457943925233644</v>
      </c>
      <c r="X38" s="167">
        <f t="shared" si="9"/>
        <v>0.31074766355140188</v>
      </c>
      <c r="Y38" s="190">
        <f t="shared" si="10"/>
        <v>0.20093457943925233</v>
      </c>
      <c r="Z38" s="186">
        <f t="shared" si="11"/>
        <v>7.476635514018691E-2</v>
      </c>
      <c r="AA38" s="228">
        <f t="shared" si="12"/>
        <v>0.10046728971962617</v>
      </c>
    </row>
    <row r="39" spans="1:41" ht="15.75" thickBot="1" x14ac:dyDescent="0.3">
      <c r="A39" s="8" t="s">
        <v>219</v>
      </c>
      <c r="B39">
        <v>0</v>
      </c>
      <c r="C39">
        <v>0</v>
      </c>
      <c r="D39">
        <v>0</v>
      </c>
      <c r="E39">
        <v>2</v>
      </c>
      <c r="F39">
        <v>4</v>
      </c>
      <c r="G39">
        <v>2</v>
      </c>
      <c r="H39">
        <v>13</v>
      </c>
      <c r="I39">
        <v>16</v>
      </c>
      <c r="J39">
        <v>42</v>
      </c>
      <c r="K39">
        <v>78</v>
      </c>
      <c r="L39">
        <v>42</v>
      </c>
      <c r="M39">
        <v>30</v>
      </c>
      <c r="O39" s="227" t="s">
        <v>219</v>
      </c>
      <c r="P39" s="9">
        <f t="shared" si="1"/>
        <v>0</v>
      </c>
      <c r="Q39" s="9">
        <f t="shared" si="2"/>
        <v>0</v>
      </c>
      <c r="R39" s="9">
        <f t="shared" si="3"/>
        <v>0</v>
      </c>
      <c r="S39" s="9">
        <f t="shared" si="4"/>
        <v>8.7336244541484712E-3</v>
      </c>
      <c r="T39" s="9">
        <f t="shared" si="5"/>
        <v>1.7467248908296942E-2</v>
      </c>
      <c r="U39" s="9">
        <f t="shared" si="6"/>
        <v>8.7336244541484712E-3</v>
      </c>
      <c r="V39" s="168">
        <f t="shared" si="7"/>
        <v>5.6768558951965066E-2</v>
      </c>
      <c r="W39" s="185">
        <f t="shared" si="8"/>
        <v>6.9868995633187769E-2</v>
      </c>
      <c r="X39" s="193">
        <f t="shared" si="9"/>
        <v>0.18340611353711792</v>
      </c>
      <c r="Y39" s="167">
        <f t="shared" si="10"/>
        <v>0.34061135371179041</v>
      </c>
      <c r="Z39" s="191">
        <f t="shared" si="11"/>
        <v>0.18340611353711792</v>
      </c>
      <c r="AA39" s="228">
        <f t="shared" si="12"/>
        <v>0.13100436681222707</v>
      </c>
      <c r="AC39" s="176" t="s">
        <v>151</v>
      </c>
      <c r="AD39" s="176" t="s">
        <v>129</v>
      </c>
      <c r="AE39" s="176" t="s">
        <v>130</v>
      </c>
      <c r="AF39" s="176" t="s">
        <v>131</v>
      </c>
      <c r="AG39" s="176" t="s">
        <v>132</v>
      </c>
      <c r="AH39" s="176" t="s">
        <v>133</v>
      </c>
      <c r="AI39" s="176" t="s">
        <v>134</v>
      </c>
      <c r="AJ39" s="176" t="s">
        <v>135</v>
      </c>
      <c r="AK39" s="176" t="s">
        <v>136</v>
      </c>
      <c r="AL39" s="176" t="s">
        <v>218</v>
      </c>
      <c r="AM39" s="176" t="s">
        <v>219</v>
      </c>
      <c r="AN39" s="176" t="s">
        <v>220</v>
      </c>
      <c r="AO39" s="176" t="s">
        <v>221</v>
      </c>
    </row>
    <row r="40" spans="1:41" ht="15.75" thickBot="1" x14ac:dyDescent="0.3">
      <c r="A40" s="8" t="s">
        <v>220</v>
      </c>
      <c r="B40">
        <v>0</v>
      </c>
      <c r="C40">
        <v>0</v>
      </c>
      <c r="D40">
        <v>1</v>
      </c>
      <c r="E40">
        <v>1</v>
      </c>
      <c r="F40">
        <v>1</v>
      </c>
      <c r="G40">
        <v>2</v>
      </c>
      <c r="H40">
        <v>4</v>
      </c>
      <c r="I40">
        <v>8</v>
      </c>
      <c r="J40">
        <v>16</v>
      </c>
      <c r="K40">
        <v>14</v>
      </c>
      <c r="L40">
        <v>36</v>
      </c>
      <c r="M40">
        <v>48</v>
      </c>
      <c r="O40" s="227" t="s">
        <v>220</v>
      </c>
      <c r="P40" s="9">
        <f t="shared" si="1"/>
        <v>0</v>
      </c>
      <c r="Q40" s="9">
        <f t="shared" si="2"/>
        <v>0</v>
      </c>
      <c r="R40" s="9">
        <f t="shared" si="3"/>
        <v>7.6335877862595417E-3</v>
      </c>
      <c r="S40" s="9">
        <f t="shared" si="4"/>
        <v>7.6335877862595417E-3</v>
      </c>
      <c r="T40" s="9">
        <f t="shared" si="5"/>
        <v>7.6335877862595417E-3</v>
      </c>
      <c r="U40" s="9">
        <f t="shared" si="6"/>
        <v>1.5267175572519083E-2</v>
      </c>
      <c r="V40" s="168">
        <f t="shared" si="7"/>
        <v>3.0534351145038167E-2</v>
      </c>
      <c r="W40" s="187">
        <f t="shared" si="8"/>
        <v>6.1068702290076333E-2</v>
      </c>
      <c r="X40" s="188">
        <f t="shared" si="9"/>
        <v>0.12213740458015267</v>
      </c>
      <c r="Y40" s="194">
        <f t="shared" si="10"/>
        <v>0.10687022900763359</v>
      </c>
      <c r="Z40" s="167">
        <f t="shared" si="11"/>
        <v>0.27480916030534353</v>
      </c>
      <c r="AA40" s="228">
        <f t="shared" si="12"/>
        <v>0.36641221374045801</v>
      </c>
      <c r="AC40" s="176" t="s">
        <v>139</v>
      </c>
      <c r="AD40" s="176"/>
      <c r="AE40" s="176"/>
      <c r="AF40" s="176"/>
      <c r="AG40" s="176"/>
      <c r="AH40" s="176"/>
      <c r="AI40" s="176"/>
      <c r="AJ40" s="176"/>
      <c r="AK40" s="200"/>
      <c r="AL40" s="200"/>
      <c r="AM40" s="200"/>
      <c r="AN40" s="200"/>
      <c r="AO40" s="176"/>
    </row>
    <row r="41" spans="1:41" ht="15.75" thickBot="1" x14ac:dyDescent="0.3">
      <c r="A41" s="8" t="s">
        <v>221</v>
      </c>
      <c r="B41">
        <v>0</v>
      </c>
      <c r="C41">
        <v>0</v>
      </c>
      <c r="D41">
        <v>0</v>
      </c>
      <c r="E41">
        <v>2</v>
      </c>
      <c r="F41">
        <v>1</v>
      </c>
      <c r="G41">
        <v>9</v>
      </c>
      <c r="H41">
        <v>5</v>
      </c>
      <c r="I41">
        <v>15</v>
      </c>
      <c r="J41">
        <v>17</v>
      </c>
      <c r="K41">
        <v>22</v>
      </c>
      <c r="L41">
        <v>27</v>
      </c>
      <c r="M41">
        <v>287</v>
      </c>
      <c r="O41" s="229" t="s">
        <v>221</v>
      </c>
      <c r="P41" s="230">
        <f t="shared" si="1"/>
        <v>0</v>
      </c>
      <c r="Q41" s="230">
        <f t="shared" si="2"/>
        <v>0</v>
      </c>
      <c r="R41" s="230">
        <f t="shared" si="3"/>
        <v>0</v>
      </c>
      <c r="S41" s="230">
        <f t="shared" si="4"/>
        <v>5.1948051948051948E-3</v>
      </c>
      <c r="T41" s="230">
        <f t="shared" si="5"/>
        <v>2.5974025974025974E-3</v>
      </c>
      <c r="U41" s="230">
        <f t="shared" si="6"/>
        <v>2.3376623376623377E-2</v>
      </c>
      <c r="V41" s="230">
        <f t="shared" si="7"/>
        <v>1.2987012987012988E-2</v>
      </c>
      <c r="W41" s="231">
        <f t="shared" si="8"/>
        <v>3.896103896103896E-2</v>
      </c>
      <c r="X41" s="231">
        <f t="shared" si="9"/>
        <v>4.4155844155844157E-2</v>
      </c>
      <c r="Y41" s="231">
        <f t="shared" si="10"/>
        <v>5.7142857142857141E-2</v>
      </c>
      <c r="Z41" s="231">
        <f t="shared" si="11"/>
        <v>7.0129870129870125E-2</v>
      </c>
      <c r="AA41" s="232">
        <f t="shared" si="12"/>
        <v>0.74545454545454548</v>
      </c>
      <c r="AC41" s="176" t="s">
        <v>136</v>
      </c>
      <c r="AD41" s="178">
        <v>0</v>
      </c>
      <c r="AE41" s="178">
        <v>4.1941282204913119E-3</v>
      </c>
      <c r="AF41" s="178">
        <v>2.9958058717795086E-3</v>
      </c>
      <c r="AG41" s="178">
        <v>1.1983223487118035E-2</v>
      </c>
      <c r="AH41" s="178">
        <v>2.2768124625524265E-2</v>
      </c>
      <c r="AI41" s="178">
        <v>6.1713600958657876E-2</v>
      </c>
      <c r="AJ41" s="195">
        <v>0.14140203714799282</v>
      </c>
      <c r="AK41" s="167">
        <v>0.43918514080287596</v>
      </c>
      <c r="AL41" s="189">
        <v>0.18154583582983821</v>
      </c>
      <c r="AM41" s="183">
        <v>5.632115038945476E-2</v>
      </c>
      <c r="AN41" s="184">
        <v>2.816057519472738E-2</v>
      </c>
      <c r="AO41" s="196">
        <v>4.9730377471539841E-2</v>
      </c>
    </row>
    <row r="42" spans="1:41" ht="15.75" thickBot="1" x14ac:dyDescent="0.3">
      <c r="W42" s="82">
        <f>0.66*W37</f>
        <v>0.2865458015267176</v>
      </c>
      <c r="X42" s="82"/>
      <c r="Y42" s="82"/>
      <c r="Z42" s="82"/>
      <c r="AA42" s="82">
        <f>0.35*AA41</f>
        <v>0.26090909090909092</v>
      </c>
      <c r="AC42" s="176" t="s">
        <v>218</v>
      </c>
      <c r="AD42" s="178">
        <v>0</v>
      </c>
      <c r="AE42" s="178">
        <v>1.4792899408284023E-3</v>
      </c>
      <c r="AF42" s="178">
        <v>1.0355029585798817E-2</v>
      </c>
      <c r="AG42" s="178">
        <v>4.4378698224852072E-3</v>
      </c>
      <c r="AH42" s="178">
        <v>1.4792899408284023E-2</v>
      </c>
      <c r="AI42" s="178">
        <v>2.0710059171597635E-2</v>
      </c>
      <c r="AJ42" s="195">
        <v>7.2485207100591711E-2</v>
      </c>
      <c r="AK42" s="192">
        <v>0.20118343195266272</v>
      </c>
      <c r="AL42" s="167">
        <v>0.31065088757396447</v>
      </c>
      <c r="AM42" s="190">
        <v>0.18343195266272189</v>
      </c>
      <c r="AN42" s="186">
        <v>7.5443786982248517E-2</v>
      </c>
      <c r="AO42" s="196">
        <v>0.10502958579881656</v>
      </c>
    </row>
    <row r="43" spans="1:41" ht="15.75" thickBot="1" x14ac:dyDescent="0.3">
      <c r="W43" s="82"/>
      <c r="X43" s="82">
        <f>0.66*X38</f>
        <v>0.20509345794392525</v>
      </c>
      <c r="Y43" s="82"/>
      <c r="Z43" s="82"/>
      <c r="AA43" s="82"/>
      <c r="AC43" s="176" t="s">
        <v>219</v>
      </c>
      <c r="AD43" s="178">
        <v>0</v>
      </c>
      <c r="AE43" s="178">
        <v>0</v>
      </c>
      <c r="AF43" s="178">
        <v>0</v>
      </c>
      <c r="AG43" s="178">
        <v>8.356545961002786E-3</v>
      </c>
      <c r="AH43" s="178">
        <v>1.9498607242339833E-2</v>
      </c>
      <c r="AI43" s="178">
        <v>1.3927576601671309E-2</v>
      </c>
      <c r="AJ43" s="195">
        <v>5.5710306406685235E-2</v>
      </c>
      <c r="AK43" s="185">
        <v>7.7994428969359333E-2</v>
      </c>
      <c r="AL43" s="193">
        <v>0.16991643454038996</v>
      </c>
      <c r="AM43" s="167">
        <v>0.28690807799442897</v>
      </c>
      <c r="AN43" s="191">
        <v>0.16991643454038996</v>
      </c>
      <c r="AO43" s="196">
        <v>0.1977715877437326</v>
      </c>
    </row>
    <row r="44" spans="1:41" ht="15.75" thickBot="1" x14ac:dyDescent="0.3">
      <c r="P44" s="8"/>
      <c r="W44" s="82"/>
      <c r="X44" s="82"/>
      <c r="Y44" s="82">
        <f>0.66*Y39</f>
        <v>0.22480349344978168</v>
      </c>
      <c r="Z44" s="82"/>
      <c r="AA44" s="82"/>
      <c r="AC44" s="176" t="s">
        <v>220</v>
      </c>
      <c r="AD44" s="178">
        <v>0</v>
      </c>
      <c r="AE44" s="178">
        <v>0</v>
      </c>
      <c r="AF44" s="178">
        <v>4.7393364928909956E-3</v>
      </c>
      <c r="AG44" s="178">
        <v>4.7393364928909956E-3</v>
      </c>
      <c r="AH44" s="178">
        <v>9.4786729857819912E-3</v>
      </c>
      <c r="AI44" s="178">
        <v>9.4786729857819912E-3</v>
      </c>
      <c r="AJ44" s="195">
        <v>3.7914691943127965E-2</v>
      </c>
      <c r="AK44" s="187">
        <v>6.6350710900473939E-2</v>
      </c>
      <c r="AL44" s="188">
        <v>9.4786729857819899E-2</v>
      </c>
      <c r="AM44" s="194">
        <v>0.10900473933649289</v>
      </c>
      <c r="AN44" s="167">
        <v>0.27014218009478674</v>
      </c>
      <c r="AO44" s="196">
        <v>0.39336492890995262</v>
      </c>
    </row>
    <row r="45" spans="1:41" ht="15.75" thickBot="1" x14ac:dyDescent="0.3">
      <c r="F45" s="222" t="s">
        <v>27</v>
      </c>
      <c r="G45" s="222" t="s">
        <v>200</v>
      </c>
      <c r="O45" s="8" t="s">
        <v>231</v>
      </c>
      <c r="P45" s="176" t="s">
        <v>244</v>
      </c>
      <c r="W45" s="82"/>
      <c r="X45" s="82"/>
      <c r="Y45" s="82"/>
      <c r="Z45" s="82">
        <f>0.66*Z40</f>
        <v>0.18137404580152675</v>
      </c>
      <c r="AA45" s="82"/>
      <c r="AC45" s="176" t="s">
        <v>221</v>
      </c>
      <c r="AD45" s="178">
        <v>0</v>
      </c>
      <c r="AE45" s="178">
        <v>1.7699115044247787E-3</v>
      </c>
      <c r="AF45" s="178">
        <v>0</v>
      </c>
      <c r="AG45" s="178">
        <v>3.5398230088495575E-3</v>
      </c>
      <c r="AH45" s="178">
        <v>3.5398230088495575E-3</v>
      </c>
      <c r="AI45" s="178">
        <v>1.9469026548672566E-2</v>
      </c>
      <c r="AJ45" s="195">
        <v>1.9469026548672566E-2</v>
      </c>
      <c r="AK45" s="201">
        <v>4.0707964601769911E-2</v>
      </c>
      <c r="AL45" s="202">
        <v>4.6017699115044247E-2</v>
      </c>
      <c r="AM45" s="202">
        <v>5.663716814159292E-2</v>
      </c>
      <c r="AN45" s="203">
        <v>6.7256637168141592E-2</v>
      </c>
      <c r="AO45" s="196">
        <v>0.74159292035398228</v>
      </c>
    </row>
    <row r="46" spans="1:41" x14ac:dyDescent="0.25">
      <c r="F46" s="176" t="s">
        <v>244</v>
      </c>
      <c r="G46" s="176" t="s">
        <v>244</v>
      </c>
      <c r="N46" s="8" t="s">
        <v>129</v>
      </c>
      <c r="O46" s="8" t="s">
        <v>27</v>
      </c>
      <c r="P46" s="8" t="s">
        <v>202</v>
      </c>
      <c r="Q46">
        <v>30</v>
      </c>
      <c r="S46">
        <v>30</v>
      </c>
    </row>
    <row r="47" spans="1:41" x14ac:dyDescent="0.25">
      <c r="E47" s="176" t="s">
        <v>129</v>
      </c>
      <c r="F47" s="254" t="s">
        <v>202</v>
      </c>
      <c r="G47" s="254" t="s">
        <v>210</v>
      </c>
      <c r="N47" s="8" t="s">
        <v>130</v>
      </c>
      <c r="O47" s="8" t="s">
        <v>44</v>
      </c>
      <c r="P47" s="8" t="s">
        <v>202</v>
      </c>
      <c r="Q47">
        <v>30</v>
      </c>
      <c r="S47">
        <v>30</v>
      </c>
    </row>
    <row r="48" spans="1:41" x14ac:dyDescent="0.25">
      <c r="E48" s="176" t="s">
        <v>130</v>
      </c>
      <c r="F48" s="8" t="s">
        <v>202</v>
      </c>
      <c r="G48" s="8" t="s">
        <v>211</v>
      </c>
      <c r="N48" s="8" t="s">
        <v>131</v>
      </c>
      <c r="O48" s="8" t="s">
        <v>44</v>
      </c>
      <c r="P48" s="8" t="s">
        <v>232</v>
      </c>
      <c r="Q48">
        <v>30</v>
      </c>
      <c r="S48">
        <v>30</v>
      </c>
    </row>
    <row r="49" spans="1:19" x14ac:dyDescent="0.25">
      <c r="E49" s="176" t="s">
        <v>131</v>
      </c>
      <c r="F49" s="8" t="s">
        <v>202</v>
      </c>
      <c r="G49" s="8" t="s">
        <v>212</v>
      </c>
      <c r="N49" s="8" t="s">
        <v>132</v>
      </c>
      <c r="O49" s="8" t="s">
        <v>44</v>
      </c>
      <c r="P49" s="8" t="s">
        <v>233</v>
      </c>
      <c r="Q49">
        <v>30</v>
      </c>
      <c r="S49">
        <v>30</v>
      </c>
    </row>
    <row r="50" spans="1:19" x14ac:dyDescent="0.25">
      <c r="E50" s="176" t="s">
        <v>132</v>
      </c>
      <c r="F50" s="8" t="s">
        <v>202</v>
      </c>
      <c r="G50" s="8" t="s">
        <v>211</v>
      </c>
      <c r="N50" s="8" t="s">
        <v>133</v>
      </c>
      <c r="O50" s="8" t="s">
        <v>44</v>
      </c>
      <c r="P50" s="8" t="s">
        <v>234</v>
      </c>
      <c r="Q50">
        <v>40</v>
      </c>
      <c r="S50">
        <v>40</v>
      </c>
    </row>
    <row r="51" spans="1:19" x14ac:dyDescent="0.25">
      <c r="E51" s="176" t="s">
        <v>133</v>
      </c>
      <c r="F51" s="8" t="s">
        <v>203</v>
      </c>
      <c r="G51" s="8" t="s">
        <v>213</v>
      </c>
      <c r="N51" s="8" t="s">
        <v>134</v>
      </c>
      <c r="O51" s="8" t="s">
        <v>31</v>
      </c>
      <c r="P51" s="8" t="s">
        <v>214</v>
      </c>
      <c r="Q51">
        <v>20</v>
      </c>
      <c r="S51">
        <v>20</v>
      </c>
    </row>
    <row r="52" spans="1:19" x14ac:dyDescent="0.25">
      <c r="E52" s="176" t="s">
        <v>134</v>
      </c>
      <c r="F52" s="8" t="s">
        <v>204</v>
      </c>
      <c r="G52" s="8" t="s">
        <v>214</v>
      </c>
      <c r="N52" s="8" t="s">
        <v>135</v>
      </c>
      <c r="O52" s="8" t="s">
        <v>235</v>
      </c>
      <c r="P52" s="8" t="s">
        <v>215</v>
      </c>
      <c r="Q52">
        <v>35</v>
      </c>
      <c r="S52">
        <v>35</v>
      </c>
    </row>
    <row r="53" spans="1:19" x14ac:dyDescent="0.25">
      <c r="E53" s="176" t="s">
        <v>135</v>
      </c>
      <c r="F53" s="181" t="s">
        <v>205</v>
      </c>
      <c r="G53" s="8" t="s">
        <v>215</v>
      </c>
      <c r="N53" s="8" t="s">
        <v>136</v>
      </c>
      <c r="O53" s="8" t="s">
        <v>236</v>
      </c>
      <c r="P53" s="8" t="s">
        <v>202</v>
      </c>
      <c r="Q53">
        <v>30</v>
      </c>
      <c r="R53" s="255">
        <v>29</v>
      </c>
      <c r="S53" s="78">
        <v>60</v>
      </c>
    </row>
    <row r="54" spans="1:19" x14ac:dyDescent="0.25">
      <c r="E54" s="176" t="s">
        <v>136</v>
      </c>
      <c r="F54" s="8" t="s">
        <v>206</v>
      </c>
      <c r="G54" s="8" t="s">
        <v>216</v>
      </c>
      <c r="N54" s="8" t="s">
        <v>218</v>
      </c>
      <c r="O54" s="222" t="s">
        <v>237</v>
      </c>
      <c r="P54" s="8" t="s">
        <v>202</v>
      </c>
      <c r="Q54">
        <v>30</v>
      </c>
      <c r="R54">
        <v>21</v>
      </c>
      <c r="S54" s="78">
        <v>50</v>
      </c>
    </row>
    <row r="55" spans="1:19" x14ac:dyDescent="0.25">
      <c r="E55" s="176" t="s">
        <v>137</v>
      </c>
      <c r="F55" s="8" t="s">
        <v>209</v>
      </c>
      <c r="G55" s="8" t="s">
        <v>217</v>
      </c>
      <c r="N55" s="156" t="s">
        <v>219</v>
      </c>
      <c r="O55" s="200" t="s">
        <v>238</v>
      </c>
      <c r="P55" s="155" t="s">
        <v>241</v>
      </c>
      <c r="Q55">
        <v>35</v>
      </c>
      <c r="R55">
        <v>19</v>
      </c>
      <c r="S55" s="78">
        <v>55</v>
      </c>
    </row>
    <row r="56" spans="1:19" x14ac:dyDescent="0.25">
      <c r="E56" s="176" t="s">
        <v>138</v>
      </c>
      <c r="F56" s="8" t="s">
        <v>208</v>
      </c>
      <c r="G56" s="8" t="s">
        <v>207</v>
      </c>
      <c r="N56" s="156" t="s">
        <v>220</v>
      </c>
      <c r="O56" s="213" t="s">
        <v>36</v>
      </c>
      <c r="P56" s="213" t="s">
        <v>242</v>
      </c>
      <c r="Q56">
        <v>35</v>
      </c>
      <c r="R56">
        <v>18</v>
      </c>
      <c r="S56" s="78">
        <v>50</v>
      </c>
    </row>
    <row r="57" spans="1:19" x14ac:dyDescent="0.25">
      <c r="N57" s="156" t="s">
        <v>221</v>
      </c>
      <c r="O57" s="213" t="s">
        <v>36</v>
      </c>
      <c r="P57" s="213" t="s">
        <v>243</v>
      </c>
      <c r="Q57">
        <v>67</v>
      </c>
      <c r="S57" s="78">
        <v>65</v>
      </c>
    </row>
    <row r="60" spans="1:19" x14ac:dyDescent="0.2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</row>
    <row r="61" spans="1:19" ht="24" x14ac:dyDescent="0.25">
      <c r="A61" s="257" t="s">
        <v>151</v>
      </c>
      <c r="B61" s="257" t="s">
        <v>129</v>
      </c>
      <c r="C61" s="257" t="s">
        <v>130</v>
      </c>
      <c r="D61" s="257" t="s">
        <v>131</v>
      </c>
      <c r="E61" s="257" t="s">
        <v>132</v>
      </c>
      <c r="F61" s="257" t="s">
        <v>133</v>
      </c>
      <c r="G61" s="257" t="s">
        <v>134</v>
      </c>
      <c r="H61" s="257" t="s">
        <v>135</v>
      </c>
      <c r="I61" s="257" t="s">
        <v>136</v>
      </c>
      <c r="J61" s="257" t="s">
        <v>218</v>
      </c>
      <c r="K61" s="257" t="s">
        <v>219</v>
      </c>
      <c r="L61" t="s">
        <v>220</v>
      </c>
      <c r="M61" t="s">
        <v>221</v>
      </c>
    </row>
    <row r="62" spans="1:19" x14ac:dyDescent="0.25">
      <c r="A62" s="258" t="s">
        <v>139</v>
      </c>
      <c r="B62" s="259"/>
      <c r="C62" s="259"/>
      <c r="D62" s="259"/>
      <c r="E62" s="259"/>
      <c r="F62" s="259"/>
      <c r="G62" s="259"/>
      <c r="H62" s="259"/>
      <c r="I62" s="259"/>
      <c r="J62" s="259"/>
      <c r="K62" s="259"/>
    </row>
    <row r="63" spans="1:19" x14ac:dyDescent="0.25">
      <c r="A63" s="257" t="s">
        <v>129</v>
      </c>
      <c r="B63" s="260">
        <v>5</v>
      </c>
      <c r="C63" s="260">
        <v>24</v>
      </c>
      <c r="D63" s="260">
        <v>65</v>
      </c>
      <c r="E63" s="260">
        <v>61</v>
      </c>
      <c r="F63" s="260">
        <v>64</v>
      </c>
      <c r="G63" s="260">
        <v>61</v>
      </c>
      <c r="H63" s="260">
        <v>38</v>
      </c>
      <c r="I63" s="260">
        <v>19</v>
      </c>
      <c r="J63" s="260">
        <v>11</v>
      </c>
      <c r="K63" s="260">
        <v>4</v>
      </c>
      <c r="L63">
        <v>4</v>
      </c>
      <c r="M63">
        <v>4</v>
      </c>
    </row>
    <row r="64" spans="1:19" x14ac:dyDescent="0.25">
      <c r="A64" s="258" t="s">
        <v>130</v>
      </c>
      <c r="B64" s="259">
        <v>2</v>
      </c>
      <c r="C64" s="259">
        <v>163</v>
      </c>
      <c r="D64" s="259">
        <v>444</v>
      </c>
      <c r="E64" s="259">
        <v>238</v>
      </c>
      <c r="F64" s="259">
        <v>280</v>
      </c>
      <c r="G64" s="259">
        <v>240</v>
      </c>
      <c r="H64" s="259">
        <v>181</v>
      </c>
      <c r="I64" s="259">
        <v>104</v>
      </c>
      <c r="J64" s="259">
        <v>33</v>
      </c>
      <c r="K64" s="259">
        <v>15</v>
      </c>
      <c r="L64">
        <v>11</v>
      </c>
      <c r="M64">
        <v>21</v>
      </c>
    </row>
    <row r="65" spans="1:13" x14ac:dyDescent="0.25">
      <c r="A65" s="257" t="s">
        <v>131</v>
      </c>
      <c r="B65" s="260">
        <v>1</v>
      </c>
      <c r="C65" s="260">
        <v>77</v>
      </c>
      <c r="D65" s="260">
        <v>436</v>
      </c>
      <c r="E65" s="260">
        <v>372</v>
      </c>
      <c r="F65" s="260">
        <v>432</v>
      </c>
      <c r="G65" s="260">
        <v>326</v>
      </c>
      <c r="H65" s="260">
        <v>238</v>
      </c>
      <c r="I65" s="260">
        <v>115</v>
      </c>
      <c r="J65" s="260">
        <v>38</v>
      </c>
      <c r="K65" s="260">
        <v>13</v>
      </c>
      <c r="L65">
        <v>14</v>
      </c>
      <c r="M65">
        <v>18</v>
      </c>
    </row>
    <row r="66" spans="1:13" x14ac:dyDescent="0.25">
      <c r="A66" s="258" t="s">
        <v>132</v>
      </c>
      <c r="B66" s="259">
        <v>1</v>
      </c>
      <c r="C66" s="259">
        <v>27</v>
      </c>
      <c r="D66" s="259">
        <v>142</v>
      </c>
      <c r="E66" s="259">
        <v>185</v>
      </c>
      <c r="F66" s="259">
        <v>356</v>
      </c>
      <c r="G66" s="259">
        <v>280</v>
      </c>
      <c r="H66" s="259">
        <v>184</v>
      </c>
      <c r="I66" s="259">
        <v>87</v>
      </c>
      <c r="J66" s="259">
        <v>30</v>
      </c>
      <c r="K66" s="259">
        <v>10</v>
      </c>
      <c r="L66">
        <v>5</v>
      </c>
      <c r="M66">
        <v>16</v>
      </c>
    </row>
    <row r="67" spans="1:13" x14ac:dyDescent="0.25">
      <c r="A67" s="257" t="s">
        <v>133</v>
      </c>
      <c r="B67" s="260">
        <v>2</v>
      </c>
      <c r="C67" s="260">
        <v>23</v>
      </c>
      <c r="D67" s="260">
        <v>107</v>
      </c>
      <c r="E67" s="260">
        <v>179</v>
      </c>
      <c r="F67" s="260">
        <v>517</v>
      </c>
      <c r="G67" s="260">
        <v>547</v>
      </c>
      <c r="H67" s="260">
        <v>386</v>
      </c>
      <c r="I67" s="260">
        <v>181</v>
      </c>
      <c r="J67" s="260">
        <v>56</v>
      </c>
      <c r="K67" s="260">
        <v>23</v>
      </c>
      <c r="L67">
        <v>7</v>
      </c>
      <c r="M67">
        <v>40</v>
      </c>
    </row>
    <row r="68" spans="1:13" x14ac:dyDescent="0.25">
      <c r="A68" s="258" t="s">
        <v>134</v>
      </c>
      <c r="B68" s="259">
        <v>0</v>
      </c>
      <c r="C68" s="259">
        <v>7</v>
      </c>
      <c r="D68" s="259">
        <v>38</v>
      </c>
      <c r="E68" s="259">
        <v>64</v>
      </c>
      <c r="F68" s="259">
        <v>275</v>
      </c>
      <c r="G68" s="259">
        <v>494</v>
      </c>
      <c r="H68" s="259">
        <v>489</v>
      </c>
      <c r="I68" s="259">
        <v>231</v>
      </c>
      <c r="J68" s="259">
        <v>62</v>
      </c>
      <c r="K68" s="259">
        <v>19</v>
      </c>
      <c r="L68">
        <v>14</v>
      </c>
      <c r="M68">
        <v>28</v>
      </c>
    </row>
    <row r="69" spans="1:13" x14ac:dyDescent="0.25">
      <c r="A69" s="257" t="s">
        <v>135</v>
      </c>
      <c r="B69" s="260">
        <v>0</v>
      </c>
      <c r="C69" s="260">
        <v>11</v>
      </c>
      <c r="D69" s="260">
        <v>14</v>
      </c>
      <c r="E69" s="260">
        <v>29</v>
      </c>
      <c r="F69" s="260">
        <v>98</v>
      </c>
      <c r="G69" s="260">
        <v>215</v>
      </c>
      <c r="H69" s="260">
        <v>578</v>
      </c>
      <c r="I69" s="260">
        <v>389</v>
      </c>
      <c r="J69" s="260">
        <v>90</v>
      </c>
      <c r="K69" s="260">
        <v>26</v>
      </c>
      <c r="L69">
        <v>16</v>
      </c>
      <c r="M69">
        <v>39</v>
      </c>
    </row>
    <row r="70" spans="1:13" x14ac:dyDescent="0.25">
      <c r="A70" s="258" t="s">
        <v>136</v>
      </c>
      <c r="B70" s="259">
        <v>0</v>
      </c>
      <c r="C70" s="259">
        <v>5</v>
      </c>
      <c r="D70" s="259">
        <v>4</v>
      </c>
      <c r="E70" s="259">
        <v>17</v>
      </c>
      <c r="F70" s="259">
        <v>40</v>
      </c>
      <c r="G70" s="259">
        <v>66</v>
      </c>
      <c r="H70" s="259">
        <v>150</v>
      </c>
      <c r="I70" s="259">
        <v>455</v>
      </c>
      <c r="J70" s="259">
        <v>179</v>
      </c>
      <c r="K70" s="259">
        <v>55</v>
      </c>
      <c r="L70">
        <v>30</v>
      </c>
      <c r="M70">
        <v>47</v>
      </c>
    </row>
    <row r="71" spans="1:13" x14ac:dyDescent="0.25">
      <c r="A71" s="257" t="s">
        <v>218</v>
      </c>
      <c r="B71" s="260">
        <v>0</v>
      </c>
      <c r="C71" s="260">
        <v>1</v>
      </c>
      <c r="D71" s="260">
        <v>3</v>
      </c>
      <c r="E71" s="260">
        <v>2</v>
      </c>
      <c r="F71" s="260">
        <v>6</v>
      </c>
      <c r="G71" s="260">
        <v>10</v>
      </c>
      <c r="H71" s="260">
        <v>33</v>
      </c>
      <c r="I71" s="260">
        <v>79</v>
      </c>
      <c r="J71" s="260">
        <v>133</v>
      </c>
      <c r="K71" s="260">
        <v>86</v>
      </c>
      <c r="L71">
        <v>32</v>
      </c>
      <c r="M71">
        <v>43</v>
      </c>
    </row>
    <row r="72" spans="1:13" x14ac:dyDescent="0.25">
      <c r="A72" t="s">
        <v>219</v>
      </c>
      <c r="B72">
        <v>0</v>
      </c>
      <c r="C72">
        <v>0</v>
      </c>
      <c r="D72">
        <v>0</v>
      </c>
      <c r="E72">
        <v>2</v>
      </c>
      <c r="F72">
        <v>4</v>
      </c>
      <c r="G72">
        <v>2</v>
      </c>
      <c r="H72">
        <v>13</v>
      </c>
      <c r="I72">
        <v>16</v>
      </c>
      <c r="J72">
        <v>42</v>
      </c>
      <c r="K72">
        <v>78</v>
      </c>
      <c r="L72">
        <v>42</v>
      </c>
      <c r="M72">
        <v>30</v>
      </c>
    </row>
    <row r="73" spans="1:13" x14ac:dyDescent="0.25">
      <c r="A73" t="s">
        <v>220</v>
      </c>
      <c r="B73">
        <v>0</v>
      </c>
      <c r="C73">
        <v>0</v>
      </c>
      <c r="D73">
        <v>1</v>
      </c>
      <c r="E73">
        <v>1</v>
      </c>
      <c r="F73">
        <v>1</v>
      </c>
      <c r="G73">
        <v>2</v>
      </c>
      <c r="H73">
        <v>4</v>
      </c>
      <c r="I73">
        <v>8</v>
      </c>
      <c r="J73">
        <v>16</v>
      </c>
      <c r="K73">
        <v>14</v>
      </c>
      <c r="L73">
        <v>36</v>
      </c>
      <c r="M73">
        <v>48</v>
      </c>
    </row>
    <row r="74" spans="1:13" x14ac:dyDescent="0.25">
      <c r="A74" t="s">
        <v>221</v>
      </c>
      <c r="B74">
        <v>0</v>
      </c>
      <c r="C74">
        <v>0</v>
      </c>
      <c r="D74">
        <v>0</v>
      </c>
      <c r="E74">
        <v>2</v>
      </c>
      <c r="F74">
        <v>1</v>
      </c>
      <c r="G74">
        <v>9</v>
      </c>
      <c r="H74">
        <v>5</v>
      </c>
      <c r="I74">
        <v>15</v>
      </c>
      <c r="J74">
        <v>17</v>
      </c>
      <c r="K74">
        <v>22</v>
      </c>
      <c r="L74">
        <v>27</v>
      </c>
      <c r="M74">
        <v>287</v>
      </c>
    </row>
  </sheetData>
  <mergeCells count="1">
    <mergeCell ref="N5:Q5"/>
  </mergeCells>
  <conditionalFormatting sqref="B7:F16">
    <cfRule type="colorScale" priority="15">
      <colorScale>
        <cfvo type="min"/>
        <cfvo type="max"/>
        <color rgb="FFFFEF9C"/>
        <color rgb="FF63BE7B"/>
      </colorScale>
    </cfRule>
  </conditionalFormatting>
  <conditionalFormatting sqref="I7:L16">
    <cfRule type="colorScale" priority="14">
      <colorScale>
        <cfvo type="min"/>
        <cfvo type="max"/>
        <color rgb="FFFFEF9C"/>
        <color rgb="FF63BE7B"/>
      </colorScale>
    </cfRule>
  </conditionalFormatting>
  <conditionalFormatting sqref="P30:AA41">
    <cfRule type="colorScale" priority="11">
      <colorScale>
        <cfvo type="min"/>
        <cfvo type="max"/>
        <color rgb="FFFFEF9C"/>
        <color rgb="FF63BE7B"/>
      </colorScale>
    </cfRule>
  </conditionalFormatting>
  <conditionalFormatting sqref="P30:AA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AD33:AG33 AD35:AG37 AD34 AF34:AG34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34">
    <cfRule type="colorScale" priority="6">
      <colorScale>
        <cfvo type="min"/>
        <cfvo type="max"/>
        <color rgb="FFFFEF9C"/>
        <color rgb="FF63BE7B"/>
      </colorScale>
    </cfRule>
  </conditionalFormatting>
  <conditionalFormatting sqref="AE34">
    <cfRule type="colorScale" priority="5">
      <colorScale>
        <cfvo type="min"/>
        <cfvo type="max"/>
        <color rgb="FFFFEF9C"/>
        <color rgb="FF63BE7B"/>
      </colorScale>
    </cfRule>
  </conditionalFormatting>
  <conditionalFormatting sqref="AD26:AG28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45:AO45 AD41:AJ44 AO41:AO44">
    <cfRule type="colorScale" priority="3">
      <colorScale>
        <cfvo type="min"/>
        <cfvo type="max"/>
        <color rgb="FFFFEF9C"/>
        <color rgb="FF63BE7B"/>
      </colorScale>
    </cfRule>
  </conditionalFormatting>
  <conditionalFormatting sqref="AK41:AN44">
    <cfRule type="colorScale" priority="2">
      <colorScale>
        <cfvo type="min"/>
        <cfvo type="max"/>
        <color rgb="FFFFEF9C"/>
        <color rgb="FF63BE7B"/>
      </colorScale>
    </cfRule>
  </conditionalFormatting>
  <conditionalFormatting sqref="AK41:AN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5"/>
  <sheetViews>
    <sheetView showGridLines="0" topLeftCell="I40" workbookViewId="0">
      <selection activeCell="N43" sqref="N43:S54"/>
    </sheetView>
  </sheetViews>
  <sheetFormatPr defaultRowHeight="15" x14ac:dyDescent="0.25"/>
  <cols>
    <col min="2" max="2" width="11.5703125" bestFit="1" customWidth="1"/>
    <col min="4" max="4" width="10" bestFit="1" customWidth="1"/>
    <col min="5" max="5" width="11" bestFit="1" customWidth="1"/>
    <col min="6" max="6" width="12" bestFit="1" customWidth="1"/>
    <col min="8" max="8" width="10.85546875" bestFit="1" customWidth="1"/>
    <col min="14" max="14" width="11.5703125" bestFit="1" customWidth="1"/>
    <col min="16" max="16" width="10" bestFit="1" customWidth="1"/>
    <col min="17" max="17" width="11" bestFit="1" customWidth="1"/>
    <col min="18" max="18" width="12" bestFit="1" customWidth="1"/>
    <col min="19" max="19" width="9.42578125" customWidth="1"/>
    <col min="20" max="20" width="10.85546875" customWidth="1"/>
    <col min="21" max="22" width="10.85546875" bestFit="1" customWidth="1"/>
    <col min="23" max="23" width="10.5703125" bestFit="1" customWidth="1"/>
    <col min="24" max="24" width="10.28515625" bestFit="1" customWidth="1"/>
    <col min="25" max="25" width="14.42578125" bestFit="1" customWidth="1"/>
    <col min="26" max="26" width="14.5703125" bestFit="1" customWidth="1"/>
    <col min="27" max="27" width="6" customWidth="1"/>
    <col min="28" max="28" width="12" bestFit="1" customWidth="1"/>
    <col min="29" max="29" width="13.5703125" customWidth="1"/>
    <col min="30" max="30" width="12.140625" bestFit="1" customWidth="1"/>
    <col min="31" max="31" width="11.5703125" bestFit="1" customWidth="1"/>
    <col min="32" max="32" width="14.5703125" bestFit="1" customWidth="1"/>
    <col min="33" max="33" width="11" bestFit="1" customWidth="1"/>
    <col min="34" max="34" width="12" bestFit="1" customWidth="1"/>
  </cols>
  <sheetData>
    <row r="2" spans="2:32" x14ac:dyDescent="0.25">
      <c r="B2" s="8" t="s">
        <v>150</v>
      </c>
      <c r="C2" s="8" t="s">
        <v>129</v>
      </c>
      <c r="D2" s="8" t="s">
        <v>130</v>
      </c>
      <c r="E2" s="8" t="s">
        <v>131</v>
      </c>
      <c r="F2" s="8" t="s">
        <v>132</v>
      </c>
      <c r="G2" s="8" t="s">
        <v>133</v>
      </c>
      <c r="H2" s="8" t="s">
        <v>134</v>
      </c>
      <c r="I2" s="8" t="s">
        <v>135</v>
      </c>
      <c r="J2" s="8" t="s">
        <v>136</v>
      </c>
      <c r="K2" s="8" t="s">
        <v>137</v>
      </c>
      <c r="L2" s="8" t="s">
        <v>138</v>
      </c>
      <c r="N2" s="8" t="s">
        <v>150</v>
      </c>
      <c r="O2" s="8" t="s">
        <v>129</v>
      </c>
      <c r="P2" s="8" t="s">
        <v>130</v>
      </c>
      <c r="Q2" s="8" t="s">
        <v>131</v>
      </c>
      <c r="R2" s="8" t="s">
        <v>132</v>
      </c>
      <c r="S2" s="8" t="s">
        <v>133</v>
      </c>
      <c r="T2" s="8" t="s">
        <v>134</v>
      </c>
      <c r="U2" s="8" t="s">
        <v>135</v>
      </c>
      <c r="V2" s="8" t="s">
        <v>136</v>
      </c>
      <c r="W2" s="8" t="s">
        <v>137</v>
      </c>
      <c r="X2" s="8" t="s">
        <v>138</v>
      </c>
      <c r="Z2" t="s">
        <v>152</v>
      </c>
    </row>
    <row r="3" spans="2:32" x14ac:dyDescent="0.25">
      <c r="B3" s="8" t="s">
        <v>139</v>
      </c>
      <c r="C3" s="8"/>
      <c r="D3" s="8"/>
      <c r="E3" s="8"/>
      <c r="F3" s="8"/>
      <c r="G3" s="8"/>
      <c r="H3" s="8"/>
      <c r="I3" s="8"/>
      <c r="J3" s="8"/>
      <c r="K3" s="8"/>
      <c r="L3" s="8"/>
      <c r="N3" s="8" t="s">
        <v>139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2:32" x14ac:dyDescent="0.25">
      <c r="B4" s="8" t="s">
        <v>129</v>
      </c>
      <c r="C4" s="8">
        <v>0</v>
      </c>
      <c r="D4" s="8">
        <v>3</v>
      </c>
      <c r="E4" s="8">
        <v>56</v>
      </c>
      <c r="F4" s="8">
        <v>64</v>
      </c>
      <c r="G4" s="8">
        <v>84</v>
      </c>
      <c r="H4" s="8">
        <v>59</v>
      </c>
      <c r="I4" s="8">
        <v>35</v>
      </c>
      <c r="J4" s="8">
        <v>17</v>
      </c>
      <c r="K4" s="8">
        <v>13</v>
      </c>
      <c r="L4" s="8">
        <v>4</v>
      </c>
      <c r="N4" s="8" t="s">
        <v>129</v>
      </c>
      <c r="O4" s="9">
        <f>C4/SUM($C4:$L4)</f>
        <v>0</v>
      </c>
      <c r="P4" s="9">
        <f t="shared" ref="P4:X4" si="0">D4/SUM($C4:$L4)</f>
        <v>8.9552238805970154E-3</v>
      </c>
      <c r="Q4" s="9">
        <f t="shared" si="0"/>
        <v>0.16716417910447762</v>
      </c>
      <c r="R4" s="9">
        <f t="shared" si="0"/>
        <v>0.19104477611940299</v>
      </c>
      <c r="S4" s="9">
        <f t="shared" si="0"/>
        <v>0.2507462686567164</v>
      </c>
      <c r="T4" s="9">
        <f t="shared" si="0"/>
        <v>0.17611940298507461</v>
      </c>
      <c r="U4" s="9">
        <f t="shared" si="0"/>
        <v>0.1044776119402985</v>
      </c>
      <c r="V4" s="9">
        <f t="shared" si="0"/>
        <v>5.0746268656716415E-2</v>
      </c>
      <c r="W4" s="9">
        <f t="shared" si="0"/>
        <v>3.880597014925373E-2</v>
      </c>
      <c r="X4" s="9">
        <f t="shared" si="0"/>
        <v>1.1940298507462687E-2</v>
      </c>
      <c r="Z4" s="144">
        <f>SUM(T4:X4)</f>
        <v>0.38208955223880597</v>
      </c>
    </row>
    <row r="5" spans="2:32" x14ac:dyDescent="0.25">
      <c r="B5" s="8" t="s">
        <v>130</v>
      </c>
      <c r="C5" s="8">
        <v>0</v>
      </c>
      <c r="D5" s="8">
        <v>4</v>
      </c>
      <c r="E5" s="8">
        <v>298</v>
      </c>
      <c r="F5" s="8">
        <v>289</v>
      </c>
      <c r="G5" s="8">
        <v>461</v>
      </c>
      <c r="H5" s="8">
        <v>394</v>
      </c>
      <c r="I5" s="8">
        <v>207</v>
      </c>
      <c r="J5" s="8">
        <v>100</v>
      </c>
      <c r="K5" s="8">
        <v>63</v>
      </c>
      <c r="L5" s="8">
        <v>21</v>
      </c>
      <c r="N5" s="8" t="s">
        <v>130</v>
      </c>
      <c r="O5" s="9">
        <f t="shared" ref="O5:O13" si="1">C5/SUM($C5:$L5)</f>
        <v>0</v>
      </c>
      <c r="P5" s="9">
        <f t="shared" ref="P5:P13" si="2">D5/SUM($C5:$L5)</f>
        <v>2.1774632553075669E-3</v>
      </c>
      <c r="Q5" s="9">
        <f t="shared" ref="Q5:Q13" si="3">E5/SUM($C5:$L5)</f>
        <v>0.16222101252041371</v>
      </c>
      <c r="R5" s="9">
        <f t="shared" ref="R5:R13" si="4">F5/SUM($C5:$L5)</f>
        <v>0.15732172019597168</v>
      </c>
      <c r="S5" s="9">
        <f t="shared" ref="S5:S13" si="5">G5/SUM($C5:$L5)</f>
        <v>0.25095264017419705</v>
      </c>
      <c r="T5" s="9">
        <f t="shared" ref="T5:T13" si="6">H5/SUM($C5:$L5)</f>
        <v>0.21448013064779531</v>
      </c>
      <c r="U5" s="9">
        <f t="shared" ref="U5:U13" si="7">I5/SUM($C5:$L5)</f>
        <v>0.11268372346216658</v>
      </c>
      <c r="V5" s="9">
        <f t="shared" ref="V5:V13" si="8">J5/SUM($C5:$L5)</f>
        <v>5.443658138268917E-2</v>
      </c>
      <c r="W5" s="9">
        <f t="shared" ref="W5:W13" si="9">K5/SUM($C5:$L5)</f>
        <v>3.4295046271094178E-2</v>
      </c>
      <c r="X5" s="9">
        <f t="shared" ref="X5:X13" si="10">L5/SUM($C5:$L5)</f>
        <v>1.1431682090364725E-2</v>
      </c>
      <c r="Z5" s="144">
        <f t="shared" ref="Z5:Z13" si="11">SUM(T5:X5)</f>
        <v>0.42732716385411001</v>
      </c>
    </row>
    <row r="6" spans="2:32" x14ac:dyDescent="0.25">
      <c r="B6" s="8" t="s">
        <v>131</v>
      </c>
      <c r="C6" s="8">
        <v>0</v>
      </c>
      <c r="D6" s="8">
        <v>0</v>
      </c>
      <c r="E6" s="8">
        <v>249</v>
      </c>
      <c r="F6" s="8">
        <v>373</v>
      </c>
      <c r="G6" s="8">
        <v>644</v>
      </c>
      <c r="H6" s="8">
        <v>505</v>
      </c>
      <c r="I6" s="8">
        <v>292</v>
      </c>
      <c r="J6" s="8">
        <v>134</v>
      </c>
      <c r="K6" s="8">
        <v>65</v>
      </c>
      <c r="L6" s="8">
        <v>18</v>
      </c>
      <c r="N6" s="8" t="s">
        <v>131</v>
      </c>
      <c r="O6" s="9">
        <f t="shared" si="1"/>
        <v>0</v>
      </c>
      <c r="P6" s="9">
        <f t="shared" si="2"/>
        <v>0</v>
      </c>
      <c r="Q6" s="9">
        <f t="shared" si="3"/>
        <v>0.10921052631578948</v>
      </c>
      <c r="R6" s="9">
        <f t="shared" si="4"/>
        <v>0.16359649122807018</v>
      </c>
      <c r="S6" s="9">
        <f t="shared" si="5"/>
        <v>0.28245614035087718</v>
      </c>
      <c r="T6" s="9">
        <f t="shared" si="6"/>
        <v>0.22149122807017543</v>
      </c>
      <c r="U6" s="9">
        <f t="shared" si="7"/>
        <v>0.1280701754385965</v>
      </c>
      <c r="V6" s="9">
        <f t="shared" si="8"/>
        <v>5.8771929824561406E-2</v>
      </c>
      <c r="W6" s="9">
        <f t="shared" si="9"/>
        <v>2.850877192982456E-2</v>
      </c>
      <c r="X6" s="9">
        <f t="shared" si="10"/>
        <v>7.8947368421052634E-3</v>
      </c>
      <c r="Z6" s="144">
        <f t="shared" si="11"/>
        <v>0.44473684210526321</v>
      </c>
    </row>
    <row r="7" spans="2:32" x14ac:dyDescent="0.25">
      <c r="B7" s="8" t="s">
        <v>132</v>
      </c>
      <c r="C7" s="8">
        <v>0</v>
      </c>
      <c r="D7" s="8">
        <v>0</v>
      </c>
      <c r="E7" s="8">
        <v>83</v>
      </c>
      <c r="F7" s="8">
        <v>153</v>
      </c>
      <c r="G7" s="8">
        <v>477</v>
      </c>
      <c r="H7" s="8">
        <v>409</v>
      </c>
      <c r="I7" s="8">
        <v>217</v>
      </c>
      <c r="J7" s="8">
        <v>107</v>
      </c>
      <c r="K7" s="8">
        <v>53</v>
      </c>
      <c r="L7" s="8">
        <v>8</v>
      </c>
      <c r="N7" s="8" t="s">
        <v>132</v>
      </c>
      <c r="O7" s="9">
        <f t="shared" si="1"/>
        <v>0</v>
      </c>
      <c r="P7" s="9">
        <f t="shared" si="2"/>
        <v>0</v>
      </c>
      <c r="Q7" s="9">
        <f t="shared" si="3"/>
        <v>5.5076310550763105E-2</v>
      </c>
      <c r="R7" s="9">
        <f t="shared" si="4"/>
        <v>0.10152621101526212</v>
      </c>
      <c r="S7" s="9">
        <f t="shared" si="5"/>
        <v>0.31652289316522891</v>
      </c>
      <c r="T7" s="9">
        <f t="shared" si="6"/>
        <v>0.27140013271400132</v>
      </c>
      <c r="U7" s="9">
        <f t="shared" si="7"/>
        <v>0.14399469143994692</v>
      </c>
      <c r="V7" s="9">
        <f t="shared" si="8"/>
        <v>7.1001990710019905E-2</v>
      </c>
      <c r="W7" s="9">
        <f t="shared" si="9"/>
        <v>3.5169210351692105E-2</v>
      </c>
      <c r="X7" s="9">
        <f t="shared" si="10"/>
        <v>5.3085600530856005E-3</v>
      </c>
      <c r="Z7" s="144">
        <f t="shared" si="11"/>
        <v>0.52687458526874575</v>
      </c>
    </row>
    <row r="8" spans="2:32" x14ac:dyDescent="0.25">
      <c r="B8" s="8" t="s">
        <v>133</v>
      </c>
      <c r="C8" s="8">
        <v>0</v>
      </c>
      <c r="D8" s="8">
        <v>0</v>
      </c>
      <c r="E8" s="8">
        <v>52</v>
      </c>
      <c r="F8" s="8">
        <v>148</v>
      </c>
      <c r="G8" s="8">
        <v>580</v>
      </c>
      <c r="H8" s="8">
        <v>966</v>
      </c>
      <c r="I8" s="8">
        <v>554</v>
      </c>
      <c r="J8" s="8">
        <v>217</v>
      </c>
      <c r="K8" s="8">
        <v>96</v>
      </c>
      <c r="L8" s="8">
        <v>23</v>
      </c>
      <c r="N8" s="8" t="s">
        <v>133</v>
      </c>
      <c r="O8" s="9">
        <f t="shared" si="1"/>
        <v>0</v>
      </c>
      <c r="P8" s="9">
        <f t="shared" si="2"/>
        <v>0</v>
      </c>
      <c r="Q8" s="9">
        <f t="shared" si="3"/>
        <v>1.9726858877086494E-2</v>
      </c>
      <c r="R8" s="9">
        <f t="shared" si="4"/>
        <v>5.614567526555387E-2</v>
      </c>
      <c r="S8" s="9">
        <f t="shared" si="5"/>
        <v>0.22003034901365706</v>
      </c>
      <c r="T8" s="9">
        <f t="shared" si="6"/>
        <v>0.36646433990895294</v>
      </c>
      <c r="U8" s="9">
        <f t="shared" si="7"/>
        <v>0.2101669195751138</v>
      </c>
      <c r="V8" s="9">
        <f t="shared" si="8"/>
        <v>8.2321699544764801E-2</v>
      </c>
      <c r="W8" s="9">
        <f t="shared" si="9"/>
        <v>3.6418816388467376E-2</v>
      </c>
      <c r="X8" s="9">
        <f t="shared" si="10"/>
        <v>8.7253414264036426E-3</v>
      </c>
      <c r="Z8" s="144">
        <f t="shared" si="11"/>
        <v>0.70409711684370258</v>
      </c>
    </row>
    <row r="9" spans="2:32" x14ac:dyDescent="0.25">
      <c r="B9" s="8" t="s">
        <v>134</v>
      </c>
      <c r="C9" s="8">
        <v>0</v>
      </c>
      <c r="D9" s="8">
        <v>0</v>
      </c>
      <c r="E9" s="8">
        <v>12</v>
      </c>
      <c r="F9" s="8">
        <v>39</v>
      </c>
      <c r="G9" s="8">
        <v>242</v>
      </c>
      <c r="H9" s="8">
        <v>1019</v>
      </c>
      <c r="I9" s="8">
        <v>788</v>
      </c>
      <c r="J9" s="8">
        <v>263</v>
      </c>
      <c r="K9" s="8">
        <v>108</v>
      </c>
      <c r="L9" s="8">
        <v>22</v>
      </c>
      <c r="N9" s="8" t="s">
        <v>134</v>
      </c>
      <c r="O9" s="9">
        <f t="shared" si="1"/>
        <v>0</v>
      </c>
      <c r="P9" s="9">
        <f t="shared" si="2"/>
        <v>0</v>
      </c>
      <c r="Q9" s="9">
        <f t="shared" si="3"/>
        <v>4.8134777376654635E-3</v>
      </c>
      <c r="R9" s="9">
        <f t="shared" si="4"/>
        <v>1.5643802647412757E-2</v>
      </c>
      <c r="S9" s="9">
        <f t="shared" si="5"/>
        <v>9.7071801042920181E-2</v>
      </c>
      <c r="T9" s="9">
        <f t="shared" si="6"/>
        <v>0.40874448455675894</v>
      </c>
      <c r="U9" s="9">
        <f t="shared" si="7"/>
        <v>0.31608503810669875</v>
      </c>
      <c r="V9" s="9">
        <f t="shared" si="8"/>
        <v>0.10549538708383474</v>
      </c>
      <c r="W9" s="9">
        <f t="shared" si="9"/>
        <v>4.3321299638989168E-2</v>
      </c>
      <c r="X9" s="9">
        <f t="shared" si="10"/>
        <v>8.8247091857200158E-3</v>
      </c>
      <c r="Z9" s="144">
        <f t="shared" si="11"/>
        <v>0.88247091857200155</v>
      </c>
    </row>
    <row r="10" spans="2:32" x14ac:dyDescent="0.25">
      <c r="B10" s="8" t="s">
        <v>135</v>
      </c>
      <c r="C10" s="8">
        <v>0</v>
      </c>
      <c r="D10" s="8">
        <v>0</v>
      </c>
      <c r="E10" s="8">
        <v>7</v>
      </c>
      <c r="F10" s="8">
        <v>12</v>
      </c>
      <c r="G10" s="8">
        <v>95</v>
      </c>
      <c r="H10" s="8">
        <v>358</v>
      </c>
      <c r="I10" s="8">
        <v>1111</v>
      </c>
      <c r="J10" s="8">
        <v>572</v>
      </c>
      <c r="K10" s="8">
        <v>148</v>
      </c>
      <c r="L10" s="8">
        <v>36</v>
      </c>
      <c r="N10" s="8" t="s">
        <v>135</v>
      </c>
      <c r="O10" s="9">
        <f t="shared" si="1"/>
        <v>0</v>
      </c>
      <c r="P10" s="9">
        <f t="shared" si="2"/>
        <v>0</v>
      </c>
      <c r="Q10" s="9">
        <f t="shared" si="3"/>
        <v>2.9927319367250961E-3</v>
      </c>
      <c r="R10" s="9">
        <f t="shared" si="4"/>
        <v>5.1303976058144508E-3</v>
      </c>
      <c r="S10" s="9">
        <f t="shared" si="5"/>
        <v>4.0615647712697732E-2</v>
      </c>
      <c r="T10" s="9">
        <f t="shared" si="6"/>
        <v>0.15305686190679776</v>
      </c>
      <c r="U10" s="9">
        <f t="shared" si="7"/>
        <v>0.47498931167165453</v>
      </c>
      <c r="V10" s="9">
        <f t="shared" si="8"/>
        <v>0.24454895254382214</v>
      </c>
      <c r="W10" s="9">
        <f t="shared" si="9"/>
        <v>6.3274903805044885E-2</v>
      </c>
      <c r="X10" s="9">
        <f t="shared" si="10"/>
        <v>1.5391192817443352E-2</v>
      </c>
      <c r="Z10" s="144">
        <f t="shared" si="11"/>
        <v>0.95126122274476266</v>
      </c>
    </row>
    <row r="11" spans="2:32" x14ac:dyDescent="0.25">
      <c r="B11" s="8" t="s">
        <v>136</v>
      </c>
      <c r="C11" s="8">
        <v>0</v>
      </c>
      <c r="D11" s="8">
        <v>0</v>
      </c>
      <c r="E11" s="8">
        <v>1</v>
      </c>
      <c r="F11" s="8">
        <v>4</v>
      </c>
      <c r="G11" s="8">
        <v>28</v>
      </c>
      <c r="H11" s="8">
        <v>94</v>
      </c>
      <c r="I11" s="8">
        <v>267</v>
      </c>
      <c r="J11" s="8">
        <v>854</v>
      </c>
      <c r="K11" s="8">
        <v>377</v>
      </c>
      <c r="L11" s="8">
        <v>44</v>
      </c>
      <c r="N11" s="8" t="s">
        <v>136</v>
      </c>
      <c r="O11" s="9">
        <f t="shared" si="1"/>
        <v>0</v>
      </c>
      <c r="P11" s="9">
        <f t="shared" si="2"/>
        <v>0</v>
      </c>
      <c r="Q11" s="9">
        <f t="shared" si="3"/>
        <v>5.9916117435590175E-4</v>
      </c>
      <c r="R11" s="9">
        <f t="shared" si="4"/>
        <v>2.396644697423607E-3</v>
      </c>
      <c r="S11" s="9">
        <f t="shared" si="5"/>
        <v>1.6776512881965248E-2</v>
      </c>
      <c r="T11" s="9">
        <f t="shared" si="6"/>
        <v>5.632115038945476E-2</v>
      </c>
      <c r="U11" s="9">
        <f t="shared" si="7"/>
        <v>0.15997603355302575</v>
      </c>
      <c r="V11" s="9">
        <f t="shared" si="8"/>
        <v>0.51168364289994006</v>
      </c>
      <c r="W11" s="9">
        <f t="shared" si="9"/>
        <v>0.22588376273217495</v>
      </c>
      <c r="X11" s="9">
        <f t="shared" si="10"/>
        <v>2.6363091671659677E-2</v>
      </c>
      <c r="Z11" s="144">
        <f t="shared" si="11"/>
        <v>0.98022768124625514</v>
      </c>
    </row>
    <row r="12" spans="2:32" x14ac:dyDescent="0.25">
      <c r="B12" s="8" t="s">
        <v>137</v>
      </c>
      <c r="C12" s="8">
        <v>0</v>
      </c>
      <c r="D12" s="8">
        <v>0</v>
      </c>
      <c r="E12" s="8">
        <v>3</v>
      </c>
      <c r="F12" s="8">
        <v>0</v>
      </c>
      <c r="G12" s="8">
        <v>7</v>
      </c>
      <c r="H12" s="8">
        <v>26</v>
      </c>
      <c r="I12" s="8">
        <v>55</v>
      </c>
      <c r="J12" s="8">
        <v>187</v>
      </c>
      <c r="K12" s="8">
        <v>799</v>
      </c>
      <c r="L12" s="8">
        <v>169</v>
      </c>
      <c r="N12" s="8" t="s">
        <v>137</v>
      </c>
      <c r="O12" s="9">
        <f t="shared" si="1"/>
        <v>0</v>
      </c>
      <c r="P12" s="9">
        <f t="shared" si="2"/>
        <v>0</v>
      </c>
      <c r="Q12" s="9">
        <f t="shared" si="3"/>
        <v>2.407704654895666E-3</v>
      </c>
      <c r="R12" s="9">
        <f t="shared" si="4"/>
        <v>0</v>
      </c>
      <c r="S12" s="9">
        <f t="shared" si="5"/>
        <v>5.6179775280898875E-3</v>
      </c>
      <c r="T12" s="9">
        <f t="shared" si="6"/>
        <v>2.0866773675762441E-2</v>
      </c>
      <c r="U12" s="9">
        <f t="shared" si="7"/>
        <v>4.4141252006420544E-2</v>
      </c>
      <c r="V12" s="9">
        <f t="shared" si="8"/>
        <v>0.15008025682182985</v>
      </c>
      <c r="W12" s="9">
        <f t="shared" si="9"/>
        <v>0.64125200642054569</v>
      </c>
      <c r="X12" s="9">
        <f t="shared" si="10"/>
        <v>0.13563402889245585</v>
      </c>
      <c r="Z12" s="144">
        <f t="shared" si="11"/>
        <v>0.99197431781701439</v>
      </c>
    </row>
    <row r="13" spans="2:32" x14ac:dyDescent="0.25">
      <c r="B13" s="8" t="s">
        <v>138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7</v>
      </c>
      <c r="I13" s="8">
        <v>10</v>
      </c>
      <c r="J13" s="8">
        <v>11</v>
      </c>
      <c r="K13" s="8">
        <v>87</v>
      </c>
      <c r="L13" s="8">
        <v>449</v>
      </c>
      <c r="N13" s="8" t="s">
        <v>138</v>
      </c>
      <c r="O13" s="9">
        <f t="shared" si="1"/>
        <v>0</v>
      </c>
      <c r="P13" s="9">
        <f t="shared" si="2"/>
        <v>0</v>
      </c>
      <c r="Q13" s="9">
        <f t="shared" si="3"/>
        <v>0</v>
      </c>
      <c r="R13" s="9">
        <f t="shared" si="4"/>
        <v>0</v>
      </c>
      <c r="S13" s="9">
        <f t="shared" si="5"/>
        <v>1.7699115044247787E-3</v>
      </c>
      <c r="T13" s="9">
        <f t="shared" si="6"/>
        <v>1.2389380530973451E-2</v>
      </c>
      <c r="U13" s="9">
        <f t="shared" si="7"/>
        <v>1.7699115044247787E-2</v>
      </c>
      <c r="V13" s="9">
        <f t="shared" si="8"/>
        <v>1.9469026548672566E-2</v>
      </c>
      <c r="W13" s="9">
        <f t="shared" si="9"/>
        <v>0.15398230088495576</v>
      </c>
      <c r="X13" s="9">
        <f t="shared" si="10"/>
        <v>0.79469026548672561</v>
      </c>
      <c r="Z13" s="144">
        <f t="shared" si="11"/>
        <v>0.99823008849557515</v>
      </c>
    </row>
    <row r="14" spans="2:32" x14ac:dyDescent="0.25"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N14" s="121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Z14" s="144"/>
    </row>
    <row r="15" spans="2:32" x14ac:dyDescent="0.25">
      <c r="N15" s="180" t="s">
        <v>165</v>
      </c>
      <c r="AB15" s="176" t="s">
        <v>163</v>
      </c>
      <c r="AC15" s="176"/>
      <c r="AD15" s="176"/>
      <c r="AE15" s="176"/>
      <c r="AF15" s="176"/>
    </row>
    <row r="16" spans="2:32" ht="15.75" thickBot="1" x14ac:dyDescent="0.3">
      <c r="B16" s="8"/>
      <c r="C16" s="153" t="s">
        <v>153</v>
      </c>
      <c r="D16" s="146" t="s">
        <v>154</v>
      </c>
      <c r="E16" s="150" t="s">
        <v>155</v>
      </c>
      <c r="F16" s="149" t="s">
        <v>156</v>
      </c>
      <c r="G16" s="147" t="s">
        <v>157</v>
      </c>
      <c r="N16" s="9"/>
      <c r="O16" s="169" t="s">
        <v>153</v>
      </c>
      <c r="P16" s="170" t="s">
        <v>154</v>
      </c>
      <c r="Q16" s="171" t="s">
        <v>155</v>
      </c>
      <c r="R16" s="172" t="s">
        <v>156</v>
      </c>
      <c r="S16" s="173" t="s">
        <v>157</v>
      </c>
      <c r="U16" s="176"/>
      <c r="V16" s="177" t="s">
        <v>161</v>
      </c>
      <c r="W16" s="176" t="s">
        <v>159</v>
      </c>
      <c r="X16" s="177" t="s">
        <v>160</v>
      </c>
      <c r="Y16" s="176" t="s">
        <v>158</v>
      </c>
      <c r="AB16" s="176" t="s">
        <v>162</v>
      </c>
      <c r="AC16" s="176" t="s">
        <v>161</v>
      </c>
      <c r="AD16" s="176" t="s">
        <v>159</v>
      </c>
      <c r="AE16" s="176" t="s">
        <v>160</v>
      </c>
      <c r="AF16" s="176" t="s">
        <v>158</v>
      </c>
    </row>
    <row r="17" spans="2:32" x14ac:dyDescent="0.25">
      <c r="B17" s="151" t="s">
        <v>129</v>
      </c>
      <c r="C17" s="158">
        <f t="shared" ref="C17:C26" si="12">SUM(C4:G4)</f>
        <v>207</v>
      </c>
      <c r="D17" s="152">
        <f t="shared" ref="D17:D26" si="13">SUM(H4)</f>
        <v>59</v>
      </c>
      <c r="E17" s="8">
        <f t="shared" ref="E17:E26" si="14">SUM(I4)</f>
        <v>35</v>
      </c>
      <c r="F17" s="8">
        <f t="shared" ref="F17:F26" si="15">SUM(J4:K4)</f>
        <v>30</v>
      </c>
      <c r="G17" s="8">
        <f t="shared" ref="G17:G26" si="16">SUM(L4)</f>
        <v>4</v>
      </c>
      <c r="N17" s="174" t="s">
        <v>129</v>
      </c>
      <c r="O17" s="161">
        <f>C17/SUM($C17:$G17)</f>
        <v>0.61791044776119408</v>
      </c>
      <c r="P17" s="162">
        <f>D17/SUM($C17:$G17)</f>
        <v>0.17611940298507461</v>
      </c>
      <c r="Q17" s="9">
        <f>E17/SUM($C17:$G17)</f>
        <v>0.1044776119402985</v>
      </c>
      <c r="R17" s="9">
        <f>F17/SUM($C17:$G17)</f>
        <v>8.9552238805970144E-2</v>
      </c>
      <c r="S17" s="9">
        <f>G17/SUM($C17:$G17)</f>
        <v>1.1940298507462687E-2</v>
      </c>
      <c r="U17" s="176" t="s">
        <v>129</v>
      </c>
      <c r="V17" s="178">
        <v>0</v>
      </c>
      <c r="W17" s="178">
        <f>O17</f>
        <v>0.61791044776119408</v>
      </c>
      <c r="X17" s="178">
        <f>SUM(P17:S17)</f>
        <v>0.38208955223880597</v>
      </c>
      <c r="Y17" s="178">
        <f>SUM(Q17:S17)</f>
        <v>0.20597014925373136</v>
      </c>
      <c r="AB17" s="176" t="s">
        <v>129</v>
      </c>
      <c r="AC17" s="179">
        <v>0</v>
      </c>
      <c r="AD17" s="179">
        <f t="shared" ref="AD17:AD26" si="17">1/W17</f>
        <v>1.6183574879227052</v>
      </c>
      <c r="AE17" s="179">
        <f t="shared" ref="AE17:AE25" si="18">1/X17</f>
        <v>2.6171875</v>
      </c>
      <c r="AF17" s="179">
        <f t="shared" ref="AF17:AF23" si="19">1/Y17</f>
        <v>4.8550724637681153</v>
      </c>
    </row>
    <row r="18" spans="2:32" x14ac:dyDescent="0.25">
      <c r="B18" s="151" t="s">
        <v>130</v>
      </c>
      <c r="C18" s="160">
        <f t="shared" si="12"/>
        <v>1052</v>
      </c>
      <c r="D18" s="152">
        <f t="shared" si="13"/>
        <v>394</v>
      </c>
      <c r="E18" s="8">
        <f t="shared" si="14"/>
        <v>207</v>
      </c>
      <c r="F18" s="8">
        <f t="shared" si="15"/>
        <v>163</v>
      </c>
      <c r="G18" s="8">
        <f t="shared" si="16"/>
        <v>21</v>
      </c>
      <c r="N18" s="174" t="s">
        <v>130</v>
      </c>
      <c r="O18" s="163">
        <f t="shared" ref="O18:O26" si="20">C18/SUM($C18:$G18)</f>
        <v>0.57267283614589004</v>
      </c>
      <c r="P18" s="162">
        <f t="shared" ref="P18:P26" si="21">D18/SUM($C18:$G18)</f>
        <v>0.21448013064779531</v>
      </c>
      <c r="Q18" s="9">
        <f t="shared" ref="Q18:Q26" si="22">E18/SUM($C18:$G18)</f>
        <v>0.11268372346216658</v>
      </c>
      <c r="R18" s="9">
        <f t="shared" ref="R18:R26" si="23">F18/SUM($C18:$G18)</f>
        <v>8.873162765378334E-2</v>
      </c>
      <c r="S18" s="9">
        <f t="shared" ref="S18:S26" si="24">G18/SUM($C18:$G18)</f>
        <v>1.1431682090364725E-2</v>
      </c>
      <c r="U18" s="176" t="s">
        <v>130</v>
      </c>
      <c r="V18" s="178">
        <v>0</v>
      </c>
      <c r="W18" s="178">
        <f>O18</f>
        <v>0.57267283614589004</v>
      </c>
      <c r="X18" s="178">
        <f>SUM(P18:S18)</f>
        <v>0.42732716385410996</v>
      </c>
      <c r="Y18" s="178">
        <f>SUM(Q18:S18)</f>
        <v>0.21284703320631465</v>
      </c>
      <c r="AB18" s="176" t="s">
        <v>130</v>
      </c>
      <c r="AC18" s="179">
        <v>0</v>
      </c>
      <c r="AD18" s="179">
        <f t="shared" si="17"/>
        <v>1.7461977186311788</v>
      </c>
      <c r="AE18" s="179">
        <f t="shared" si="18"/>
        <v>2.340127388535032</v>
      </c>
      <c r="AF18" s="179">
        <f t="shared" si="19"/>
        <v>4.6982097186700766</v>
      </c>
    </row>
    <row r="19" spans="2:32" x14ac:dyDescent="0.25">
      <c r="B19" s="151" t="s">
        <v>131</v>
      </c>
      <c r="C19" s="160">
        <f t="shared" si="12"/>
        <v>1266</v>
      </c>
      <c r="D19" s="152">
        <f t="shared" si="13"/>
        <v>505</v>
      </c>
      <c r="E19" s="8">
        <f t="shared" si="14"/>
        <v>292</v>
      </c>
      <c r="F19" s="8">
        <f t="shared" si="15"/>
        <v>199</v>
      </c>
      <c r="G19" s="8">
        <f t="shared" si="16"/>
        <v>18</v>
      </c>
      <c r="N19" s="174" t="s">
        <v>131</v>
      </c>
      <c r="O19" s="163">
        <f t="shared" si="20"/>
        <v>0.55526315789473679</v>
      </c>
      <c r="P19" s="162">
        <f t="shared" si="21"/>
        <v>0.22149122807017543</v>
      </c>
      <c r="Q19" s="9">
        <f t="shared" si="22"/>
        <v>0.1280701754385965</v>
      </c>
      <c r="R19" s="9">
        <f t="shared" si="23"/>
        <v>8.7280701754385959E-2</v>
      </c>
      <c r="S19" s="9">
        <f t="shared" si="24"/>
        <v>7.8947368421052634E-3</v>
      </c>
      <c r="U19" s="176" t="s">
        <v>131</v>
      </c>
      <c r="V19" s="178">
        <v>0</v>
      </c>
      <c r="W19" s="178">
        <f>O19</f>
        <v>0.55526315789473679</v>
      </c>
      <c r="X19" s="178">
        <f>SUM(P19:S19)</f>
        <v>0.44473684210526321</v>
      </c>
      <c r="Y19" s="178">
        <f>SUM(Q19:S19)</f>
        <v>0.22324561403508772</v>
      </c>
      <c r="AB19" s="176" t="s">
        <v>131</v>
      </c>
      <c r="AC19" s="179">
        <v>0</v>
      </c>
      <c r="AD19" s="179">
        <f t="shared" si="17"/>
        <v>1.8009478672985784</v>
      </c>
      <c r="AE19" s="179">
        <f t="shared" si="18"/>
        <v>2.2485207100591715</v>
      </c>
      <c r="AF19" s="179">
        <f t="shared" si="19"/>
        <v>4.4793713163064837</v>
      </c>
    </row>
    <row r="20" spans="2:32" x14ac:dyDescent="0.25">
      <c r="B20" s="151" t="s">
        <v>132</v>
      </c>
      <c r="C20" s="160">
        <f t="shared" si="12"/>
        <v>713</v>
      </c>
      <c r="D20" s="152">
        <f t="shared" si="13"/>
        <v>409</v>
      </c>
      <c r="E20" s="8">
        <f t="shared" si="14"/>
        <v>217</v>
      </c>
      <c r="F20" s="8">
        <f t="shared" si="15"/>
        <v>160</v>
      </c>
      <c r="G20" s="8">
        <f t="shared" si="16"/>
        <v>8</v>
      </c>
      <c r="N20" s="174" t="s">
        <v>132</v>
      </c>
      <c r="O20" s="163">
        <f t="shared" si="20"/>
        <v>0.47312541473125413</v>
      </c>
      <c r="P20" s="162">
        <f t="shared" si="21"/>
        <v>0.27140013271400132</v>
      </c>
      <c r="Q20" s="9">
        <f t="shared" si="22"/>
        <v>0.14399469143994692</v>
      </c>
      <c r="R20" s="9">
        <f t="shared" si="23"/>
        <v>0.10617120106171202</v>
      </c>
      <c r="S20" s="9">
        <f t="shared" si="24"/>
        <v>5.3085600530856005E-3</v>
      </c>
      <c r="U20" s="176" t="s">
        <v>132</v>
      </c>
      <c r="V20" s="178">
        <v>0</v>
      </c>
      <c r="W20" s="178">
        <f>O20</f>
        <v>0.47312541473125413</v>
      </c>
      <c r="X20" s="178">
        <f>SUM(P20:S20)</f>
        <v>0.52687458526874575</v>
      </c>
      <c r="Y20" s="178">
        <f>SUM(Q20:S20)</f>
        <v>0.25547445255474455</v>
      </c>
      <c r="AB20" s="176" t="s">
        <v>132</v>
      </c>
      <c r="AC20" s="179">
        <v>0</v>
      </c>
      <c r="AD20" s="179">
        <f t="shared" si="17"/>
        <v>2.1136044880785416</v>
      </c>
      <c r="AE20" s="179">
        <f t="shared" si="18"/>
        <v>1.8979848866498743</v>
      </c>
      <c r="AF20" s="179">
        <f t="shared" si="19"/>
        <v>3.9142857142857141</v>
      </c>
    </row>
    <row r="21" spans="2:32" ht="15.75" thickBot="1" x14ac:dyDescent="0.3">
      <c r="B21" s="151" t="s">
        <v>133</v>
      </c>
      <c r="C21" s="159">
        <f t="shared" si="12"/>
        <v>780</v>
      </c>
      <c r="D21" s="155">
        <f t="shared" si="13"/>
        <v>966</v>
      </c>
      <c r="E21" s="8">
        <f t="shared" si="14"/>
        <v>554</v>
      </c>
      <c r="F21" s="8">
        <f t="shared" si="15"/>
        <v>313</v>
      </c>
      <c r="G21" s="8">
        <f t="shared" si="16"/>
        <v>23</v>
      </c>
      <c r="N21" s="174" t="s">
        <v>133</v>
      </c>
      <c r="O21" s="164">
        <f t="shared" si="20"/>
        <v>0.29590288315629742</v>
      </c>
      <c r="P21" s="165">
        <f t="shared" si="21"/>
        <v>0.36646433990895294</v>
      </c>
      <c r="Q21" s="9">
        <f t="shared" si="22"/>
        <v>0.2101669195751138</v>
      </c>
      <c r="R21" s="9">
        <f t="shared" si="23"/>
        <v>0.11874051593323216</v>
      </c>
      <c r="S21" s="9">
        <f t="shared" si="24"/>
        <v>8.7253414264036426E-3</v>
      </c>
      <c r="U21" s="176" t="s">
        <v>133</v>
      </c>
      <c r="V21" s="178">
        <v>0</v>
      </c>
      <c r="W21" s="178">
        <f>O21</f>
        <v>0.29590288315629742</v>
      </c>
      <c r="X21" s="178">
        <f>SUM(P21:S21)</f>
        <v>0.70409711684370269</v>
      </c>
      <c r="Y21" s="178">
        <f>SUM(Q21:S21)</f>
        <v>0.33763277693474958</v>
      </c>
      <c r="AB21" s="176" t="s">
        <v>133</v>
      </c>
      <c r="AC21" s="179">
        <v>0</v>
      </c>
      <c r="AD21" s="179">
        <f t="shared" si="17"/>
        <v>3.3794871794871795</v>
      </c>
      <c r="AE21" s="179">
        <f t="shared" si="18"/>
        <v>1.420258620689655</v>
      </c>
      <c r="AF21" s="179">
        <f t="shared" si="19"/>
        <v>2.9617977528089892</v>
      </c>
    </row>
    <row r="22" spans="2:32" ht="15.75" thickBot="1" x14ac:dyDescent="0.3">
      <c r="B22" s="148" t="s">
        <v>134</v>
      </c>
      <c r="C22" s="154">
        <f t="shared" si="12"/>
        <v>293</v>
      </c>
      <c r="D22" s="157">
        <f t="shared" si="13"/>
        <v>1019</v>
      </c>
      <c r="E22" s="155">
        <f t="shared" si="14"/>
        <v>788</v>
      </c>
      <c r="F22" s="8">
        <f t="shared" si="15"/>
        <v>371</v>
      </c>
      <c r="G22" s="8">
        <f t="shared" si="16"/>
        <v>22</v>
      </c>
      <c r="N22" s="175" t="s">
        <v>134</v>
      </c>
      <c r="O22" s="166">
        <f t="shared" si="20"/>
        <v>0.11752908142799839</v>
      </c>
      <c r="P22" s="167">
        <f t="shared" si="21"/>
        <v>0.40874448455675894</v>
      </c>
      <c r="Q22" s="165">
        <f t="shared" si="22"/>
        <v>0.31608503810669875</v>
      </c>
      <c r="R22" s="9">
        <f t="shared" si="23"/>
        <v>0.14881668672282392</v>
      </c>
      <c r="S22" s="9">
        <f t="shared" si="24"/>
        <v>8.8247091857200158E-3</v>
      </c>
      <c r="U22" s="176" t="s">
        <v>134</v>
      </c>
      <c r="V22" s="178">
        <v>0.15724027276373848</v>
      </c>
      <c r="W22" s="178">
        <f>P22</f>
        <v>0.40874448455675894</v>
      </c>
      <c r="X22" s="178">
        <f>SUM(Q22:S22)</f>
        <v>0.47372643401524267</v>
      </c>
      <c r="Y22" s="178">
        <f>SUM(R22:S22)</f>
        <v>0.15764139590854392</v>
      </c>
      <c r="AB22" s="176" t="s">
        <v>134</v>
      </c>
      <c r="AC22" s="179">
        <f>1/V22</f>
        <v>6.3596938775510203</v>
      </c>
      <c r="AD22" s="179">
        <f t="shared" si="17"/>
        <v>2.4465161923454368</v>
      </c>
      <c r="AE22" s="179">
        <f t="shared" si="18"/>
        <v>2.1109229466553767</v>
      </c>
      <c r="AF22" s="179">
        <f t="shared" si="19"/>
        <v>6.343511450381679</v>
      </c>
    </row>
    <row r="23" spans="2:32" ht="15.75" thickBot="1" x14ac:dyDescent="0.3">
      <c r="B23" s="150" t="s">
        <v>135</v>
      </c>
      <c r="C23" s="8">
        <f t="shared" si="12"/>
        <v>114</v>
      </c>
      <c r="D23" s="154">
        <f t="shared" si="13"/>
        <v>358</v>
      </c>
      <c r="E23" s="157">
        <f t="shared" si="14"/>
        <v>1111</v>
      </c>
      <c r="F23" s="155">
        <f t="shared" si="15"/>
        <v>720</v>
      </c>
      <c r="G23" s="8">
        <f t="shared" si="16"/>
        <v>36</v>
      </c>
      <c r="N23" s="171" t="s">
        <v>135</v>
      </c>
      <c r="O23" s="9">
        <f t="shared" si="20"/>
        <v>4.873877725523728E-2</v>
      </c>
      <c r="P23" s="166">
        <f t="shared" si="21"/>
        <v>0.15305686190679776</v>
      </c>
      <c r="Q23" s="167">
        <f t="shared" si="22"/>
        <v>0.47498931167165453</v>
      </c>
      <c r="R23" s="165">
        <f t="shared" si="23"/>
        <v>0.30782385634886705</v>
      </c>
      <c r="S23" s="9">
        <f t="shared" si="24"/>
        <v>1.5391192817443352E-2</v>
      </c>
      <c r="U23" s="176" t="s">
        <v>135</v>
      </c>
      <c r="V23" s="178">
        <f>SUM(O23:P23)</f>
        <v>0.20179563916203505</v>
      </c>
      <c r="W23" s="178">
        <f>Q23</f>
        <v>0.47498931167165453</v>
      </c>
      <c r="X23" s="178">
        <f>SUM(R23:S23)</f>
        <v>0.32321504916631039</v>
      </c>
      <c r="Y23" s="178">
        <f>SUM(S23)</f>
        <v>1.5391192817443352E-2</v>
      </c>
      <c r="AB23" s="176" t="s">
        <v>135</v>
      </c>
      <c r="AC23" s="179">
        <f>1/V23</f>
        <v>4.9555084745762716</v>
      </c>
      <c r="AD23" s="179">
        <f t="shared" si="17"/>
        <v>2.1053105310531053</v>
      </c>
      <c r="AE23" s="179">
        <f t="shared" si="18"/>
        <v>3.0939153439153437</v>
      </c>
      <c r="AF23" s="179">
        <f t="shared" si="19"/>
        <v>64.972222222222214</v>
      </c>
    </row>
    <row r="24" spans="2:32" x14ac:dyDescent="0.25">
      <c r="B24" s="149" t="s">
        <v>136</v>
      </c>
      <c r="C24" s="8">
        <f t="shared" si="12"/>
        <v>33</v>
      </c>
      <c r="D24" s="8">
        <f t="shared" si="13"/>
        <v>94</v>
      </c>
      <c r="E24" s="154">
        <f t="shared" si="14"/>
        <v>267</v>
      </c>
      <c r="F24" s="158">
        <f t="shared" si="15"/>
        <v>1231</v>
      </c>
      <c r="G24" s="152">
        <f t="shared" si="16"/>
        <v>44</v>
      </c>
      <c r="N24" s="172" t="s">
        <v>136</v>
      </c>
      <c r="O24" s="9">
        <f t="shared" si="20"/>
        <v>1.9772318753744758E-2</v>
      </c>
      <c r="P24" s="9">
        <f t="shared" si="21"/>
        <v>5.632115038945476E-2</v>
      </c>
      <c r="Q24" s="166">
        <f t="shared" si="22"/>
        <v>0.15997603355302575</v>
      </c>
      <c r="R24" s="161">
        <f t="shared" si="23"/>
        <v>0.73756740563211509</v>
      </c>
      <c r="S24" s="162">
        <f t="shared" si="24"/>
        <v>2.6363091671659677E-2</v>
      </c>
      <c r="U24" s="176" t="s">
        <v>136</v>
      </c>
      <c r="V24" s="178">
        <f>SUM(O24:Q24)</f>
        <v>0.23606950269622529</v>
      </c>
      <c r="W24" s="178">
        <f>R24</f>
        <v>0.73756740563211509</v>
      </c>
      <c r="X24" s="178">
        <f>SUM(S24)</f>
        <v>2.6363091671659677E-2</v>
      </c>
      <c r="Y24" s="178"/>
      <c r="AB24" s="176" t="s">
        <v>136</v>
      </c>
      <c r="AC24" s="179">
        <f>1/V24</f>
        <v>4.2360406091370555</v>
      </c>
      <c r="AD24" s="179">
        <f t="shared" si="17"/>
        <v>1.3558082859463849</v>
      </c>
      <c r="AE24" s="179">
        <f t="shared" si="18"/>
        <v>37.93181818181818</v>
      </c>
      <c r="AF24" s="179">
        <v>0</v>
      </c>
    </row>
    <row r="25" spans="2:32" ht="15.75" thickBot="1" x14ac:dyDescent="0.3">
      <c r="B25" s="149" t="s">
        <v>137</v>
      </c>
      <c r="C25" s="8">
        <f t="shared" si="12"/>
        <v>10</v>
      </c>
      <c r="D25" s="8">
        <f t="shared" si="13"/>
        <v>26</v>
      </c>
      <c r="E25" s="156">
        <f t="shared" si="14"/>
        <v>55</v>
      </c>
      <c r="F25" s="159">
        <f t="shared" si="15"/>
        <v>986</v>
      </c>
      <c r="G25" s="155">
        <f t="shared" si="16"/>
        <v>169</v>
      </c>
      <c r="N25" s="172" t="s">
        <v>137</v>
      </c>
      <c r="O25" s="9">
        <f t="shared" si="20"/>
        <v>8.0256821829855531E-3</v>
      </c>
      <c r="P25" s="9">
        <f t="shared" si="21"/>
        <v>2.0866773675762441E-2</v>
      </c>
      <c r="Q25" s="168">
        <f t="shared" si="22"/>
        <v>4.4141252006420544E-2</v>
      </c>
      <c r="R25" s="164">
        <f t="shared" si="23"/>
        <v>0.7913322632423756</v>
      </c>
      <c r="S25" s="165">
        <f t="shared" si="24"/>
        <v>0.13563402889245585</v>
      </c>
      <c r="U25" s="176" t="s">
        <v>137</v>
      </c>
      <c r="V25" s="178">
        <f>SUM(O25:Q25)</f>
        <v>7.3033707865168537E-2</v>
      </c>
      <c r="W25" s="178">
        <f>R25</f>
        <v>0.7913322632423756</v>
      </c>
      <c r="X25" s="178">
        <f>SUM(S25)</f>
        <v>0.13563402889245585</v>
      </c>
      <c r="Y25" s="178"/>
      <c r="AB25" s="176" t="s">
        <v>137</v>
      </c>
      <c r="AC25" s="179">
        <f>1/V25</f>
        <v>13.692307692307693</v>
      </c>
      <c r="AD25" s="179">
        <f t="shared" si="17"/>
        <v>1.2636916835699796</v>
      </c>
      <c r="AE25" s="179">
        <f t="shared" si="18"/>
        <v>7.3727810650887582</v>
      </c>
      <c r="AF25" s="179">
        <v>0</v>
      </c>
    </row>
    <row r="26" spans="2:32" ht="15.75" thickBot="1" x14ac:dyDescent="0.3">
      <c r="B26" s="147" t="s">
        <v>138</v>
      </c>
      <c r="C26" s="8">
        <f t="shared" si="12"/>
        <v>1</v>
      </c>
      <c r="D26" s="8">
        <f t="shared" si="13"/>
        <v>7</v>
      </c>
      <c r="E26" s="8">
        <f t="shared" si="14"/>
        <v>10</v>
      </c>
      <c r="F26" s="154">
        <f t="shared" si="15"/>
        <v>98</v>
      </c>
      <c r="G26" s="157">
        <f t="shared" si="16"/>
        <v>449</v>
      </c>
      <c r="N26" s="173" t="s">
        <v>138</v>
      </c>
      <c r="O26" s="9">
        <f t="shared" si="20"/>
        <v>1.7699115044247787E-3</v>
      </c>
      <c r="P26" s="9">
        <f t="shared" si="21"/>
        <v>1.2389380530973451E-2</v>
      </c>
      <c r="Q26" s="9">
        <f t="shared" si="22"/>
        <v>1.7699115044247787E-2</v>
      </c>
      <c r="R26" s="166">
        <f t="shared" si="23"/>
        <v>0.17345132743362832</v>
      </c>
      <c r="S26" s="167">
        <f t="shared" si="24"/>
        <v>0.79469026548672561</v>
      </c>
      <c r="U26" s="176" t="s">
        <v>138</v>
      </c>
      <c r="V26" s="178">
        <f>SUM(O26:R26)</f>
        <v>0.20530973451327433</v>
      </c>
      <c r="W26" s="178">
        <f>S26</f>
        <v>0.79469026548672561</v>
      </c>
      <c r="X26" s="178"/>
      <c r="Y26" s="178"/>
      <c r="AB26" s="176" t="s">
        <v>138</v>
      </c>
      <c r="AC26" s="179">
        <f>1/V26</f>
        <v>4.8706896551724137</v>
      </c>
      <c r="AD26" s="179">
        <f t="shared" si="17"/>
        <v>1.2583518930957684</v>
      </c>
      <c r="AE26" s="179">
        <v>0</v>
      </c>
      <c r="AF26" s="179">
        <v>0</v>
      </c>
    </row>
    <row r="27" spans="2:32" x14ac:dyDescent="0.25">
      <c r="B27" s="121"/>
      <c r="C27" s="121"/>
      <c r="D27" s="121"/>
      <c r="E27" s="121"/>
      <c r="F27" s="121"/>
      <c r="G27" s="121"/>
      <c r="N27" s="121"/>
      <c r="O27" s="145"/>
      <c r="P27" s="145"/>
      <c r="Q27" s="145"/>
      <c r="R27" s="145"/>
      <c r="S27" s="145"/>
    </row>
    <row r="28" spans="2:32" x14ac:dyDescent="0.25">
      <c r="B28" s="121"/>
      <c r="C28" s="121"/>
      <c r="D28" s="121"/>
      <c r="E28" s="121"/>
      <c r="F28" s="121"/>
      <c r="G28" s="121"/>
      <c r="N28" s="121"/>
      <c r="O28" s="145"/>
      <c r="P28" s="145"/>
      <c r="Q28" s="145"/>
      <c r="R28" s="145"/>
      <c r="S28" s="145"/>
    </row>
    <row r="30" spans="2:32" x14ac:dyDescent="0.25">
      <c r="B30" s="8" t="s">
        <v>151</v>
      </c>
      <c r="C30" s="8" t="s">
        <v>129</v>
      </c>
      <c r="D30" s="8" t="s">
        <v>130</v>
      </c>
      <c r="E30" s="8" t="s">
        <v>131</v>
      </c>
      <c r="F30" s="8" t="s">
        <v>132</v>
      </c>
      <c r="G30" s="8" t="s">
        <v>133</v>
      </c>
      <c r="H30" s="8" t="s">
        <v>134</v>
      </c>
      <c r="I30" s="8" t="s">
        <v>135</v>
      </c>
      <c r="J30" s="8" t="s">
        <v>136</v>
      </c>
      <c r="K30" s="8" t="s">
        <v>137</v>
      </c>
      <c r="L30" s="8" t="s">
        <v>138</v>
      </c>
      <c r="N30" s="8" t="s">
        <v>151</v>
      </c>
      <c r="O30" s="8" t="s">
        <v>129</v>
      </c>
      <c r="P30" s="8" t="s">
        <v>130</v>
      </c>
      <c r="Q30" s="8" t="s">
        <v>131</v>
      </c>
      <c r="R30" s="8" t="s">
        <v>132</v>
      </c>
      <c r="S30" s="8" t="s">
        <v>133</v>
      </c>
      <c r="T30" s="8" t="s">
        <v>134</v>
      </c>
      <c r="U30" s="8" t="s">
        <v>135</v>
      </c>
      <c r="V30" s="8" t="s">
        <v>136</v>
      </c>
      <c r="W30" s="8" t="s">
        <v>137</v>
      </c>
      <c r="X30" s="8" t="s">
        <v>138</v>
      </c>
    </row>
    <row r="31" spans="2:32" x14ac:dyDescent="0.25">
      <c r="B31" s="8" t="s">
        <v>139</v>
      </c>
      <c r="C31" s="8"/>
      <c r="D31" s="8"/>
      <c r="E31" s="8"/>
      <c r="F31" s="8"/>
      <c r="G31" s="8"/>
      <c r="H31" s="8"/>
      <c r="I31" s="8"/>
      <c r="J31" s="8"/>
      <c r="K31" s="8"/>
      <c r="L31" s="8"/>
      <c r="N31" s="8" t="s">
        <v>139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32" x14ac:dyDescent="0.25">
      <c r="B32" s="8" t="s">
        <v>129</v>
      </c>
      <c r="C32" s="8">
        <v>4</v>
      </c>
      <c r="D32" s="8">
        <v>41</v>
      </c>
      <c r="E32" s="8">
        <v>40</v>
      </c>
      <c r="F32" s="8">
        <v>39</v>
      </c>
      <c r="G32" s="8">
        <v>42</v>
      </c>
      <c r="H32" s="8">
        <v>51</v>
      </c>
      <c r="I32" s="8">
        <v>53</v>
      </c>
      <c r="J32" s="8">
        <v>33</v>
      </c>
      <c r="K32" s="8">
        <v>25</v>
      </c>
      <c r="L32" s="8">
        <v>7</v>
      </c>
      <c r="N32" s="8" t="s">
        <v>129</v>
      </c>
      <c r="O32" s="9">
        <f>C32/SUM($C32:$L32)</f>
        <v>1.1940298507462687E-2</v>
      </c>
      <c r="P32" s="9">
        <f t="shared" ref="P32:P41" si="25">D32/SUM($C32:$L32)</f>
        <v>0.12238805970149254</v>
      </c>
      <c r="Q32" s="9">
        <f t="shared" ref="Q32:Q41" si="26">E32/SUM($C32:$L32)</f>
        <v>0.11940298507462686</v>
      </c>
      <c r="R32" s="9">
        <f t="shared" ref="R32:R41" si="27">F32/SUM($C32:$L32)</f>
        <v>0.11641791044776119</v>
      </c>
      <c r="S32" s="9">
        <f t="shared" ref="S32:S41" si="28">G32/SUM($C32:$L32)</f>
        <v>0.1253731343283582</v>
      </c>
      <c r="T32" s="9">
        <f t="shared" ref="T32:T41" si="29">H32/SUM($C32:$L32)</f>
        <v>0.15223880597014924</v>
      </c>
      <c r="U32" s="9">
        <f t="shared" ref="U32:U41" si="30">I32/SUM($C32:$L32)</f>
        <v>0.15820895522388059</v>
      </c>
      <c r="V32" s="9">
        <f t="shared" ref="V32:V41" si="31">J32/SUM($C32:$L32)</f>
        <v>9.8507462686567168E-2</v>
      </c>
      <c r="W32" s="9">
        <f t="shared" ref="W32:W41" si="32">K32/SUM($C32:$L32)</f>
        <v>7.4626865671641784E-2</v>
      </c>
      <c r="X32" s="9">
        <f t="shared" ref="X32:X41" si="33">L32/SUM($C32:$L32)</f>
        <v>2.0895522388059702E-2</v>
      </c>
    </row>
    <row r="33" spans="2:32" x14ac:dyDescent="0.25">
      <c r="B33" s="8" t="s">
        <v>130</v>
      </c>
      <c r="C33" s="8">
        <v>2</v>
      </c>
      <c r="D33" s="8">
        <v>270</v>
      </c>
      <c r="E33" s="8">
        <v>289</v>
      </c>
      <c r="F33" s="8">
        <v>138</v>
      </c>
      <c r="G33" s="8">
        <v>231</v>
      </c>
      <c r="H33" s="8">
        <v>276</v>
      </c>
      <c r="I33" s="8">
        <v>295</v>
      </c>
      <c r="J33" s="8">
        <v>178</v>
      </c>
      <c r="K33" s="8">
        <v>106</v>
      </c>
      <c r="L33" s="8">
        <v>52</v>
      </c>
      <c r="N33" s="8" t="s">
        <v>130</v>
      </c>
      <c r="O33" s="9">
        <f t="shared" ref="O33:O41" si="34">C33/SUM($C33:$L33)</f>
        <v>1.0887316276537834E-3</v>
      </c>
      <c r="P33" s="9">
        <f t="shared" si="25"/>
        <v>0.14697876973326074</v>
      </c>
      <c r="Q33" s="9">
        <f t="shared" si="26"/>
        <v>0.15732172019597168</v>
      </c>
      <c r="R33" s="9">
        <f t="shared" si="27"/>
        <v>7.5122482308111055E-2</v>
      </c>
      <c r="S33" s="9">
        <f t="shared" si="28"/>
        <v>0.12574850299401197</v>
      </c>
      <c r="T33" s="9">
        <f t="shared" si="29"/>
        <v>0.15024496461622211</v>
      </c>
      <c r="U33" s="9">
        <f t="shared" si="30"/>
        <v>0.16058791507893305</v>
      </c>
      <c r="V33" s="9">
        <f t="shared" si="31"/>
        <v>9.6897114861186712E-2</v>
      </c>
      <c r="W33" s="9">
        <f t="shared" si="32"/>
        <v>5.770277626565052E-2</v>
      </c>
      <c r="X33" s="9">
        <f t="shared" si="33"/>
        <v>2.8307022318998367E-2</v>
      </c>
    </row>
    <row r="34" spans="2:32" x14ac:dyDescent="0.25">
      <c r="B34" s="8" t="s">
        <v>131</v>
      </c>
      <c r="C34" s="8">
        <v>1</v>
      </c>
      <c r="D34" s="8">
        <v>150</v>
      </c>
      <c r="E34" s="8">
        <v>378</v>
      </c>
      <c r="F34" s="8">
        <v>242</v>
      </c>
      <c r="G34" s="8">
        <v>331</v>
      </c>
      <c r="H34" s="8">
        <v>429</v>
      </c>
      <c r="I34" s="8">
        <v>401</v>
      </c>
      <c r="J34" s="8">
        <v>204</v>
      </c>
      <c r="K34" s="8">
        <v>109</v>
      </c>
      <c r="L34" s="8">
        <v>35</v>
      </c>
      <c r="N34" s="8" t="s">
        <v>131</v>
      </c>
      <c r="O34" s="9">
        <f t="shared" si="34"/>
        <v>4.3859649122807018E-4</v>
      </c>
      <c r="P34" s="9">
        <f t="shared" si="25"/>
        <v>6.5789473684210523E-2</v>
      </c>
      <c r="Q34" s="9">
        <f t="shared" si="26"/>
        <v>0.16578947368421051</v>
      </c>
      <c r="R34" s="9">
        <f t="shared" si="27"/>
        <v>0.10614035087719298</v>
      </c>
      <c r="S34" s="9">
        <f t="shared" si="28"/>
        <v>0.14517543859649124</v>
      </c>
      <c r="T34" s="9">
        <f t="shared" si="29"/>
        <v>0.18815789473684211</v>
      </c>
      <c r="U34" s="9">
        <f t="shared" si="30"/>
        <v>0.17587719298245613</v>
      </c>
      <c r="V34" s="9">
        <f t="shared" si="31"/>
        <v>8.9473684210526316E-2</v>
      </c>
      <c r="W34" s="9">
        <f t="shared" si="32"/>
        <v>4.7807017543859652E-2</v>
      </c>
      <c r="X34" s="9">
        <f t="shared" si="33"/>
        <v>1.5350877192982455E-2</v>
      </c>
    </row>
    <row r="35" spans="2:32" x14ac:dyDescent="0.25">
      <c r="B35" s="8" t="s">
        <v>132</v>
      </c>
      <c r="C35" s="8">
        <v>2</v>
      </c>
      <c r="D35" s="8">
        <v>45</v>
      </c>
      <c r="E35" s="8">
        <v>158</v>
      </c>
      <c r="F35" s="8">
        <v>145</v>
      </c>
      <c r="G35" s="8">
        <v>281</v>
      </c>
      <c r="H35" s="8">
        <v>338</v>
      </c>
      <c r="I35" s="8">
        <v>266</v>
      </c>
      <c r="J35" s="8">
        <v>160</v>
      </c>
      <c r="K35" s="8">
        <v>86</v>
      </c>
      <c r="L35" s="8">
        <v>26</v>
      </c>
      <c r="N35" s="8" t="s">
        <v>132</v>
      </c>
      <c r="O35" s="9">
        <f t="shared" si="34"/>
        <v>1.3271400132714001E-3</v>
      </c>
      <c r="P35" s="9">
        <f t="shared" si="25"/>
        <v>2.9860650298606503E-2</v>
      </c>
      <c r="Q35" s="9">
        <f t="shared" si="26"/>
        <v>0.10484406104844061</v>
      </c>
      <c r="R35" s="9">
        <f t="shared" si="27"/>
        <v>9.6217650962176507E-2</v>
      </c>
      <c r="S35" s="9">
        <f t="shared" si="28"/>
        <v>0.18646317186463171</v>
      </c>
      <c r="T35" s="9">
        <f t="shared" si="29"/>
        <v>0.22428666224286661</v>
      </c>
      <c r="U35" s="9">
        <f t="shared" si="30"/>
        <v>0.17650962176509621</v>
      </c>
      <c r="V35" s="9">
        <f t="shared" si="31"/>
        <v>0.10617120106171202</v>
      </c>
      <c r="W35" s="9">
        <f t="shared" si="32"/>
        <v>5.7067020570670209E-2</v>
      </c>
      <c r="X35" s="9">
        <f t="shared" si="33"/>
        <v>1.7252820172528202E-2</v>
      </c>
    </row>
    <row r="36" spans="2:32" x14ac:dyDescent="0.25">
      <c r="B36" s="8" t="s">
        <v>133</v>
      </c>
      <c r="C36" s="8">
        <v>2</v>
      </c>
      <c r="D36" s="8">
        <v>36</v>
      </c>
      <c r="E36" s="8">
        <v>134</v>
      </c>
      <c r="F36" s="8">
        <v>152</v>
      </c>
      <c r="G36" s="8">
        <v>472</v>
      </c>
      <c r="H36" s="8">
        <v>680</v>
      </c>
      <c r="I36" s="8">
        <v>611</v>
      </c>
      <c r="J36" s="8">
        <v>318</v>
      </c>
      <c r="K36" s="8">
        <v>163</v>
      </c>
      <c r="L36" s="8">
        <v>68</v>
      </c>
      <c r="N36" s="8" t="s">
        <v>133</v>
      </c>
      <c r="O36" s="9">
        <f t="shared" si="34"/>
        <v>7.5872534142640367E-4</v>
      </c>
      <c r="P36" s="9">
        <f t="shared" si="25"/>
        <v>1.3657056145675266E-2</v>
      </c>
      <c r="Q36" s="9">
        <f t="shared" si="26"/>
        <v>5.0834597875569043E-2</v>
      </c>
      <c r="R36" s="9">
        <f t="shared" si="27"/>
        <v>5.7663125948406675E-2</v>
      </c>
      <c r="S36" s="9">
        <f t="shared" si="28"/>
        <v>0.17905918057663125</v>
      </c>
      <c r="T36" s="9">
        <f t="shared" si="29"/>
        <v>0.25796661608497723</v>
      </c>
      <c r="U36" s="9">
        <f t="shared" si="30"/>
        <v>0.23179059180576631</v>
      </c>
      <c r="V36" s="9">
        <f t="shared" si="31"/>
        <v>0.12063732928679818</v>
      </c>
      <c r="W36" s="9">
        <f t="shared" si="32"/>
        <v>6.1836115326251898E-2</v>
      </c>
      <c r="X36" s="9">
        <f t="shared" si="33"/>
        <v>2.5796661608497723E-2</v>
      </c>
    </row>
    <row r="37" spans="2:32" x14ac:dyDescent="0.25">
      <c r="B37" s="8" t="s">
        <v>134</v>
      </c>
      <c r="C37" s="8">
        <v>0</v>
      </c>
      <c r="D37" s="8">
        <v>14</v>
      </c>
      <c r="E37" s="8">
        <v>46</v>
      </c>
      <c r="F37" s="8">
        <v>76</v>
      </c>
      <c r="G37" s="8">
        <v>256</v>
      </c>
      <c r="H37" s="8">
        <v>706</v>
      </c>
      <c r="I37" s="8">
        <v>793</v>
      </c>
      <c r="J37" s="8">
        <v>383</v>
      </c>
      <c r="K37" s="8">
        <v>174</v>
      </c>
      <c r="L37" s="8">
        <v>45</v>
      </c>
      <c r="N37" s="8" t="s">
        <v>134</v>
      </c>
      <c r="O37" s="9">
        <f t="shared" si="34"/>
        <v>0</v>
      </c>
      <c r="P37" s="9">
        <f t="shared" si="25"/>
        <v>5.6157240272763738E-3</v>
      </c>
      <c r="Q37" s="9">
        <f t="shared" si="26"/>
        <v>1.8451664661050943E-2</v>
      </c>
      <c r="R37" s="9">
        <f t="shared" si="27"/>
        <v>3.04853590052146E-2</v>
      </c>
      <c r="S37" s="9">
        <f t="shared" si="28"/>
        <v>0.10268752507019654</v>
      </c>
      <c r="T37" s="9">
        <f t="shared" si="29"/>
        <v>0.2831929402326514</v>
      </c>
      <c r="U37" s="9">
        <f t="shared" si="30"/>
        <v>0.31809065383072604</v>
      </c>
      <c r="V37" s="9">
        <f t="shared" si="31"/>
        <v>0.15363016446048938</v>
      </c>
      <c r="W37" s="9">
        <f t="shared" si="32"/>
        <v>6.9795427196149215E-2</v>
      </c>
      <c r="X37" s="9">
        <f t="shared" si="33"/>
        <v>1.8050541516245487E-2</v>
      </c>
    </row>
    <row r="38" spans="2:32" x14ac:dyDescent="0.25">
      <c r="B38" s="8" t="s">
        <v>135</v>
      </c>
      <c r="C38" s="8">
        <v>0</v>
      </c>
      <c r="D38" s="8">
        <v>18</v>
      </c>
      <c r="E38" s="8">
        <v>21</v>
      </c>
      <c r="F38" s="8">
        <v>39</v>
      </c>
      <c r="G38" s="8">
        <v>102</v>
      </c>
      <c r="H38" s="8">
        <v>293</v>
      </c>
      <c r="I38" s="8">
        <v>917</v>
      </c>
      <c r="J38" s="8">
        <v>661</v>
      </c>
      <c r="K38" s="8">
        <v>228</v>
      </c>
      <c r="L38" s="8">
        <v>60</v>
      </c>
      <c r="N38" s="8" t="s">
        <v>135</v>
      </c>
      <c r="O38" s="9">
        <f t="shared" si="34"/>
        <v>0</v>
      </c>
      <c r="P38" s="9">
        <f t="shared" si="25"/>
        <v>7.6955964087216762E-3</v>
      </c>
      <c r="Q38" s="9">
        <f t="shared" si="26"/>
        <v>8.9781958101752893E-3</v>
      </c>
      <c r="R38" s="9">
        <f t="shared" si="27"/>
        <v>1.6673792218896963E-2</v>
      </c>
      <c r="S38" s="9">
        <f t="shared" si="28"/>
        <v>4.3608379649422831E-2</v>
      </c>
      <c r="T38" s="9">
        <f t="shared" si="29"/>
        <v>0.12526720820863618</v>
      </c>
      <c r="U38" s="9">
        <f t="shared" si="30"/>
        <v>0.39204788371098759</v>
      </c>
      <c r="V38" s="9">
        <f t="shared" si="31"/>
        <v>0.28259940145361268</v>
      </c>
      <c r="W38" s="9">
        <f t="shared" si="32"/>
        <v>9.7477554510474559E-2</v>
      </c>
      <c r="X38" s="9">
        <f t="shared" si="33"/>
        <v>2.5651988029072252E-2</v>
      </c>
    </row>
    <row r="39" spans="2:32" x14ac:dyDescent="0.25">
      <c r="B39" s="8" t="s">
        <v>136</v>
      </c>
      <c r="C39" s="8">
        <v>0</v>
      </c>
      <c r="D39" s="8">
        <v>7</v>
      </c>
      <c r="E39" s="8">
        <v>5</v>
      </c>
      <c r="F39" s="8">
        <v>20</v>
      </c>
      <c r="G39" s="8">
        <v>38</v>
      </c>
      <c r="H39" s="8">
        <v>103</v>
      </c>
      <c r="I39" s="8">
        <v>236</v>
      </c>
      <c r="J39" s="8">
        <v>733</v>
      </c>
      <c r="K39" s="8">
        <v>444</v>
      </c>
      <c r="L39" s="8">
        <v>83</v>
      </c>
      <c r="N39" s="8" t="s">
        <v>136</v>
      </c>
      <c r="O39" s="9">
        <f t="shared" si="34"/>
        <v>0</v>
      </c>
      <c r="P39" s="9">
        <f t="shared" si="25"/>
        <v>4.1941282204913119E-3</v>
      </c>
      <c r="Q39" s="9">
        <f t="shared" si="26"/>
        <v>2.9958058717795086E-3</v>
      </c>
      <c r="R39" s="9">
        <f t="shared" si="27"/>
        <v>1.1983223487118035E-2</v>
      </c>
      <c r="S39" s="9">
        <f t="shared" si="28"/>
        <v>2.2768124625524265E-2</v>
      </c>
      <c r="T39" s="9">
        <f t="shared" si="29"/>
        <v>6.1713600958657876E-2</v>
      </c>
      <c r="U39" s="9">
        <f t="shared" si="30"/>
        <v>0.14140203714799282</v>
      </c>
      <c r="V39" s="9">
        <f t="shared" si="31"/>
        <v>0.43918514080287596</v>
      </c>
      <c r="W39" s="9">
        <f t="shared" si="32"/>
        <v>0.2660275614140204</v>
      </c>
      <c r="X39" s="9">
        <f t="shared" si="33"/>
        <v>4.9730377471539841E-2</v>
      </c>
    </row>
    <row r="40" spans="2:32" x14ac:dyDescent="0.25">
      <c r="B40" s="8" t="s">
        <v>137</v>
      </c>
      <c r="C40" s="8">
        <v>0</v>
      </c>
      <c r="D40" s="8">
        <v>1</v>
      </c>
      <c r="E40" s="8">
        <v>8</v>
      </c>
      <c r="F40" s="8">
        <v>7</v>
      </c>
      <c r="G40" s="8">
        <v>19</v>
      </c>
      <c r="H40" s="8">
        <v>21</v>
      </c>
      <c r="I40" s="8">
        <v>77</v>
      </c>
      <c r="J40" s="8">
        <v>178</v>
      </c>
      <c r="K40" s="8">
        <v>710</v>
      </c>
      <c r="L40" s="8">
        <v>225</v>
      </c>
      <c r="N40" s="8" t="s">
        <v>137</v>
      </c>
      <c r="O40" s="9">
        <f t="shared" si="34"/>
        <v>0</v>
      </c>
      <c r="P40" s="9">
        <f t="shared" si="25"/>
        <v>8.0256821829855537E-4</v>
      </c>
      <c r="Q40" s="9">
        <f t="shared" si="26"/>
        <v>6.420545746388443E-3</v>
      </c>
      <c r="R40" s="9">
        <f t="shared" si="27"/>
        <v>5.6179775280898875E-3</v>
      </c>
      <c r="S40" s="9">
        <f t="shared" si="28"/>
        <v>1.5248796147672551E-2</v>
      </c>
      <c r="T40" s="9">
        <f t="shared" si="29"/>
        <v>1.6853932584269662E-2</v>
      </c>
      <c r="U40" s="9">
        <f t="shared" si="30"/>
        <v>6.1797752808988762E-2</v>
      </c>
      <c r="V40" s="9">
        <f t="shared" si="31"/>
        <v>0.14285714285714285</v>
      </c>
      <c r="W40" s="9">
        <f t="shared" si="32"/>
        <v>0.5698234349919743</v>
      </c>
      <c r="X40" s="9">
        <f t="shared" si="33"/>
        <v>0.18057784911717495</v>
      </c>
    </row>
    <row r="41" spans="2:32" x14ac:dyDescent="0.25">
      <c r="B41" s="8" t="s">
        <v>138</v>
      </c>
      <c r="C41" s="8">
        <v>0</v>
      </c>
      <c r="D41" s="8">
        <v>1</v>
      </c>
      <c r="E41" s="8">
        <v>0</v>
      </c>
      <c r="F41" s="8">
        <v>2</v>
      </c>
      <c r="G41" s="8">
        <v>2</v>
      </c>
      <c r="H41" s="8">
        <v>11</v>
      </c>
      <c r="I41" s="8">
        <v>11</v>
      </c>
      <c r="J41" s="8">
        <v>23</v>
      </c>
      <c r="K41" s="8">
        <v>96</v>
      </c>
      <c r="L41" s="8">
        <v>419</v>
      </c>
      <c r="N41" s="8" t="s">
        <v>138</v>
      </c>
      <c r="O41" s="9">
        <f t="shared" si="34"/>
        <v>0</v>
      </c>
      <c r="P41" s="9">
        <f t="shared" si="25"/>
        <v>1.7699115044247787E-3</v>
      </c>
      <c r="Q41" s="9">
        <f t="shared" si="26"/>
        <v>0</v>
      </c>
      <c r="R41" s="9">
        <f t="shared" si="27"/>
        <v>3.5398230088495575E-3</v>
      </c>
      <c r="S41" s="9">
        <f t="shared" si="28"/>
        <v>3.5398230088495575E-3</v>
      </c>
      <c r="T41" s="9">
        <f t="shared" si="29"/>
        <v>1.9469026548672566E-2</v>
      </c>
      <c r="U41" s="9">
        <f t="shared" si="30"/>
        <v>1.9469026548672566E-2</v>
      </c>
      <c r="V41" s="9">
        <f t="shared" si="31"/>
        <v>4.0707964601769911E-2</v>
      </c>
      <c r="W41" s="9">
        <f t="shared" si="32"/>
        <v>0.16991150442477876</v>
      </c>
      <c r="X41" s="9">
        <f t="shared" si="33"/>
        <v>0.74159292035398228</v>
      </c>
    </row>
    <row r="43" spans="2:32" x14ac:dyDescent="0.25">
      <c r="N43" t="s">
        <v>164</v>
      </c>
      <c r="AB43" s="176" t="s">
        <v>163</v>
      </c>
      <c r="AC43" s="176"/>
      <c r="AD43" s="176"/>
      <c r="AE43" s="176"/>
      <c r="AF43" s="176"/>
    </row>
    <row r="44" spans="2:32" ht="15.75" thickBot="1" x14ac:dyDescent="0.3">
      <c r="B44" s="8"/>
      <c r="C44" s="153" t="s">
        <v>153</v>
      </c>
      <c r="D44" s="146" t="s">
        <v>154</v>
      </c>
      <c r="E44" s="150" t="s">
        <v>155</v>
      </c>
      <c r="F44" s="149" t="s">
        <v>156</v>
      </c>
      <c r="G44" s="147" t="s">
        <v>157</v>
      </c>
      <c r="N44" s="8"/>
      <c r="O44" s="153" t="s">
        <v>153</v>
      </c>
      <c r="P44" s="146" t="s">
        <v>154</v>
      </c>
      <c r="Q44" s="150" t="s">
        <v>155</v>
      </c>
      <c r="R44" s="149" t="s">
        <v>156</v>
      </c>
      <c r="S44" s="147" t="s">
        <v>157</v>
      </c>
      <c r="U44" s="176" t="s">
        <v>162</v>
      </c>
      <c r="V44" s="177" t="s">
        <v>161</v>
      </c>
      <c r="W44" s="176" t="s">
        <v>159</v>
      </c>
      <c r="X44" s="177" t="s">
        <v>160</v>
      </c>
      <c r="Y44" s="176" t="s">
        <v>158</v>
      </c>
      <c r="AB44" s="176" t="s">
        <v>162</v>
      </c>
      <c r="AC44" s="176" t="s">
        <v>161</v>
      </c>
      <c r="AD44" s="176" t="s">
        <v>159</v>
      </c>
      <c r="AE44" s="176" t="s">
        <v>160</v>
      </c>
      <c r="AF44" s="176" t="s">
        <v>158</v>
      </c>
    </row>
    <row r="45" spans="2:32" x14ac:dyDescent="0.25">
      <c r="B45" s="151" t="s">
        <v>129</v>
      </c>
      <c r="C45" s="158">
        <f>SUM(C32:G32)</f>
        <v>166</v>
      </c>
      <c r="D45" s="152">
        <f>SUM(H32)</f>
        <v>51</v>
      </c>
      <c r="E45" s="8">
        <f>SUM(I32)</f>
        <v>53</v>
      </c>
      <c r="F45" s="8">
        <f>SUM(J32:K32)</f>
        <v>58</v>
      </c>
      <c r="G45" s="8">
        <f>SUM(L32)</f>
        <v>7</v>
      </c>
      <c r="N45" s="151" t="s">
        <v>129</v>
      </c>
      <c r="O45" s="161">
        <f>C45/SUM($C45:$G45)</f>
        <v>0.4955223880597015</v>
      </c>
      <c r="P45" s="162">
        <f t="shared" ref="P45:P54" si="35">D45/SUM($C45:$G45)</f>
        <v>0.15223880597014924</v>
      </c>
      <c r="Q45" s="9">
        <f t="shared" ref="Q45:Q54" si="36">E45/SUM($C45:$G45)</f>
        <v>0.15820895522388059</v>
      </c>
      <c r="R45" s="9">
        <f t="shared" ref="R45:R54" si="37">F45/SUM($C45:$G45)</f>
        <v>0.17313432835820897</v>
      </c>
      <c r="S45" s="9">
        <f t="shared" ref="S45:S54" si="38">G45/SUM($C45:$G45)</f>
        <v>2.0895522388059702E-2</v>
      </c>
      <c r="U45" s="176" t="s">
        <v>129</v>
      </c>
      <c r="V45" s="178">
        <v>0</v>
      </c>
      <c r="W45" s="178">
        <v>0.4955223880597015</v>
      </c>
      <c r="X45" s="178">
        <f>SUM(P45:S45)</f>
        <v>0.5044776119402985</v>
      </c>
      <c r="Y45" s="178">
        <f>SUM(Q45:S45)</f>
        <v>0.35223880597014923</v>
      </c>
      <c r="AB45" s="176" t="s">
        <v>129</v>
      </c>
      <c r="AC45" s="179">
        <v>0</v>
      </c>
      <c r="AD45" s="179">
        <f>1/W45</f>
        <v>2.0180722891566263</v>
      </c>
      <c r="AE45" s="179">
        <f>1/X45</f>
        <v>1.9822485207100593</v>
      </c>
      <c r="AF45" s="179">
        <f>1/Y45</f>
        <v>2.8389830508474581</v>
      </c>
    </row>
    <row r="46" spans="2:32" x14ac:dyDescent="0.25">
      <c r="B46" s="151" t="s">
        <v>130</v>
      </c>
      <c r="C46" s="160">
        <f t="shared" ref="C46:C54" si="39">SUM(C33:G33)</f>
        <v>930</v>
      </c>
      <c r="D46" s="152">
        <f t="shared" ref="D46:D54" si="40">SUM(H33)</f>
        <v>276</v>
      </c>
      <c r="E46" s="8">
        <f t="shared" ref="E46:E54" si="41">SUM(I33)</f>
        <v>295</v>
      </c>
      <c r="F46" s="8">
        <f t="shared" ref="F46:F54" si="42">SUM(J33:K33)</f>
        <v>284</v>
      </c>
      <c r="G46" s="8">
        <f t="shared" ref="G46:G54" si="43">SUM(L33)</f>
        <v>52</v>
      </c>
      <c r="N46" s="151" t="s">
        <v>130</v>
      </c>
      <c r="O46" s="163">
        <f t="shared" ref="O46:O54" si="44">C46/SUM($C46:$G46)</f>
        <v>0.5062602068590093</v>
      </c>
      <c r="P46" s="162">
        <f t="shared" si="35"/>
        <v>0.15024496461622211</v>
      </c>
      <c r="Q46" s="9">
        <f t="shared" si="36"/>
        <v>0.16058791507893305</v>
      </c>
      <c r="R46" s="9">
        <f t="shared" si="37"/>
        <v>0.15459989112683722</v>
      </c>
      <c r="S46" s="9">
        <f t="shared" si="38"/>
        <v>2.8307022318998367E-2</v>
      </c>
      <c r="U46" s="176" t="s">
        <v>130</v>
      </c>
      <c r="V46" s="178">
        <v>0</v>
      </c>
      <c r="W46" s="178">
        <v>0.5062602068590093</v>
      </c>
      <c r="X46" s="178">
        <f>SUM(P46:S46)</f>
        <v>0.49373979314099076</v>
      </c>
      <c r="Y46" s="178">
        <f>SUM(Q46:S46)</f>
        <v>0.34349482852476859</v>
      </c>
      <c r="AB46" s="176" t="s">
        <v>130</v>
      </c>
      <c r="AC46" s="179">
        <v>0</v>
      </c>
      <c r="AD46" s="179">
        <f t="shared" ref="AD46:AD54" si="45">1/W46</f>
        <v>1.9752688172043009</v>
      </c>
      <c r="AE46" s="179">
        <f t="shared" ref="AE46:AE53" si="46">1/X46</f>
        <v>2.0253583241455346</v>
      </c>
      <c r="AF46" s="179">
        <f t="shared" ref="AF46:AF51" si="47">1/Y46</f>
        <v>2.9112519809825677</v>
      </c>
    </row>
    <row r="47" spans="2:32" x14ac:dyDescent="0.25">
      <c r="B47" s="151" t="s">
        <v>131</v>
      </c>
      <c r="C47" s="160">
        <f t="shared" si="39"/>
        <v>1102</v>
      </c>
      <c r="D47" s="152">
        <f t="shared" si="40"/>
        <v>429</v>
      </c>
      <c r="E47" s="8">
        <f t="shared" si="41"/>
        <v>401</v>
      </c>
      <c r="F47" s="8">
        <f t="shared" si="42"/>
        <v>313</v>
      </c>
      <c r="G47" s="8">
        <f t="shared" si="43"/>
        <v>35</v>
      </c>
      <c r="N47" s="151" t="s">
        <v>131</v>
      </c>
      <c r="O47" s="163">
        <f t="shared" si="44"/>
        <v>0.48333333333333334</v>
      </c>
      <c r="P47" s="162">
        <f t="shared" si="35"/>
        <v>0.18815789473684211</v>
      </c>
      <c r="Q47" s="9">
        <f t="shared" si="36"/>
        <v>0.17587719298245613</v>
      </c>
      <c r="R47" s="9">
        <f t="shared" si="37"/>
        <v>0.13728070175438598</v>
      </c>
      <c r="S47" s="9">
        <f t="shared" si="38"/>
        <v>1.5350877192982455E-2</v>
      </c>
      <c r="U47" s="176" t="s">
        <v>131</v>
      </c>
      <c r="V47" s="178">
        <v>0</v>
      </c>
      <c r="W47" s="178">
        <v>0.48333333333333334</v>
      </c>
      <c r="X47" s="178">
        <f>SUM(P47:S47)</f>
        <v>0.51666666666666672</v>
      </c>
      <c r="Y47" s="178">
        <f>SUM(Q47:S47)</f>
        <v>0.32850877192982453</v>
      </c>
      <c r="AB47" s="176" t="s">
        <v>131</v>
      </c>
      <c r="AC47" s="179">
        <v>0</v>
      </c>
      <c r="AD47" s="179">
        <f t="shared" si="45"/>
        <v>2.0689655172413794</v>
      </c>
      <c r="AE47" s="179">
        <f t="shared" si="46"/>
        <v>1.9354838709677418</v>
      </c>
      <c r="AF47" s="179">
        <f t="shared" si="47"/>
        <v>3.044058744993325</v>
      </c>
    </row>
    <row r="48" spans="2:32" x14ac:dyDescent="0.25">
      <c r="B48" s="151" t="s">
        <v>132</v>
      </c>
      <c r="C48" s="160">
        <f t="shared" si="39"/>
        <v>631</v>
      </c>
      <c r="D48" s="152">
        <f t="shared" si="40"/>
        <v>338</v>
      </c>
      <c r="E48" s="8">
        <f t="shared" si="41"/>
        <v>266</v>
      </c>
      <c r="F48" s="8">
        <f t="shared" si="42"/>
        <v>246</v>
      </c>
      <c r="G48" s="8">
        <f t="shared" si="43"/>
        <v>26</v>
      </c>
      <c r="N48" s="151" t="s">
        <v>132</v>
      </c>
      <c r="O48" s="163">
        <f t="shared" si="44"/>
        <v>0.41871267418712677</v>
      </c>
      <c r="P48" s="162">
        <f t="shared" si="35"/>
        <v>0.22428666224286661</v>
      </c>
      <c r="Q48" s="9">
        <f t="shared" si="36"/>
        <v>0.17650962176509621</v>
      </c>
      <c r="R48" s="9">
        <f t="shared" si="37"/>
        <v>0.16323822163238222</v>
      </c>
      <c r="S48" s="9">
        <f t="shared" si="38"/>
        <v>1.7252820172528202E-2</v>
      </c>
      <c r="U48" s="176" t="s">
        <v>132</v>
      </c>
      <c r="V48" s="178">
        <v>0</v>
      </c>
      <c r="W48" s="178">
        <v>0.41871267418712677</v>
      </c>
      <c r="X48" s="178">
        <f>SUM(P48:S48)</f>
        <v>0.58128732581287323</v>
      </c>
      <c r="Y48" s="178">
        <f>SUM(Q48:S48)</f>
        <v>0.35700066357000665</v>
      </c>
      <c r="AB48" s="176" t="s">
        <v>132</v>
      </c>
      <c r="AC48" s="179">
        <v>0</v>
      </c>
      <c r="AD48" s="179">
        <f t="shared" si="45"/>
        <v>2.3882725832012679</v>
      </c>
      <c r="AE48" s="179">
        <f t="shared" si="46"/>
        <v>1.7203196347031964</v>
      </c>
      <c r="AF48" s="179">
        <f t="shared" si="47"/>
        <v>2.8011152416356877</v>
      </c>
    </row>
    <row r="49" spans="1:32" ht="15.75" thickBot="1" x14ac:dyDescent="0.3">
      <c r="B49" s="151" t="s">
        <v>133</v>
      </c>
      <c r="C49" s="159">
        <f t="shared" si="39"/>
        <v>796</v>
      </c>
      <c r="D49" s="155">
        <f t="shared" si="40"/>
        <v>680</v>
      </c>
      <c r="E49" s="8">
        <f t="shared" si="41"/>
        <v>611</v>
      </c>
      <c r="F49" s="8">
        <f t="shared" si="42"/>
        <v>481</v>
      </c>
      <c r="G49" s="8">
        <f t="shared" si="43"/>
        <v>68</v>
      </c>
      <c r="N49" s="151" t="s">
        <v>133</v>
      </c>
      <c r="O49" s="164">
        <f t="shared" si="44"/>
        <v>0.30197268588770865</v>
      </c>
      <c r="P49" s="165">
        <f t="shared" si="35"/>
        <v>0.25796661608497723</v>
      </c>
      <c r="Q49" s="9">
        <f t="shared" si="36"/>
        <v>0.23179059180576631</v>
      </c>
      <c r="R49" s="9">
        <f t="shared" si="37"/>
        <v>0.18247344461305007</v>
      </c>
      <c r="S49" s="9">
        <f t="shared" si="38"/>
        <v>2.5796661608497723E-2</v>
      </c>
      <c r="U49" s="176" t="s">
        <v>133</v>
      </c>
      <c r="V49" s="178">
        <v>0</v>
      </c>
      <c r="W49" s="178">
        <v>0.30197268588770865</v>
      </c>
      <c r="X49" s="178">
        <f>SUM(P49:S49)</f>
        <v>0.69802731411229124</v>
      </c>
      <c r="Y49" s="178">
        <f>SUM(Q49:S49)</f>
        <v>0.44006069802731407</v>
      </c>
      <c r="AB49" s="176" t="s">
        <v>133</v>
      </c>
      <c r="AC49" s="179">
        <v>0</v>
      </c>
      <c r="AD49" s="179">
        <f t="shared" si="45"/>
        <v>3.3115577889447239</v>
      </c>
      <c r="AE49" s="179">
        <f t="shared" si="46"/>
        <v>1.4326086956521742</v>
      </c>
      <c r="AF49" s="179">
        <f t="shared" si="47"/>
        <v>2.2724137931034485</v>
      </c>
    </row>
    <row r="50" spans="1:32" ht="15.75" thickBot="1" x14ac:dyDescent="0.3">
      <c r="B50" s="148" t="s">
        <v>134</v>
      </c>
      <c r="C50" s="154">
        <f t="shared" si="39"/>
        <v>392</v>
      </c>
      <c r="D50" s="157">
        <f t="shared" si="40"/>
        <v>706</v>
      </c>
      <c r="E50" s="155">
        <f t="shared" si="41"/>
        <v>793</v>
      </c>
      <c r="F50" s="8">
        <f t="shared" si="42"/>
        <v>557</v>
      </c>
      <c r="G50" s="8">
        <f t="shared" si="43"/>
        <v>45</v>
      </c>
      <c r="N50" s="148" t="s">
        <v>134</v>
      </c>
      <c r="O50" s="166">
        <f t="shared" si="44"/>
        <v>0.15724027276373848</v>
      </c>
      <c r="P50" s="167">
        <f t="shared" si="35"/>
        <v>0.2831929402326514</v>
      </c>
      <c r="Q50" s="165">
        <f t="shared" si="36"/>
        <v>0.31809065383072604</v>
      </c>
      <c r="R50" s="9">
        <f t="shared" si="37"/>
        <v>0.22342559165663858</v>
      </c>
      <c r="S50" s="9">
        <f t="shared" si="38"/>
        <v>1.8050541516245487E-2</v>
      </c>
      <c r="U50" s="176" t="s">
        <v>134</v>
      </c>
      <c r="V50" s="178">
        <v>0.15724027276373848</v>
      </c>
      <c r="W50" s="178">
        <v>0.2831929402326514</v>
      </c>
      <c r="X50" s="178">
        <f>SUM(Q50:S50)</f>
        <v>0.55956678700361018</v>
      </c>
      <c r="Y50" s="178">
        <f>SUM(R50:S50)</f>
        <v>0.24147613317288408</v>
      </c>
      <c r="AB50" s="176" t="s">
        <v>134</v>
      </c>
      <c r="AC50" s="179">
        <f>1/V50</f>
        <v>6.3596938775510203</v>
      </c>
      <c r="AD50" s="179">
        <f t="shared" si="45"/>
        <v>3.5311614730878191</v>
      </c>
      <c r="AE50" s="179">
        <f t="shared" si="46"/>
        <v>1.7870967741935482</v>
      </c>
      <c r="AF50" s="179">
        <f t="shared" si="47"/>
        <v>4.1411960132890364</v>
      </c>
    </row>
    <row r="51" spans="1:32" ht="15.75" thickBot="1" x14ac:dyDescent="0.3">
      <c r="B51" s="150" t="s">
        <v>135</v>
      </c>
      <c r="C51" s="8">
        <f t="shared" si="39"/>
        <v>180</v>
      </c>
      <c r="D51" s="154">
        <f t="shared" si="40"/>
        <v>293</v>
      </c>
      <c r="E51" s="157">
        <f t="shared" si="41"/>
        <v>917</v>
      </c>
      <c r="F51" s="155">
        <f t="shared" si="42"/>
        <v>889</v>
      </c>
      <c r="G51" s="8">
        <f t="shared" si="43"/>
        <v>60</v>
      </c>
      <c r="N51" s="150" t="s">
        <v>135</v>
      </c>
      <c r="O51" s="9">
        <f t="shared" si="44"/>
        <v>7.6955964087216763E-2</v>
      </c>
      <c r="P51" s="166">
        <f t="shared" si="35"/>
        <v>0.12526720820863618</v>
      </c>
      <c r="Q51" s="167">
        <f t="shared" si="36"/>
        <v>0.39204788371098759</v>
      </c>
      <c r="R51" s="165">
        <f t="shared" si="37"/>
        <v>0.38007695596408719</v>
      </c>
      <c r="S51" s="9">
        <f t="shared" si="38"/>
        <v>2.5651988029072252E-2</v>
      </c>
      <c r="U51" s="176" t="s">
        <v>135</v>
      </c>
      <c r="V51" s="178">
        <f>SUM(O51:P51)</f>
        <v>0.20222317229585296</v>
      </c>
      <c r="W51" s="178">
        <v>0.39204788371098759</v>
      </c>
      <c r="X51" s="178">
        <f>SUM(R51:S51)</f>
        <v>0.40572894399315945</v>
      </c>
      <c r="Y51" s="178">
        <f>SUM(S51)</f>
        <v>2.5651988029072252E-2</v>
      </c>
      <c r="AB51" s="176" t="s">
        <v>135</v>
      </c>
      <c r="AC51" s="179">
        <f>1/V51</f>
        <v>4.9450317124735719</v>
      </c>
      <c r="AD51" s="179">
        <f t="shared" si="45"/>
        <v>2.5507088331515813</v>
      </c>
      <c r="AE51" s="179">
        <f t="shared" si="46"/>
        <v>2.4646996838777664</v>
      </c>
      <c r="AF51" s="179">
        <f t="shared" si="47"/>
        <v>38.983333333333334</v>
      </c>
    </row>
    <row r="52" spans="1:32" x14ac:dyDescent="0.25">
      <c r="B52" s="149" t="s">
        <v>136</v>
      </c>
      <c r="C52" s="8">
        <f t="shared" si="39"/>
        <v>70</v>
      </c>
      <c r="D52" s="8">
        <f t="shared" si="40"/>
        <v>103</v>
      </c>
      <c r="E52" s="154">
        <f t="shared" si="41"/>
        <v>236</v>
      </c>
      <c r="F52" s="158">
        <f t="shared" si="42"/>
        <v>1177</v>
      </c>
      <c r="G52" s="152">
        <f t="shared" si="43"/>
        <v>83</v>
      </c>
      <c r="N52" s="149" t="s">
        <v>136</v>
      </c>
      <c r="O52" s="9">
        <f t="shared" si="44"/>
        <v>4.1941282204913125E-2</v>
      </c>
      <c r="P52" s="9">
        <f t="shared" si="35"/>
        <v>6.1713600958657876E-2</v>
      </c>
      <c r="Q52" s="166">
        <f t="shared" si="36"/>
        <v>0.14140203714799282</v>
      </c>
      <c r="R52" s="161">
        <f t="shared" si="37"/>
        <v>0.70521270221689636</v>
      </c>
      <c r="S52" s="162">
        <f t="shared" si="38"/>
        <v>4.9730377471539841E-2</v>
      </c>
      <c r="U52" s="176" t="s">
        <v>136</v>
      </c>
      <c r="V52" s="178">
        <f>SUM(O52:Q52)</f>
        <v>0.24505692031156381</v>
      </c>
      <c r="W52" s="178">
        <v>0.70521270221689636</v>
      </c>
      <c r="X52" s="178">
        <f>SUM(S52)</f>
        <v>4.9730377471539841E-2</v>
      </c>
      <c r="Y52" s="178"/>
      <c r="AB52" s="176" t="s">
        <v>136</v>
      </c>
      <c r="AC52" s="179">
        <f>1/V52</f>
        <v>4.0806845965770169</v>
      </c>
      <c r="AD52" s="179">
        <f t="shared" si="45"/>
        <v>1.4180118946474087</v>
      </c>
      <c r="AE52" s="179">
        <f t="shared" si="46"/>
        <v>20.108433734939759</v>
      </c>
      <c r="AF52" s="179">
        <v>0</v>
      </c>
    </row>
    <row r="53" spans="1:32" ht="15.75" thickBot="1" x14ac:dyDescent="0.3">
      <c r="B53" s="149" t="s">
        <v>137</v>
      </c>
      <c r="C53" s="8">
        <f t="shared" si="39"/>
        <v>35</v>
      </c>
      <c r="D53" s="8">
        <f t="shared" si="40"/>
        <v>21</v>
      </c>
      <c r="E53" s="156">
        <f t="shared" si="41"/>
        <v>77</v>
      </c>
      <c r="F53" s="159">
        <f t="shared" si="42"/>
        <v>888</v>
      </c>
      <c r="G53" s="155">
        <f t="shared" si="43"/>
        <v>225</v>
      </c>
      <c r="N53" s="149" t="s">
        <v>137</v>
      </c>
      <c r="O53" s="9">
        <f t="shared" si="44"/>
        <v>2.8089887640449437E-2</v>
      </c>
      <c r="P53" s="9">
        <f t="shared" si="35"/>
        <v>1.6853932584269662E-2</v>
      </c>
      <c r="Q53" s="168">
        <f t="shared" si="36"/>
        <v>6.1797752808988762E-2</v>
      </c>
      <c r="R53" s="164">
        <f t="shared" si="37"/>
        <v>0.7126805778491172</v>
      </c>
      <c r="S53" s="165">
        <f t="shared" si="38"/>
        <v>0.18057784911717495</v>
      </c>
      <c r="U53" s="176" t="s">
        <v>137</v>
      </c>
      <c r="V53" s="178">
        <f>SUM(O53:Q53)</f>
        <v>0.10674157303370786</v>
      </c>
      <c r="W53" s="178">
        <v>0.7126805778491172</v>
      </c>
      <c r="X53" s="178">
        <f>SUM(S53)</f>
        <v>0.18057784911717495</v>
      </c>
      <c r="Y53" s="178"/>
      <c r="AB53" s="176" t="s">
        <v>137</v>
      </c>
      <c r="AC53" s="179">
        <f>1/V53</f>
        <v>9.3684210526315788</v>
      </c>
      <c r="AD53" s="179">
        <f t="shared" si="45"/>
        <v>1.4031531531531531</v>
      </c>
      <c r="AE53" s="179">
        <f t="shared" si="46"/>
        <v>5.5377777777777784</v>
      </c>
      <c r="AF53" s="179">
        <v>0</v>
      </c>
    </row>
    <row r="54" spans="1:32" ht="15.75" thickBot="1" x14ac:dyDescent="0.3">
      <c r="B54" s="147" t="s">
        <v>138</v>
      </c>
      <c r="C54" s="8">
        <f t="shared" si="39"/>
        <v>5</v>
      </c>
      <c r="D54" s="8">
        <f t="shared" si="40"/>
        <v>11</v>
      </c>
      <c r="E54" s="8">
        <f t="shared" si="41"/>
        <v>11</v>
      </c>
      <c r="F54" s="154">
        <f t="shared" si="42"/>
        <v>119</v>
      </c>
      <c r="G54" s="157">
        <f t="shared" si="43"/>
        <v>419</v>
      </c>
      <c r="N54" s="147" t="s">
        <v>138</v>
      </c>
      <c r="O54" s="9">
        <f t="shared" si="44"/>
        <v>8.8495575221238937E-3</v>
      </c>
      <c r="P54" s="9">
        <f t="shared" si="35"/>
        <v>1.9469026548672566E-2</v>
      </c>
      <c r="Q54" s="9">
        <f t="shared" si="36"/>
        <v>1.9469026548672566E-2</v>
      </c>
      <c r="R54" s="166">
        <f t="shared" si="37"/>
        <v>0.21061946902654868</v>
      </c>
      <c r="S54" s="167">
        <f t="shared" si="38"/>
        <v>0.74159292035398228</v>
      </c>
      <c r="U54" s="176" t="s">
        <v>138</v>
      </c>
      <c r="V54" s="178">
        <f>SUM(O54:R54)</f>
        <v>0.25840707964601772</v>
      </c>
      <c r="W54" s="178">
        <v>0.74159292035398228</v>
      </c>
      <c r="X54" s="178"/>
      <c r="Y54" s="178"/>
      <c r="AB54" s="176" t="s">
        <v>138</v>
      </c>
      <c r="AC54" s="179">
        <f>1/V54</f>
        <v>3.8698630136986298</v>
      </c>
      <c r="AD54" s="179">
        <f t="shared" si="45"/>
        <v>1.3484486873508355</v>
      </c>
      <c r="AE54" s="179">
        <v>0</v>
      </c>
      <c r="AF54" s="179">
        <v>0</v>
      </c>
    </row>
    <row r="55" spans="1:32" x14ac:dyDescent="0.25">
      <c r="R55" t="s">
        <v>172</v>
      </c>
    </row>
    <row r="56" spans="1:32" x14ac:dyDescent="0.25">
      <c r="O56" t="s">
        <v>170</v>
      </c>
      <c r="Q56" t="s">
        <v>170</v>
      </c>
      <c r="R56" t="s">
        <v>171</v>
      </c>
    </row>
    <row r="57" spans="1:32" x14ac:dyDescent="0.25">
      <c r="N57">
        <v>1</v>
      </c>
      <c r="O57" t="s">
        <v>44</v>
      </c>
      <c r="P57" t="s">
        <v>168</v>
      </c>
      <c r="T57" t="s">
        <v>173</v>
      </c>
    </row>
    <row r="58" spans="1:32" x14ac:dyDescent="0.25">
      <c r="N58">
        <v>2</v>
      </c>
      <c r="O58" t="s">
        <v>31</v>
      </c>
      <c r="P58" t="s">
        <v>169</v>
      </c>
      <c r="Q58" t="s">
        <v>44</v>
      </c>
      <c r="R58" t="s">
        <v>168</v>
      </c>
      <c r="T58" t="s">
        <v>174</v>
      </c>
    </row>
    <row r="59" spans="1:32" x14ac:dyDescent="0.25">
      <c r="A59" s="8" t="s">
        <v>151</v>
      </c>
      <c r="B59" s="8" t="s">
        <v>129</v>
      </c>
      <c r="C59" s="8" t="s">
        <v>130</v>
      </c>
      <c r="D59" s="8" t="s">
        <v>131</v>
      </c>
      <c r="E59" s="8" t="s">
        <v>132</v>
      </c>
      <c r="F59" s="8" t="s">
        <v>133</v>
      </c>
      <c r="G59" s="8" t="s">
        <v>134</v>
      </c>
      <c r="H59" s="8" t="s">
        <v>135</v>
      </c>
      <c r="I59" s="8" t="s">
        <v>136</v>
      </c>
      <c r="J59" s="8" t="s">
        <v>218</v>
      </c>
      <c r="K59" s="8" t="s">
        <v>219</v>
      </c>
      <c r="L59" s="8" t="s">
        <v>220</v>
      </c>
      <c r="M59" s="8" t="s">
        <v>221</v>
      </c>
      <c r="N59">
        <v>3</v>
      </c>
      <c r="O59" t="s">
        <v>166</v>
      </c>
      <c r="Q59" t="s">
        <v>31</v>
      </c>
      <c r="R59" t="s">
        <v>169</v>
      </c>
    </row>
    <row r="60" spans="1:32" x14ac:dyDescent="0.25">
      <c r="A60" s="8" t="s">
        <v>139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>
        <v>4</v>
      </c>
      <c r="O60" t="s">
        <v>167</v>
      </c>
      <c r="Q60" t="s">
        <v>166</v>
      </c>
      <c r="T60" t="s">
        <v>175</v>
      </c>
    </row>
    <row r="61" spans="1:32" x14ac:dyDescent="0.25">
      <c r="A61" s="8" t="s">
        <v>129</v>
      </c>
      <c r="B61" s="260">
        <v>5</v>
      </c>
      <c r="C61" s="260">
        <v>24</v>
      </c>
      <c r="D61" s="260">
        <v>65</v>
      </c>
      <c r="E61" s="260">
        <v>61</v>
      </c>
      <c r="F61" s="260">
        <v>64</v>
      </c>
      <c r="G61" s="260">
        <v>61</v>
      </c>
      <c r="H61" s="260">
        <v>38</v>
      </c>
      <c r="I61" s="260">
        <v>19</v>
      </c>
      <c r="J61" s="260">
        <v>11</v>
      </c>
      <c r="K61" s="260">
        <v>4</v>
      </c>
      <c r="L61">
        <v>4</v>
      </c>
      <c r="M61">
        <v>4</v>
      </c>
      <c r="Q61" t="s">
        <v>167</v>
      </c>
      <c r="T61" t="s">
        <v>176</v>
      </c>
    </row>
    <row r="62" spans="1:32" x14ac:dyDescent="0.25">
      <c r="A62" s="8" t="s">
        <v>130</v>
      </c>
      <c r="B62" s="259">
        <v>2</v>
      </c>
      <c r="C62" s="259">
        <v>163</v>
      </c>
      <c r="D62" s="259">
        <v>444</v>
      </c>
      <c r="E62" s="259">
        <v>238</v>
      </c>
      <c r="F62" s="259">
        <v>280</v>
      </c>
      <c r="G62" s="259">
        <v>240</v>
      </c>
      <c r="H62" s="259">
        <v>181</v>
      </c>
      <c r="I62" s="259">
        <v>104</v>
      </c>
      <c r="J62" s="259">
        <v>33</v>
      </c>
      <c r="K62" s="259">
        <v>15</v>
      </c>
      <c r="L62">
        <v>11</v>
      </c>
      <c r="M62">
        <v>21</v>
      </c>
      <c r="T62" t="s">
        <v>177</v>
      </c>
    </row>
    <row r="63" spans="1:32" x14ac:dyDescent="0.25">
      <c r="A63" s="8" t="s">
        <v>131</v>
      </c>
      <c r="B63" s="260">
        <v>1</v>
      </c>
      <c r="C63" s="260">
        <v>77</v>
      </c>
      <c r="D63" s="260">
        <v>436</v>
      </c>
      <c r="E63" s="260">
        <v>372</v>
      </c>
      <c r="F63" s="260">
        <v>432</v>
      </c>
      <c r="G63" s="260">
        <v>326</v>
      </c>
      <c r="H63" s="260">
        <v>238</v>
      </c>
      <c r="I63" s="260">
        <v>115</v>
      </c>
      <c r="J63" s="260">
        <v>38</v>
      </c>
      <c r="K63" s="260">
        <v>13</v>
      </c>
      <c r="L63">
        <v>14</v>
      </c>
      <c r="M63">
        <v>18</v>
      </c>
      <c r="W63" t="s">
        <v>179</v>
      </c>
    </row>
    <row r="64" spans="1:32" x14ac:dyDescent="0.25">
      <c r="A64" s="8" t="s">
        <v>132</v>
      </c>
      <c r="B64" s="259">
        <v>1</v>
      </c>
      <c r="C64" s="259">
        <v>27</v>
      </c>
      <c r="D64" s="259">
        <v>142</v>
      </c>
      <c r="E64" s="259">
        <v>185</v>
      </c>
      <c r="F64" s="259">
        <v>356</v>
      </c>
      <c r="G64" s="259">
        <v>280</v>
      </c>
      <c r="H64" s="259">
        <v>184</v>
      </c>
      <c r="I64" s="259">
        <v>87</v>
      </c>
      <c r="J64" s="259">
        <v>30</v>
      </c>
      <c r="K64" s="259">
        <v>10</v>
      </c>
      <c r="L64">
        <v>5</v>
      </c>
      <c r="M64">
        <v>16</v>
      </c>
    </row>
    <row r="65" spans="1:21" x14ac:dyDescent="0.25">
      <c r="A65" s="8" t="s">
        <v>133</v>
      </c>
      <c r="B65" s="260">
        <v>2</v>
      </c>
      <c r="C65" s="260">
        <v>23</v>
      </c>
      <c r="D65" s="260">
        <v>107</v>
      </c>
      <c r="E65" s="260">
        <v>179</v>
      </c>
      <c r="F65" s="260">
        <v>517</v>
      </c>
      <c r="G65" s="260">
        <v>547</v>
      </c>
      <c r="H65" s="260">
        <v>386</v>
      </c>
      <c r="I65" s="260">
        <v>181</v>
      </c>
      <c r="J65" s="260">
        <v>56</v>
      </c>
      <c r="K65" s="260">
        <v>23</v>
      </c>
      <c r="L65">
        <v>7</v>
      </c>
      <c r="M65">
        <v>40</v>
      </c>
      <c r="R65" s="149" t="s">
        <v>136</v>
      </c>
      <c r="S65" t="s">
        <v>178</v>
      </c>
    </row>
    <row r="66" spans="1:21" x14ac:dyDescent="0.25">
      <c r="A66" s="8" t="s">
        <v>134</v>
      </c>
      <c r="B66" s="259">
        <v>0</v>
      </c>
      <c r="C66" s="259">
        <v>7</v>
      </c>
      <c r="D66" s="259">
        <v>38</v>
      </c>
      <c r="E66" s="259">
        <v>64</v>
      </c>
      <c r="F66" s="259">
        <v>275</v>
      </c>
      <c r="G66" s="259">
        <v>494</v>
      </c>
      <c r="H66" s="259">
        <v>489</v>
      </c>
      <c r="I66" s="259">
        <v>231</v>
      </c>
      <c r="J66" s="259">
        <v>62</v>
      </c>
      <c r="K66" s="259">
        <v>19</v>
      </c>
      <c r="L66">
        <v>14</v>
      </c>
      <c r="M66">
        <v>28</v>
      </c>
      <c r="R66" s="149" t="s">
        <v>137</v>
      </c>
      <c r="U66" t="s">
        <v>180</v>
      </c>
    </row>
    <row r="67" spans="1:21" x14ac:dyDescent="0.25">
      <c r="A67" s="8" t="s">
        <v>135</v>
      </c>
      <c r="B67" s="260">
        <v>0</v>
      </c>
      <c r="C67" s="260">
        <v>11</v>
      </c>
      <c r="D67" s="260">
        <v>14</v>
      </c>
      <c r="E67" s="260">
        <v>29</v>
      </c>
      <c r="F67" s="260">
        <v>98</v>
      </c>
      <c r="G67" s="260">
        <v>215</v>
      </c>
      <c r="H67" s="260">
        <v>578</v>
      </c>
      <c r="I67" s="260">
        <v>389</v>
      </c>
      <c r="J67" s="260">
        <v>90</v>
      </c>
      <c r="K67" s="260">
        <v>26</v>
      </c>
      <c r="L67">
        <v>16</v>
      </c>
      <c r="M67">
        <v>39</v>
      </c>
      <c r="U67" t="s">
        <v>181</v>
      </c>
    </row>
    <row r="68" spans="1:21" x14ac:dyDescent="0.25">
      <c r="A68" s="8" t="s">
        <v>136</v>
      </c>
      <c r="B68" s="259">
        <v>0</v>
      </c>
      <c r="C68" s="259">
        <v>5</v>
      </c>
      <c r="D68" s="259">
        <v>4</v>
      </c>
      <c r="E68" s="259">
        <v>17</v>
      </c>
      <c r="F68" s="259">
        <v>40</v>
      </c>
      <c r="G68" s="259">
        <v>66</v>
      </c>
      <c r="H68" s="259">
        <v>150</v>
      </c>
      <c r="I68" s="259">
        <v>455</v>
      </c>
      <c r="J68" s="259">
        <v>179</v>
      </c>
      <c r="K68" s="259">
        <v>55</v>
      </c>
      <c r="L68">
        <v>30</v>
      </c>
      <c r="M68">
        <v>47</v>
      </c>
      <c r="U68" t="s">
        <v>186</v>
      </c>
    </row>
    <row r="69" spans="1:21" x14ac:dyDescent="0.25">
      <c r="A69" s="8" t="s">
        <v>218</v>
      </c>
      <c r="B69" s="260">
        <v>0</v>
      </c>
      <c r="C69" s="260">
        <v>1</v>
      </c>
      <c r="D69" s="260">
        <v>3</v>
      </c>
      <c r="E69" s="260">
        <v>2</v>
      </c>
      <c r="F69" s="260">
        <v>6</v>
      </c>
      <c r="G69" s="260">
        <v>10</v>
      </c>
      <c r="H69" s="260">
        <v>33</v>
      </c>
      <c r="I69" s="260">
        <v>79</v>
      </c>
      <c r="J69" s="260">
        <v>133</v>
      </c>
      <c r="K69" s="260">
        <v>86</v>
      </c>
      <c r="L69">
        <v>32</v>
      </c>
      <c r="M69">
        <v>43</v>
      </c>
      <c r="O69" t="s">
        <v>182</v>
      </c>
    </row>
    <row r="70" spans="1:21" x14ac:dyDescent="0.25">
      <c r="A70" s="8" t="s">
        <v>219</v>
      </c>
      <c r="B70">
        <v>0</v>
      </c>
      <c r="C70">
        <v>0</v>
      </c>
      <c r="D70">
        <v>0</v>
      </c>
      <c r="E70">
        <v>2</v>
      </c>
      <c r="F70">
        <v>4</v>
      </c>
      <c r="G70">
        <v>2</v>
      </c>
      <c r="H70">
        <v>13</v>
      </c>
      <c r="I70">
        <v>16</v>
      </c>
      <c r="J70">
        <v>42</v>
      </c>
      <c r="K70">
        <v>78</v>
      </c>
      <c r="L70">
        <v>42</v>
      </c>
      <c r="M70">
        <v>30</v>
      </c>
      <c r="O70" t="s">
        <v>183</v>
      </c>
    </row>
    <row r="71" spans="1:21" x14ac:dyDescent="0.25">
      <c r="A71" s="8" t="s">
        <v>220</v>
      </c>
      <c r="B71">
        <v>0</v>
      </c>
      <c r="C71">
        <v>0</v>
      </c>
      <c r="D71">
        <v>1</v>
      </c>
      <c r="E71">
        <v>1</v>
      </c>
      <c r="F71">
        <v>1</v>
      </c>
      <c r="G71">
        <v>2</v>
      </c>
      <c r="H71">
        <v>4</v>
      </c>
      <c r="I71">
        <v>8</v>
      </c>
      <c r="J71">
        <v>16</v>
      </c>
      <c r="K71">
        <v>14</v>
      </c>
      <c r="L71">
        <v>36</v>
      </c>
      <c r="M71">
        <v>48</v>
      </c>
    </row>
    <row r="72" spans="1:21" x14ac:dyDescent="0.25">
      <c r="A72" s="8" t="s">
        <v>221</v>
      </c>
      <c r="B72">
        <v>0</v>
      </c>
      <c r="C72">
        <v>0</v>
      </c>
      <c r="D72">
        <v>0</v>
      </c>
      <c r="E72">
        <v>2</v>
      </c>
      <c r="F72">
        <v>1</v>
      </c>
      <c r="G72">
        <v>9</v>
      </c>
      <c r="H72">
        <v>5</v>
      </c>
      <c r="I72">
        <v>15</v>
      </c>
      <c r="J72">
        <v>17</v>
      </c>
      <c r="K72">
        <v>22</v>
      </c>
      <c r="L72">
        <v>27</v>
      </c>
      <c r="M72">
        <v>287</v>
      </c>
      <c r="O72" t="s">
        <v>184</v>
      </c>
    </row>
    <row r="74" spans="1:21" x14ac:dyDescent="0.25">
      <c r="O74" t="s">
        <v>187</v>
      </c>
    </row>
    <row r="75" spans="1:21" x14ac:dyDescent="0.25">
      <c r="O75" t="s">
        <v>185</v>
      </c>
    </row>
  </sheetData>
  <conditionalFormatting sqref="C4:L1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2:L41">
    <cfRule type="colorScale" priority="17">
      <colorScale>
        <cfvo type="min"/>
        <cfvo type="max"/>
        <color rgb="FFFFEF9C"/>
        <color rgb="FF63BE7B"/>
      </colorScale>
    </cfRule>
  </conditionalFormatting>
  <conditionalFormatting sqref="O4:X14">
    <cfRule type="colorScale" priority="16">
      <colorScale>
        <cfvo type="min"/>
        <cfvo type="max"/>
        <color rgb="FFFFEF9C"/>
        <color rgb="FF63BE7B"/>
      </colorScale>
    </cfRule>
  </conditionalFormatting>
  <conditionalFormatting sqref="O32:X41">
    <cfRule type="colorScale" priority="15">
      <colorScale>
        <cfvo type="min"/>
        <cfvo type="max"/>
        <color rgb="FFFFEF9C"/>
        <color rgb="FF63BE7B"/>
      </colorScale>
    </cfRule>
  </conditionalFormatting>
  <conditionalFormatting sqref="O27:S28">
    <cfRule type="colorScale" priority="14">
      <colorScale>
        <cfvo type="min"/>
        <cfvo type="max"/>
        <color rgb="FFFFEF9C"/>
        <color rgb="FF63BE7B"/>
      </colorScale>
    </cfRule>
  </conditionalFormatting>
  <conditionalFormatting sqref="C17:G28">
    <cfRule type="colorScale" priority="13">
      <colorScale>
        <cfvo type="min"/>
        <cfvo type="max"/>
        <color rgb="FFFFEF9C"/>
        <color rgb="FF63BE7B"/>
      </colorScale>
    </cfRule>
  </conditionalFormatting>
  <conditionalFormatting sqref="O17:S26">
    <cfRule type="colorScale" priority="7">
      <colorScale>
        <cfvo type="min"/>
        <cfvo type="max"/>
        <color rgb="FFFFEF9C"/>
        <color rgb="FF63BE7B"/>
      </colorScale>
    </cfRule>
  </conditionalFormatting>
  <conditionalFormatting sqref="C45:G54">
    <cfRule type="colorScale" priority="6">
      <colorScale>
        <cfvo type="min"/>
        <cfvo type="max"/>
        <color rgb="FFFFEF9C"/>
        <color rgb="FF63BE7B"/>
      </colorScale>
    </cfRule>
  </conditionalFormatting>
  <conditionalFormatting sqref="O45:S54">
    <cfRule type="colorScale" priority="5">
      <colorScale>
        <cfvo type="min"/>
        <cfvo type="max"/>
        <color rgb="FFFFEF9C"/>
        <color rgb="FF63BE7B"/>
      </colorScale>
    </cfRule>
  </conditionalFormatting>
  <conditionalFormatting sqref="V45:Y54">
    <cfRule type="colorScale" priority="4">
      <colorScale>
        <cfvo type="min"/>
        <cfvo type="max"/>
        <color rgb="FFFFEF9C"/>
        <color rgb="FF63BE7B"/>
      </colorScale>
    </cfRule>
  </conditionalFormatting>
  <conditionalFormatting sqref="V17:Y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C45:AF54">
    <cfRule type="colorScale" priority="2">
      <colorScale>
        <cfvo type="min"/>
        <cfvo type="max"/>
        <color rgb="FFFFEF9C"/>
        <color rgb="FF63BE7B"/>
      </colorScale>
    </cfRule>
  </conditionalFormatting>
  <conditionalFormatting sqref="AC17:AF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showGridLines="0" workbookViewId="0">
      <selection activeCell="C9" sqref="C9"/>
    </sheetView>
  </sheetViews>
  <sheetFormatPr defaultRowHeight="15" x14ac:dyDescent="0.25"/>
  <cols>
    <col min="2" max="2" width="20.42578125" bestFit="1" customWidth="1"/>
    <col min="3" max="3" width="11.28515625" customWidth="1"/>
    <col min="7" max="8" width="20.42578125" bestFit="1" customWidth="1"/>
    <col min="9" max="9" width="9.140625" customWidth="1"/>
    <col min="14" max="14" width="20.42578125" bestFit="1" customWidth="1"/>
    <col min="17" max="17" width="9.140625" style="82"/>
    <col min="20" max="20" width="20.42578125" bestFit="1" customWidth="1"/>
  </cols>
  <sheetData>
    <row r="1" spans="2:26" x14ac:dyDescent="0.25">
      <c r="B1" s="128" t="s">
        <v>114</v>
      </c>
      <c r="C1" s="128"/>
      <c r="D1" s="128"/>
      <c r="E1" s="128"/>
      <c r="F1" s="128"/>
      <c r="G1" s="128"/>
      <c r="H1" s="128" t="s">
        <v>115</v>
      </c>
      <c r="N1" s="128" t="s">
        <v>114</v>
      </c>
      <c r="T1" s="128" t="s">
        <v>115</v>
      </c>
    </row>
    <row r="2" spans="2:26" x14ac:dyDescent="0.25">
      <c r="B2" s="126" t="s">
        <v>113</v>
      </c>
      <c r="C2" s="126" t="s">
        <v>86</v>
      </c>
      <c r="D2" s="126" t="s">
        <v>91</v>
      </c>
      <c r="E2" s="126"/>
      <c r="F2" s="84"/>
      <c r="G2" s="84"/>
      <c r="H2" s="126" t="s">
        <v>113</v>
      </c>
      <c r="I2" s="126" t="s">
        <v>93</v>
      </c>
      <c r="J2" s="126" t="s">
        <v>94</v>
      </c>
      <c r="K2" s="126"/>
      <c r="L2" s="84"/>
      <c r="M2" s="84"/>
      <c r="N2" s="126" t="s">
        <v>113</v>
      </c>
      <c r="O2" s="126" t="s">
        <v>86</v>
      </c>
      <c r="P2" s="126" t="s">
        <v>99</v>
      </c>
      <c r="Q2" s="127"/>
      <c r="R2" s="84"/>
      <c r="S2" s="84"/>
      <c r="T2" s="126" t="s">
        <v>113</v>
      </c>
      <c r="U2" s="126" t="s">
        <v>93</v>
      </c>
      <c r="V2" s="126" t="s">
        <v>98</v>
      </c>
      <c r="W2" s="126"/>
      <c r="X2" s="84"/>
      <c r="Y2" s="84"/>
      <c r="Z2" s="84"/>
    </row>
    <row r="3" spans="2:26" x14ac:dyDescent="0.25">
      <c r="B3" s="124" t="s">
        <v>59</v>
      </c>
      <c r="C3" s="122">
        <v>21878</v>
      </c>
      <c r="D3" s="122">
        <v>24409</v>
      </c>
      <c r="E3" s="123">
        <f t="shared" ref="E3:E25" si="0">(D3-C3)/C3</f>
        <v>0.1156869914983088</v>
      </c>
      <c r="H3" s="122" t="s">
        <v>59</v>
      </c>
      <c r="I3" s="122">
        <v>48068</v>
      </c>
      <c r="J3" s="122">
        <v>48527</v>
      </c>
      <c r="K3" s="125">
        <f t="shared" ref="K3:K35" si="1">(J3-I3)/I3</f>
        <v>9.5489722892568869E-3</v>
      </c>
      <c r="N3" s="124" t="s">
        <v>59</v>
      </c>
      <c r="O3" s="122">
        <v>21878</v>
      </c>
      <c r="P3" s="122">
        <v>25413</v>
      </c>
      <c r="Q3" s="123">
        <f t="shared" ref="Q3:Q31" si="2">(P3-O3)/O3</f>
        <v>0.16157784075326811</v>
      </c>
      <c r="T3" s="122" t="s">
        <v>59</v>
      </c>
      <c r="U3" s="122">
        <v>48068</v>
      </c>
      <c r="V3" s="122">
        <v>49014</v>
      </c>
      <c r="W3" s="125">
        <f t="shared" ref="W3:W34" si="3">(V3-U3)/U3</f>
        <v>1.9680452692019641E-2</v>
      </c>
    </row>
    <row r="4" spans="2:26" x14ac:dyDescent="0.25">
      <c r="B4" s="124" t="s">
        <v>63</v>
      </c>
      <c r="C4" s="122">
        <v>7972</v>
      </c>
      <c r="D4" s="122">
        <v>9187</v>
      </c>
      <c r="E4" s="123">
        <f t="shared" si="0"/>
        <v>0.15240842950326142</v>
      </c>
      <c r="H4" s="122" t="s">
        <v>63</v>
      </c>
      <c r="I4" s="122">
        <v>12216</v>
      </c>
      <c r="J4" s="122">
        <v>12367</v>
      </c>
      <c r="K4" s="125">
        <f t="shared" si="1"/>
        <v>1.2360838244924689E-2</v>
      </c>
      <c r="N4" s="124" t="s">
        <v>63</v>
      </c>
      <c r="O4" s="122">
        <v>7972</v>
      </c>
      <c r="P4" s="122">
        <v>9830</v>
      </c>
      <c r="Q4" s="123">
        <f t="shared" si="2"/>
        <v>0.23306573005519318</v>
      </c>
      <c r="T4" s="122" t="s">
        <v>63</v>
      </c>
      <c r="U4" s="122">
        <v>12216</v>
      </c>
      <c r="V4" s="122">
        <v>11857</v>
      </c>
      <c r="W4" s="125">
        <f t="shared" si="3"/>
        <v>-2.938768827766863E-2</v>
      </c>
    </row>
    <row r="5" spans="2:26" x14ac:dyDescent="0.25">
      <c r="B5" s="124" t="s">
        <v>60</v>
      </c>
      <c r="C5" s="122">
        <v>5563</v>
      </c>
      <c r="D5" s="122">
        <v>6106</v>
      </c>
      <c r="E5" s="123">
        <f t="shared" si="0"/>
        <v>9.76092036670861E-2</v>
      </c>
      <c r="H5" s="122" t="s">
        <v>60</v>
      </c>
      <c r="I5" s="122">
        <v>9662</v>
      </c>
      <c r="J5" s="122">
        <v>9675</v>
      </c>
      <c r="K5" s="125">
        <f t="shared" si="1"/>
        <v>1.3454771268888428E-3</v>
      </c>
      <c r="N5" s="124" t="s">
        <v>60</v>
      </c>
      <c r="O5" s="122">
        <v>5563</v>
      </c>
      <c r="P5" s="122">
        <v>6281</v>
      </c>
      <c r="Q5" s="123">
        <f t="shared" si="2"/>
        <v>0.12906705015279527</v>
      </c>
      <c r="T5" s="122" t="s">
        <v>60</v>
      </c>
      <c r="U5" s="122">
        <v>9662</v>
      </c>
      <c r="V5" s="122">
        <v>9874</v>
      </c>
      <c r="W5" s="125">
        <f t="shared" si="3"/>
        <v>2.1941626992341132E-2</v>
      </c>
    </row>
    <row r="6" spans="2:26" x14ac:dyDescent="0.25">
      <c r="B6" s="124" t="s">
        <v>61</v>
      </c>
      <c r="C6" s="122">
        <v>4698</v>
      </c>
      <c r="D6" s="122">
        <v>5772</v>
      </c>
      <c r="E6" s="123">
        <f t="shared" si="0"/>
        <v>0.22860791826309068</v>
      </c>
      <c r="H6" s="122" t="s">
        <v>61</v>
      </c>
      <c r="I6" s="122">
        <v>2573</v>
      </c>
      <c r="J6" s="122">
        <v>2567</v>
      </c>
      <c r="K6" s="125">
        <f t="shared" si="1"/>
        <v>-2.3319082782743881E-3</v>
      </c>
      <c r="N6" s="124" t="s">
        <v>61</v>
      </c>
      <c r="O6" s="122">
        <v>4698</v>
      </c>
      <c r="P6" s="122">
        <v>6308</v>
      </c>
      <c r="Q6" s="123">
        <f t="shared" si="2"/>
        <v>0.34269902085994042</v>
      </c>
      <c r="T6" s="122" t="s">
        <v>58</v>
      </c>
      <c r="U6" s="122">
        <v>5077</v>
      </c>
      <c r="V6" s="122">
        <v>5213</v>
      </c>
      <c r="W6" s="125">
        <f t="shared" si="3"/>
        <v>2.6787472917077015E-2</v>
      </c>
    </row>
    <row r="7" spans="2:26" x14ac:dyDescent="0.25">
      <c r="B7" s="124" t="s">
        <v>64</v>
      </c>
      <c r="C7" s="122">
        <v>2919</v>
      </c>
      <c r="D7" s="122">
        <v>3250</v>
      </c>
      <c r="E7" s="123">
        <f t="shared" si="0"/>
        <v>0.11339499828708462</v>
      </c>
      <c r="H7" s="122" t="s">
        <v>70</v>
      </c>
      <c r="I7" s="122">
        <v>2325</v>
      </c>
      <c r="J7" s="122">
        <v>2330</v>
      </c>
      <c r="K7" s="125">
        <f t="shared" si="1"/>
        <v>2.1505376344086021E-3</v>
      </c>
      <c r="N7" s="124" t="s">
        <v>64</v>
      </c>
      <c r="O7" s="122">
        <v>2919</v>
      </c>
      <c r="P7" s="122">
        <v>3193</v>
      </c>
      <c r="Q7" s="123">
        <f t="shared" si="2"/>
        <v>9.3867762932511131E-2</v>
      </c>
      <c r="T7" s="122" t="s">
        <v>67</v>
      </c>
      <c r="U7" s="122">
        <v>2668</v>
      </c>
      <c r="V7" s="122">
        <v>2760</v>
      </c>
      <c r="W7" s="125">
        <f t="shared" si="3"/>
        <v>3.4482758620689655E-2</v>
      </c>
    </row>
    <row r="8" spans="2:26" x14ac:dyDescent="0.25">
      <c r="B8" s="124" t="s">
        <v>62</v>
      </c>
      <c r="C8" s="122">
        <v>2242</v>
      </c>
      <c r="D8" s="122">
        <v>2490</v>
      </c>
      <c r="E8" s="123">
        <f t="shared" si="0"/>
        <v>0.11061552185548618</v>
      </c>
      <c r="H8" s="122" t="s">
        <v>64</v>
      </c>
      <c r="I8" s="122">
        <v>1976</v>
      </c>
      <c r="J8" s="122">
        <v>1969</v>
      </c>
      <c r="K8" s="125">
        <f t="shared" si="1"/>
        <v>-3.5425101214574899E-3</v>
      </c>
      <c r="N8" s="124" t="s">
        <v>62</v>
      </c>
      <c r="O8" s="122">
        <v>2242</v>
      </c>
      <c r="P8" s="122">
        <v>2402</v>
      </c>
      <c r="Q8" s="123">
        <f t="shared" si="2"/>
        <v>7.1364852809991081E-2</v>
      </c>
      <c r="T8" s="122" t="s">
        <v>61</v>
      </c>
      <c r="U8" s="122">
        <v>2573</v>
      </c>
      <c r="V8" s="122">
        <v>2597</v>
      </c>
      <c r="W8" s="125">
        <f t="shared" si="3"/>
        <v>9.3276331130975523E-3</v>
      </c>
    </row>
    <row r="9" spans="2:26" x14ac:dyDescent="0.25">
      <c r="B9" s="124" t="s">
        <v>66</v>
      </c>
      <c r="C9" s="122">
        <v>1814</v>
      </c>
      <c r="D9" s="122">
        <v>2293</v>
      </c>
      <c r="E9" s="123">
        <f t="shared" si="0"/>
        <v>0.26405733186328556</v>
      </c>
      <c r="H9" s="122" t="s">
        <v>67</v>
      </c>
      <c r="I9" s="122">
        <v>2668</v>
      </c>
      <c r="J9" s="122">
        <v>2714</v>
      </c>
      <c r="K9" s="125">
        <f>(J9-I9)/I9</f>
        <v>1.7241379310344827E-2</v>
      </c>
      <c r="N9" s="124" t="s">
        <v>66</v>
      </c>
      <c r="O9" s="122">
        <v>1814</v>
      </c>
      <c r="P9" s="122">
        <v>2602</v>
      </c>
      <c r="Q9" s="123">
        <f t="shared" si="2"/>
        <v>0.43439911797133407</v>
      </c>
      <c r="T9" s="122" t="s">
        <v>70</v>
      </c>
      <c r="U9" s="122">
        <v>2325</v>
      </c>
      <c r="V9" s="122">
        <v>2330</v>
      </c>
      <c r="W9" s="125">
        <f t="shared" si="3"/>
        <v>2.1505376344086021E-3</v>
      </c>
    </row>
    <row r="10" spans="2:26" x14ac:dyDescent="0.25">
      <c r="B10" s="124" t="s">
        <v>67</v>
      </c>
      <c r="C10" s="122">
        <v>1567</v>
      </c>
      <c r="D10" s="122">
        <v>1751</v>
      </c>
      <c r="E10" s="123">
        <f t="shared" si="0"/>
        <v>0.11742182514358647</v>
      </c>
      <c r="H10" s="122" t="s">
        <v>66</v>
      </c>
      <c r="I10" s="122">
        <v>1575</v>
      </c>
      <c r="J10" s="122">
        <v>1545</v>
      </c>
      <c r="K10" s="125">
        <f t="shared" si="1"/>
        <v>-1.9047619047619049E-2</v>
      </c>
      <c r="N10" s="124" t="s">
        <v>116</v>
      </c>
      <c r="O10" s="122">
        <v>1567</v>
      </c>
      <c r="P10" s="122">
        <v>1967</v>
      </c>
      <c r="Q10" s="123">
        <f t="shared" si="2"/>
        <v>0.25526483726866622</v>
      </c>
      <c r="T10" s="122" t="s">
        <v>64</v>
      </c>
      <c r="U10" s="122">
        <v>1976</v>
      </c>
      <c r="V10" s="122">
        <v>1999</v>
      </c>
      <c r="W10" s="125">
        <f t="shared" si="3"/>
        <v>1.1639676113360324E-2</v>
      </c>
    </row>
    <row r="11" spans="2:26" x14ac:dyDescent="0.25">
      <c r="B11" s="129" t="s">
        <v>65</v>
      </c>
      <c r="C11" s="122">
        <v>541</v>
      </c>
      <c r="D11" s="122">
        <v>265</v>
      </c>
      <c r="E11" s="123">
        <f t="shared" si="0"/>
        <v>-0.5101663585951941</v>
      </c>
      <c r="H11" s="122" t="s">
        <v>62</v>
      </c>
      <c r="I11" s="122">
        <v>1483</v>
      </c>
      <c r="J11" s="122">
        <v>1406</v>
      </c>
      <c r="K11" s="125">
        <f t="shared" si="1"/>
        <v>-5.1921780175320294E-2</v>
      </c>
      <c r="N11" s="124" t="s">
        <v>65</v>
      </c>
      <c r="O11" s="122">
        <v>541</v>
      </c>
      <c r="P11" s="122">
        <v>750</v>
      </c>
      <c r="Q11" s="123">
        <f t="shared" si="2"/>
        <v>0.38632162661737524</v>
      </c>
      <c r="T11" s="122" t="s">
        <v>66</v>
      </c>
      <c r="U11" s="122">
        <v>1575</v>
      </c>
      <c r="V11" s="122">
        <v>1530</v>
      </c>
      <c r="W11" s="125">
        <f t="shared" si="3"/>
        <v>-2.8571428571428571E-2</v>
      </c>
    </row>
    <row r="12" spans="2:26" x14ac:dyDescent="0.25">
      <c r="B12" s="124" t="s">
        <v>84</v>
      </c>
      <c r="C12" s="122">
        <v>302</v>
      </c>
      <c r="D12" s="122">
        <v>290</v>
      </c>
      <c r="E12" s="123">
        <f t="shared" si="0"/>
        <v>-3.9735099337748346E-2</v>
      </c>
      <c r="H12" s="122" t="s">
        <v>75</v>
      </c>
      <c r="I12" s="122">
        <v>606</v>
      </c>
      <c r="J12" s="122">
        <v>617</v>
      </c>
      <c r="K12" s="125">
        <f t="shared" si="1"/>
        <v>1.8151815181518153E-2</v>
      </c>
      <c r="N12" s="122" t="s">
        <v>84</v>
      </c>
      <c r="O12" s="122">
        <v>302</v>
      </c>
      <c r="P12" s="122">
        <v>261</v>
      </c>
      <c r="Q12" s="123">
        <f t="shared" si="2"/>
        <v>-0.13576158940397351</v>
      </c>
      <c r="T12" s="122" t="s">
        <v>62</v>
      </c>
      <c r="U12" s="122">
        <v>1483</v>
      </c>
      <c r="V12" s="122">
        <v>1373</v>
      </c>
      <c r="W12" s="125">
        <f t="shared" si="3"/>
        <v>-7.4173971679028991E-2</v>
      </c>
    </row>
    <row r="13" spans="2:26" x14ac:dyDescent="0.25">
      <c r="B13" s="124" t="s">
        <v>79</v>
      </c>
      <c r="C13" s="122">
        <v>268</v>
      </c>
      <c r="D13" s="122">
        <v>276</v>
      </c>
      <c r="E13" s="123">
        <f t="shared" si="0"/>
        <v>2.9850746268656716E-2</v>
      </c>
      <c r="H13" s="122" t="s">
        <v>68</v>
      </c>
      <c r="I13" s="122">
        <v>548</v>
      </c>
      <c r="J13" s="122">
        <v>557</v>
      </c>
      <c r="K13" s="125">
        <f t="shared" si="1"/>
        <v>1.6423357664233577E-2</v>
      </c>
      <c r="N13" s="122" t="s">
        <v>79</v>
      </c>
      <c r="O13" s="122">
        <v>268</v>
      </c>
      <c r="P13" s="122">
        <v>276</v>
      </c>
      <c r="Q13" s="123">
        <f t="shared" si="2"/>
        <v>2.9850746268656716E-2</v>
      </c>
      <c r="T13" s="122" t="s">
        <v>75</v>
      </c>
      <c r="U13" s="122">
        <v>606</v>
      </c>
      <c r="V13" s="122">
        <v>618</v>
      </c>
      <c r="W13" s="125">
        <f t="shared" si="3"/>
        <v>1.9801980198019802E-2</v>
      </c>
    </row>
    <row r="14" spans="2:26" x14ac:dyDescent="0.25">
      <c r="B14" s="124" t="s">
        <v>69</v>
      </c>
      <c r="C14" s="122">
        <v>233</v>
      </c>
      <c r="D14" s="122">
        <v>265</v>
      </c>
      <c r="E14" s="123">
        <f t="shared" si="0"/>
        <v>0.13733905579399142</v>
      </c>
      <c r="H14" s="122" t="s">
        <v>84</v>
      </c>
      <c r="I14" s="122">
        <v>526</v>
      </c>
      <c r="J14" s="122">
        <v>494</v>
      </c>
      <c r="K14" s="125">
        <f t="shared" si="1"/>
        <v>-6.0836501901140684E-2</v>
      </c>
      <c r="N14" s="124" t="s">
        <v>69</v>
      </c>
      <c r="O14" s="122">
        <v>233</v>
      </c>
      <c r="P14" s="122">
        <v>291</v>
      </c>
      <c r="Q14" s="123">
        <f t="shared" si="2"/>
        <v>0.24892703862660945</v>
      </c>
      <c r="T14" s="122" t="s">
        <v>68</v>
      </c>
      <c r="U14" s="122">
        <v>548</v>
      </c>
      <c r="V14" s="122">
        <v>562</v>
      </c>
      <c r="W14" s="125">
        <f t="shared" si="3"/>
        <v>2.5547445255474453E-2</v>
      </c>
    </row>
    <row r="15" spans="2:26" x14ac:dyDescent="0.25">
      <c r="B15" s="124" t="s">
        <v>72</v>
      </c>
      <c r="C15" s="122">
        <v>223</v>
      </c>
      <c r="D15" s="122">
        <v>242</v>
      </c>
      <c r="E15" s="123">
        <f t="shared" si="0"/>
        <v>8.520179372197309E-2</v>
      </c>
      <c r="H15" s="122" t="s">
        <v>74</v>
      </c>
      <c r="I15" s="122">
        <v>469</v>
      </c>
      <c r="J15" s="122">
        <v>475</v>
      </c>
      <c r="K15" s="125">
        <f t="shared" si="1"/>
        <v>1.279317697228145E-2</v>
      </c>
      <c r="N15" s="124" t="s">
        <v>72</v>
      </c>
      <c r="O15" s="122">
        <v>223</v>
      </c>
      <c r="P15" s="122">
        <v>251</v>
      </c>
      <c r="Q15" s="123">
        <f t="shared" si="2"/>
        <v>0.12556053811659193</v>
      </c>
      <c r="T15" s="122" t="s">
        <v>84</v>
      </c>
      <c r="U15" s="122">
        <v>526</v>
      </c>
      <c r="V15" s="122">
        <v>480</v>
      </c>
      <c r="W15" s="125">
        <f t="shared" si="3"/>
        <v>-8.7452471482889732E-2</v>
      </c>
    </row>
    <row r="16" spans="2:26" x14ac:dyDescent="0.25">
      <c r="B16" s="124" t="s">
        <v>73</v>
      </c>
      <c r="C16" s="122">
        <v>219</v>
      </c>
      <c r="D16" s="122">
        <v>241</v>
      </c>
      <c r="E16" s="123">
        <f t="shared" si="0"/>
        <v>0.1004566210045662</v>
      </c>
      <c r="H16" s="122" t="s">
        <v>72</v>
      </c>
      <c r="I16" s="122">
        <v>388</v>
      </c>
      <c r="J16" s="122">
        <v>393</v>
      </c>
      <c r="K16" s="125">
        <f t="shared" si="1"/>
        <v>1.2886597938144329E-2</v>
      </c>
      <c r="N16" s="124" t="s">
        <v>73</v>
      </c>
      <c r="O16" s="122">
        <v>219</v>
      </c>
      <c r="P16" s="122">
        <v>233</v>
      </c>
      <c r="Q16" s="123">
        <f t="shared" si="2"/>
        <v>6.3926940639269403E-2</v>
      </c>
      <c r="T16" s="122" t="s">
        <v>74</v>
      </c>
      <c r="U16" s="122">
        <v>469</v>
      </c>
      <c r="V16" s="122">
        <v>482</v>
      </c>
      <c r="W16" s="125">
        <f t="shared" si="3"/>
        <v>2.7718550106609809E-2</v>
      </c>
    </row>
    <row r="17" spans="2:23" x14ac:dyDescent="0.25">
      <c r="B17" s="124" t="s">
        <v>74</v>
      </c>
      <c r="C17" s="122">
        <v>210</v>
      </c>
      <c r="D17" s="122">
        <v>219</v>
      </c>
      <c r="E17" s="123">
        <f t="shared" si="0"/>
        <v>4.2857142857142858E-2</v>
      </c>
      <c r="H17" s="122" t="s">
        <v>69</v>
      </c>
      <c r="I17" s="122">
        <v>386</v>
      </c>
      <c r="J17" s="122">
        <v>393</v>
      </c>
      <c r="K17" s="125">
        <f t="shared" si="1"/>
        <v>1.8134715025906734E-2</v>
      </c>
      <c r="N17" s="124" t="s">
        <v>74</v>
      </c>
      <c r="O17" s="122">
        <v>210</v>
      </c>
      <c r="P17" s="122">
        <v>231</v>
      </c>
      <c r="Q17" s="123">
        <f t="shared" si="2"/>
        <v>0.1</v>
      </c>
      <c r="T17" s="122" t="s">
        <v>72</v>
      </c>
      <c r="U17" s="122">
        <v>388</v>
      </c>
      <c r="V17" s="122">
        <v>396</v>
      </c>
      <c r="W17" s="125">
        <f t="shared" si="3"/>
        <v>2.0618556701030927E-2</v>
      </c>
    </row>
    <row r="18" spans="2:23" x14ac:dyDescent="0.25">
      <c r="B18" s="124" t="s">
        <v>68</v>
      </c>
      <c r="C18" s="122">
        <v>150</v>
      </c>
      <c r="D18" s="122">
        <v>205</v>
      </c>
      <c r="E18" s="123">
        <f t="shared" si="0"/>
        <v>0.36666666666666664</v>
      </c>
      <c r="H18" s="122" t="s">
        <v>79</v>
      </c>
      <c r="I18" s="122">
        <v>353</v>
      </c>
      <c r="J18" s="122">
        <v>365</v>
      </c>
      <c r="K18" s="125">
        <f t="shared" si="1"/>
        <v>3.39943342776204E-2</v>
      </c>
      <c r="N18" s="124" t="s">
        <v>68</v>
      </c>
      <c r="O18" s="122">
        <v>150</v>
      </c>
      <c r="P18" s="122">
        <v>233</v>
      </c>
      <c r="Q18" s="123">
        <f t="shared" si="2"/>
        <v>0.55333333333333334</v>
      </c>
      <c r="T18" s="122" t="s">
        <v>69</v>
      </c>
      <c r="U18" s="122">
        <v>386</v>
      </c>
      <c r="V18" s="122">
        <v>392</v>
      </c>
      <c r="W18" s="125">
        <f t="shared" si="3"/>
        <v>1.5544041450777202E-2</v>
      </c>
    </row>
    <row r="19" spans="2:23" x14ac:dyDescent="0.25">
      <c r="B19" s="124" t="s">
        <v>75</v>
      </c>
      <c r="C19" s="122">
        <v>136</v>
      </c>
      <c r="D19" s="122">
        <v>166</v>
      </c>
      <c r="E19" s="123">
        <f t="shared" si="0"/>
        <v>0.22058823529411764</v>
      </c>
      <c r="H19" s="122" t="s">
        <v>73</v>
      </c>
      <c r="I19" s="122">
        <v>306</v>
      </c>
      <c r="J19" s="122">
        <v>306</v>
      </c>
      <c r="K19" s="125">
        <f t="shared" si="1"/>
        <v>0</v>
      </c>
      <c r="N19" s="124" t="s">
        <v>75</v>
      </c>
      <c r="O19" s="122">
        <v>136</v>
      </c>
      <c r="P19" s="122">
        <v>170</v>
      </c>
      <c r="Q19" s="123">
        <f t="shared" si="2"/>
        <v>0.25</v>
      </c>
      <c r="T19" s="122" t="s">
        <v>79</v>
      </c>
      <c r="U19" s="122">
        <v>353</v>
      </c>
      <c r="V19" s="122">
        <v>365</v>
      </c>
      <c r="W19" s="125">
        <f t="shared" si="3"/>
        <v>3.39943342776204E-2</v>
      </c>
    </row>
    <row r="20" spans="2:23" x14ac:dyDescent="0.25">
      <c r="B20" s="124" t="s">
        <v>70</v>
      </c>
      <c r="C20" s="122">
        <v>135</v>
      </c>
      <c r="D20" s="122">
        <v>169</v>
      </c>
      <c r="E20" s="123">
        <f t="shared" si="0"/>
        <v>0.25185185185185183</v>
      </c>
      <c r="H20" s="122" t="s">
        <v>76</v>
      </c>
      <c r="I20" s="122">
        <v>211</v>
      </c>
      <c r="J20" s="122">
        <v>220</v>
      </c>
      <c r="K20" s="125">
        <f t="shared" si="1"/>
        <v>4.2654028436018961E-2</v>
      </c>
      <c r="N20" s="124" t="s">
        <v>70</v>
      </c>
      <c r="O20" s="122">
        <v>135</v>
      </c>
      <c r="P20" s="122">
        <v>205</v>
      </c>
      <c r="Q20" s="123">
        <f t="shared" si="2"/>
        <v>0.51851851851851849</v>
      </c>
      <c r="T20" s="122" t="s">
        <v>73</v>
      </c>
      <c r="U20" s="122">
        <v>306</v>
      </c>
      <c r="V20" s="122">
        <v>330</v>
      </c>
      <c r="W20" s="125">
        <f t="shared" si="3"/>
        <v>7.8431372549019607E-2</v>
      </c>
    </row>
    <row r="21" spans="2:23" x14ac:dyDescent="0.25">
      <c r="B21" s="124" t="s">
        <v>76</v>
      </c>
      <c r="C21" s="122">
        <v>80</v>
      </c>
      <c r="D21" s="122">
        <v>108</v>
      </c>
      <c r="E21" s="123">
        <f t="shared" si="0"/>
        <v>0.35</v>
      </c>
      <c r="H21" s="122" t="s">
        <v>77</v>
      </c>
      <c r="I21" s="122">
        <v>152</v>
      </c>
      <c r="J21" s="122">
        <v>159</v>
      </c>
      <c r="K21" s="125">
        <f t="shared" si="1"/>
        <v>4.6052631578947366E-2</v>
      </c>
      <c r="N21" s="124" t="s">
        <v>76</v>
      </c>
      <c r="O21" s="122">
        <v>80</v>
      </c>
      <c r="P21" s="122">
        <v>115</v>
      </c>
      <c r="Q21" s="123">
        <f t="shared" si="2"/>
        <v>0.4375</v>
      </c>
      <c r="T21" s="122" t="s">
        <v>76</v>
      </c>
      <c r="U21" s="122">
        <v>211</v>
      </c>
      <c r="V21" s="122">
        <v>222</v>
      </c>
      <c r="W21" s="125">
        <f t="shared" si="3"/>
        <v>5.2132701421800945E-2</v>
      </c>
    </row>
    <row r="22" spans="2:23" x14ac:dyDescent="0.25">
      <c r="B22" s="124" t="s">
        <v>77</v>
      </c>
      <c r="C22" s="122">
        <v>42</v>
      </c>
      <c r="D22" s="122">
        <v>62</v>
      </c>
      <c r="E22" s="123">
        <f t="shared" si="0"/>
        <v>0.47619047619047616</v>
      </c>
      <c r="H22" s="122" t="s">
        <v>87</v>
      </c>
      <c r="I22" s="122">
        <v>131</v>
      </c>
      <c r="J22" s="122">
        <v>131</v>
      </c>
      <c r="K22" s="125">
        <f t="shared" si="1"/>
        <v>0</v>
      </c>
      <c r="N22" s="122" t="s">
        <v>77</v>
      </c>
      <c r="O22" s="122">
        <v>42</v>
      </c>
      <c r="P22" s="122">
        <v>66</v>
      </c>
      <c r="Q22" s="123">
        <f t="shared" si="2"/>
        <v>0.5714285714285714</v>
      </c>
      <c r="T22" s="122" t="s">
        <v>77</v>
      </c>
      <c r="U22" s="122">
        <v>152</v>
      </c>
      <c r="V22" s="122">
        <v>164</v>
      </c>
      <c r="W22" s="125">
        <f t="shared" si="3"/>
        <v>7.8947368421052627E-2</v>
      </c>
    </row>
    <row r="23" spans="2:23" x14ac:dyDescent="0.25">
      <c r="B23" s="122" t="s">
        <v>71</v>
      </c>
      <c r="C23" s="122">
        <v>37</v>
      </c>
      <c r="D23" s="122">
        <v>80</v>
      </c>
      <c r="E23" s="123">
        <f t="shared" si="0"/>
        <v>1.1621621621621621</v>
      </c>
      <c r="H23" s="122" t="s">
        <v>71</v>
      </c>
      <c r="I23" s="122">
        <v>84</v>
      </c>
      <c r="J23" s="122">
        <v>85</v>
      </c>
      <c r="K23" s="125">
        <f t="shared" si="1"/>
        <v>1.1904761904761904E-2</v>
      </c>
      <c r="N23" s="122" t="s">
        <v>71</v>
      </c>
      <c r="O23" s="122">
        <v>37</v>
      </c>
      <c r="P23" s="122">
        <v>90</v>
      </c>
      <c r="Q23" s="123">
        <f t="shared" si="2"/>
        <v>1.4324324324324325</v>
      </c>
      <c r="T23" s="122" t="s">
        <v>87</v>
      </c>
      <c r="U23" s="122">
        <v>131</v>
      </c>
      <c r="V23" s="122">
        <v>131</v>
      </c>
      <c r="W23" s="125">
        <f t="shared" si="3"/>
        <v>0</v>
      </c>
    </row>
    <row r="24" spans="2:23" x14ac:dyDescent="0.25">
      <c r="B24" s="122" t="s">
        <v>87</v>
      </c>
      <c r="C24" s="122">
        <v>33</v>
      </c>
      <c r="D24" s="122">
        <v>34</v>
      </c>
      <c r="E24" s="123">
        <f t="shared" si="0"/>
        <v>3.0303030303030304E-2</v>
      </c>
      <c r="H24" s="122" t="s">
        <v>78</v>
      </c>
      <c r="I24" s="122">
        <v>37</v>
      </c>
      <c r="J24" s="122">
        <v>37</v>
      </c>
      <c r="K24" s="125">
        <f t="shared" si="1"/>
        <v>0</v>
      </c>
      <c r="N24" s="122" t="s">
        <v>87</v>
      </c>
      <c r="O24" s="122">
        <v>33</v>
      </c>
      <c r="P24" s="122">
        <v>34</v>
      </c>
      <c r="Q24" s="123">
        <f t="shared" si="2"/>
        <v>3.0303030303030304E-2</v>
      </c>
      <c r="T24" s="122" t="s">
        <v>71</v>
      </c>
      <c r="U24" s="122">
        <v>84</v>
      </c>
      <c r="V24" s="122">
        <v>86</v>
      </c>
      <c r="W24" s="125">
        <f t="shared" si="3"/>
        <v>2.3809523809523808E-2</v>
      </c>
    </row>
    <row r="25" spans="2:23" x14ac:dyDescent="0.25">
      <c r="B25" s="122" t="s">
        <v>81</v>
      </c>
      <c r="C25" s="122">
        <v>11</v>
      </c>
      <c r="D25" s="122">
        <v>18</v>
      </c>
      <c r="E25" s="123">
        <f t="shared" si="0"/>
        <v>0.63636363636363635</v>
      </c>
      <c r="H25" s="122" t="s">
        <v>81</v>
      </c>
      <c r="I25" s="122">
        <v>34</v>
      </c>
      <c r="J25" s="122">
        <v>33</v>
      </c>
      <c r="K25" s="125">
        <f t="shared" si="1"/>
        <v>-2.9411764705882353E-2</v>
      </c>
      <c r="N25" s="122" t="s">
        <v>81</v>
      </c>
      <c r="O25" s="122">
        <v>11</v>
      </c>
      <c r="P25" s="122">
        <v>20</v>
      </c>
      <c r="Q25" s="123">
        <f t="shared" si="2"/>
        <v>0.81818181818181823</v>
      </c>
      <c r="T25" s="122" t="s">
        <v>78</v>
      </c>
      <c r="U25" s="122">
        <v>37</v>
      </c>
      <c r="V25" s="122">
        <v>60</v>
      </c>
      <c r="W25" s="125">
        <f t="shared" si="3"/>
        <v>0.6216216216216216</v>
      </c>
    </row>
    <row r="26" spans="2:23" x14ac:dyDescent="0.25">
      <c r="B26" s="122" t="s">
        <v>82</v>
      </c>
      <c r="C26" s="122">
        <v>7</v>
      </c>
      <c r="D26" s="122">
        <v>12</v>
      </c>
      <c r="E26" s="122"/>
      <c r="H26" s="122" t="s">
        <v>88</v>
      </c>
      <c r="I26" s="122">
        <v>29</v>
      </c>
      <c r="J26" s="122">
        <v>29</v>
      </c>
      <c r="K26" s="125">
        <f t="shared" si="1"/>
        <v>0</v>
      </c>
      <c r="N26" s="122" t="s">
        <v>82</v>
      </c>
      <c r="O26" s="122">
        <v>7</v>
      </c>
      <c r="P26" s="122">
        <v>14</v>
      </c>
      <c r="Q26" s="123">
        <f t="shared" si="2"/>
        <v>1</v>
      </c>
      <c r="T26" s="122" t="s">
        <v>81</v>
      </c>
      <c r="U26" s="122">
        <v>34</v>
      </c>
      <c r="V26" s="122">
        <v>35</v>
      </c>
      <c r="W26" s="125">
        <f t="shared" si="3"/>
        <v>2.9411764705882353E-2</v>
      </c>
    </row>
    <row r="27" spans="2:23" x14ac:dyDescent="0.25">
      <c r="B27" s="122" t="s">
        <v>88</v>
      </c>
      <c r="C27" s="122">
        <v>5</v>
      </c>
      <c r="D27" s="122">
        <v>5</v>
      </c>
      <c r="E27" s="122"/>
      <c r="H27" s="122" t="s">
        <v>82</v>
      </c>
      <c r="I27" s="122">
        <v>28</v>
      </c>
      <c r="J27" s="122">
        <v>29</v>
      </c>
      <c r="K27" s="125">
        <f t="shared" si="1"/>
        <v>3.5714285714285712E-2</v>
      </c>
      <c r="N27" s="122" t="s">
        <v>88</v>
      </c>
      <c r="O27" s="122">
        <v>5</v>
      </c>
      <c r="P27" s="122">
        <v>7</v>
      </c>
      <c r="Q27" s="123">
        <f t="shared" si="2"/>
        <v>0.4</v>
      </c>
      <c r="T27" s="122" t="s">
        <v>88</v>
      </c>
      <c r="U27" s="122">
        <v>29</v>
      </c>
      <c r="V27" s="122">
        <v>31</v>
      </c>
      <c r="W27" s="125">
        <f t="shared" si="3"/>
        <v>6.8965517241379309E-2</v>
      </c>
    </row>
    <row r="28" spans="2:23" x14ac:dyDescent="0.25">
      <c r="B28" s="122" t="s">
        <v>80</v>
      </c>
      <c r="C28" s="122">
        <v>4</v>
      </c>
      <c r="D28" s="122">
        <v>7</v>
      </c>
      <c r="E28" s="122"/>
      <c r="H28" s="122" t="s">
        <v>80</v>
      </c>
      <c r="I28" s="122">
        <v>17</v>
      </c>
      <c r="J28" s="122">
        <v>17</v>
      </c>
      <c r="K28" s="125">
        <f t="shared" si="1"/>
        <v>0</v>
      </c>
      <c r="N28" s="122" t="s">
        <v>80</v>
      </c>
      <c r="O28" s="122">
        <v>4</v>
      </c>
      <c r="P28" s="122">
        <v>7</v>
      </c>
      <c r="Q28" s="123">
        <f t="shared" si="2"/>
        <v>0.75</v>
      </c>
      <c r="T28" s="122" t="s">
        <v>82</v>
      </c>
      <c r="U28" s="122">
        <v>28</v>
      </c>
      <c r="V28" s="122">
        <v>29</v>
      </c>
      <c r="W28" s="125">
        <f t="shared" si="3"/>
        <v>3.5714285714285712E-2</v>
      </c>
    </row>
    <row r="29" spans="2:23" x14ac:dyDescent="0.25">
      <c r="B29" s="122" t="s">
        <v>78</v>
      </c>
      <c r="C29" s="122">
        <v>3</v>
      </c>
      <c r="D29" s="122">
        <v>16</v>
      </c>
      <c r="E29" s="122"/>
      <c r="H29" s="122" t="s">
        <v>89</v>
      </c>
      <c r="I29" s="122">
        <v>9</v>
      </c>
      <c r="J29" s="122">
        <v>9</v>
      </c>
      <c r="K29" s="125">
        <f t="shared" si="1"/>
        <v>0</v>
      </c>
      <c r="N29" s="122" t="s">
        <v>78</v>
      </c>
      <c r="O29" s="122">
        <v>3</v>
      </c>
      <c r="P29" s="122">
        <v>20</v>
      </c>
      <c r="Q29" s="123">
        <f t="shared" si="2"/>
        <v>5.666666666666667</v>
      </c>
      <c r="T29" s="122" t="s">
        <v>80</v>
      </c>
      <c r="U29" s="122">
        <v>17</v>
      </c>
      <c r="V29" s="122">
        <v>18</v>
      </c>
      <c r="W29" s="125">
        <f t="shared" si="3"/>
        <v>5.8823529411764705E-2</v>
      </c>
    </row>
    <row r="30" spans="2:23" x14ac:dyDescent="0.25">
      <c r="B30" s="122" t="s">
        <v>83</v>
      </c>
      <c r="C30" s="122">
        <v>2</v>
      </c>
      <c r="D30" s="122">
        <v>3</v>
      </c>
      <c r="E30" s="122"/>
      <c r="H30" s="122" t="s">
        <v>85</v>
      </c>
      <c r="I30" s="122">
        <v>5</v>
      </c>
      <c r="J30" s="122">
        <v>5</v>
      </c>
      <c r="K30" s="125">
        <f t="shared" si="1"/>
        <v>0</v>
      </c>
      <c r="N30" s="122" t="s">
        <v>83</v>
      </c>
      <c r="O30" s="122">
        <v>2</v>
      </c>
      <c r="P30" s="122">
        <v>4</v>
      </c>
      <c r="Q30" s="123">
        <f t="shared" si="2"/>
        <v>1</v>
      </c>
      <c r="T30" s="122" t="s">
        <v>89</v>
      </c>
      <c r="U30" s="122">
        <v>9</v>
      </c>
      <c r="V30" s="122">
        <v>9</v>
      </c>
      <c r="W30" s="125">
        <f t="shared" si="3"/>
        <v>0</v>
      </c>
    </row>
    <row r="31" spans="2:23" x14ac:dyDescent="0.25">
      <c r="B31" s="122" t="s">
        <v>85</v>
      </c>
      <c r="C31" s="122" t="s">
        <v>92</v>
      </c>
      <c r="D31" s="122">
        <v>2</v>
      </c>
      <c r="E31" s="122"/>
      <c r="H31" s="122" t="s">
        <v>83</v>
      </c>
      <c r="I31" s="122">
        <v>3</v>
      </c>
      <c r="J31" s="122">
        <v>4</v>
      </c>
      <c r="K31" s="125">
        <f t="shared" si="1"/>
        <v>0.33333333333333331</v>
      </c>
      <c r="N31" s="122" t="s">
        <v>85</v>
      </c>
      <c r="O31" s="122" t="s">
        <v>92</v>
      </c>
      <c r="P31" s="122">
        <v>2</v>
      </c>
      <c r="Q31" s="123" t="e">
        <f t="shared" si="2"/>
        <v>#VALUE!</v>
      </c>
      <c r="T31" s="122" t="s">
        <v>85</v>
      </c>
      <c r="U31" s="122">
        <v>5</v>
      </c>
      <c r="V31" s="122">
        <v>5</v>
      </c>
      <c r="W31" s="125">
        <f t="shared" si="3"/>
        <v>0</v>
      </c>
    </row>
    <row r="32" spans="2:23" x14ac:dyDescent="0.25">
      <c r="H32" s="122" t="s">
        <v>96</v>
      </c>
      <c r="I32" s="122">
        <v>2</v>
      </c>
      <c r="J32" s="122">
        <v>2</v>
      </c>
      <c r="K32" s="125">
        <f t="shared" si="1"/>
        <v>0</v>
      </c>
      <c r="T32" s="122" t="s">
        <v>83</v>
      </c>
      <c r="U32" s="122">
        <v>3</v>
      </c>
      <c r="V32" s="122">
        <v>5</v>
      </c>
      <c r="W32" s="125">
        <f t="shared" si="3"/>
        <v>0.66666666666666663</v>
      </c>
    </row>
    <row r="33" spans="2:23" x14ac:dyDescent="0.25">
      <c r="H33" s="122" t="s">
        <v>95</v>
      </c>
      <c r="I33" s="122">
        <v>1</v>
      </c>
      <c r="J33" s="122">
        <v>1</v>
      </c>
      <c r="K33" s="125">
        <f t="shared" si="1"/>
        <v>0</v>
      </c>
      <c r="T33" s="122" t="s">
        <v>96</v>
      </c>
      <c r="U33" s="122">
        <v>2</v>
      </c>
      <c r="V33" s="122">
        <v>2</v>
      </c>
      <c r="W33" s="125">
        <f t="shared" si="3"/>
        <v>0</v>
      </c>
    </row>
    <row r="34" spans="2:23" x14ac:dyDescent="0.25">
      <c r="H34" s="122" t="s">
        <v>65</v>
      </c>
      <c r="I34" s="122" t="s">
        <v>92</v>
      </c>
      <c r="J34" s="122">
        <v>497</v>
      </c>
      <c r="K34" s="125" t="e">
        <f t="shared" si="1"/>
        <v>#VALUE!</v>
      </c>
      <c r="T34" s="122" t="s">
        <v>95</v>
      </c>
      <c r="U34" s="122">
        <v>1</v>
      </c>
      <c r="V34" s="122">
        <v>1</v>
      </c>
      <c r="W34" s="125">
        <f t="shared" si="3"/>
        <v>0</v>
      </c>
    </row>
    <row r="35" spans="2:23" x14ac:dyDescent="0.25">
      <c r="H35" s="122"/>
      <c r="I35" s="122"/>
      <c r="J35" s="122"/>
      <c r="K35" s="125" t="e">
        <f t="shared" si="1"/>
        <v>#DIV/0!</v>
      </c>
    </row>
    <row r="39" spans="2:23" x14ac:dyDescent="0.25">
      <c r="B39" t="s">
        <v>12</v>
      </c>
      <c r="C39">
        <f>SUM(C3:C38)</f>
        <v>51294</v>
      </c>
      <c r="D39">
        <f>SUM(D3:D38)</f>
        <v>57943</v>
      </c>
      <c r="E39" s="82">
        <f>(D39-C39)/C39</f>
        <v>0.12962529730572778</v>
      </c>
      <c r="I39">
        <f>SUM(I3:I38)</f>
        <v>86871</v>
      </c>
      <c r="J39">
        <f>SUM(J3:J38)</f>
        <v>87958</v>
      </c>
      <c r="K39" s="82">
        <f>(J39-I39)/I39</f>
        <v>1.2512806345040347E-2</v>
      </c>
      <c r="O39">
        <f>SUM(O3:O38)</f>
        <v>51294</v>
      </c>
      <c r="P39">
        <f>SUM(P3:P38)</f>
        <v>61276</v>
      </c>
      <c r="Q39" s="82">
        <f>(P39-O39)/O39</f>
        <v>0.19460365734783797</v>
      </c>
      <c r="U39">
        <f>SUM(U3:U38)</f>
        <v>91948</v>
      </c>
      <c r="V39">
        <f>SUM(V3:V38)</f>
        <v>92970</v>
      </c>
      <c r="W39" s="135">
        <f>(V39-U39)/U39</f>
        <v>1.1114978031061035E-2</v>
      </c>
    </row>
  </sheetData>
  <conditionalFormatting sqref="Q3:Q22 Q24 Q27:Q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12">
      <colorScale>
        <cfvo type="min"/>
        <cfvo type="max"/>
        <color rgb="FFFCFCFF"/>
        <color rgb="FF63BE7B"/>
      </colorScale>
    </cfRule>
  </conditionalFormatting>
  <conditionalFormatting sqref="Q3:Q28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showGridLines="0" topLeftCell="J1" zoomScaleNormal="100" workbookViewId="0">
      <selection activeCell="N8" sqref="N8"/>
    </sheetView>
  </sheetViews>
  <sheetFormatPr defaultRowHeight="15" x14ac:dyDescent="0.25"/>
  <cols>
    <col min="2" max="2" width="15.140625" bestFit="1" customWidth="1"/>
    <col min="3" max="3" width="20.42578125" bestFit="1" customWidth="1"/>
    <col min="4" max="4" width="16.28515625" style="20" bestFit="1" customWidth="1"/>
    <col min="5" max="5" width="19.5703125" bestFit="1" customWidth="1"/>
    <col min="6" max="6" width="20.7109375" bestFit="1" customWidth="1"/>
    <col min="7" max="7" width="14" customWidth="1"/>
    <col min="11" max="11" width="11.28515625" bestFit="1" customWidth="1"/>
    <col min="12" max="12" width="20.42578125" bestFit="1" customWidth="1"/>
    <col min="13" max="13" width="16.28515625" bestFit="1" customWidth="1"/>
    <col min="14" max="14" width="19.5703125" bestFit="1" customWidth="1"/>
    <col min="15" max="15" width="20.7109375" bestFit="1" customWidth="1"/>
    <col min="16" max="16" width="12.140625" bestFit="1" customWidth="1"/>
  </cols>
  <sheetData>
    <row r="1" spans="2:16" x14ac:dyDescent="0.25">
      <c r="B1" t="s">
        <v>120</v>
      </c>
      <c r="C1" s="133" t="s">
        <v>119</v>
      </c>
      <c r="D1" s="134" t="s">
        <v>118</v>
      </c>
      <c r="E1" s="133" t="s">
        <v>117</v>
      </c>
      <c r="F1" s="133" t="s">
        <v>121</v>
      </c>
      <c r="G1" s="133" t="s">
        <v>122</v>
      </c>
      <c r="K1" t="s">
        <v>123</v>
      </c>
      <c r="L1" s="133" t="s">
        <v>119</v>
      </c>
      <c r="M1" s="134" t="s">
        <v>118</v>
      </c>
      <c r="N1" s="133" t="s">
        <v>117</v>
      </c>
      <c r="O1" s="133" t="s">
        <v>121</v>
      </c>
      <c r="P1" s="133" t="s">
        <v>122</v>
      </c>
    </row>
    <row r="2" spans="2:16" x14ac:dyDescent="0.25">
      <c r="B2" t="s">
        <v>124</v>
      </c>
      <c r="C2" s="129" t="s">
        <v>61</v>
      </c>
      <c r="D2" s="130">
        <v>11873</v>
      </c>
      <c r="E2" s="130">
        <v>15183</v>
      </c>
      <c r="F2" s="130">
        <f t="shared" ref="F2:F32" si="0">D2-E2</f>
        <v>-3310</v>
      </c>
      <c r="G2" s="123">
        <f>F2/E2</f>
        <v>-0.21800698149245867</v>
      </c>
      <c r="K2" t="s">
        <v>125</v>
      </c>
      <c r="L2" s="124" t="s">
        <v>59</v>
      </c>
      <c r="M2" s="122">
        <v>8938</v>
      </c>
      <c r="N2" s="122">
        <v>7671</v>
      </c>
      <c r="O2" s="122">
        <f t="shared" ref="O2:O23" si="1">M2-N2</f>
        <v>1267</v>
      </c>
      <c r="P2" s="123">
        <f t="shared" ref="P2:P23" si="2">(M2-N2)/N2</f>
        <v>0.16516751401381827</v>
      </c>
    </row>
    <row r="3" spans="2:16" x14ac:dyDescent="0.25">
      <c r="C3" s="124" t="s">
        <v>59</v>
      </c>
      <c r="D3" s="130">
        <v>9317</v>
      </c>
      <c r="E3" s="130">
        <v>7311</v>
      </c>
      <c r="F3" s="130">
        <f t="shared" si="0"/>
        <v>2006</v>
      </c>
      <c r="G3" s="123">
        <f t="shared" ref="G3:G32" si="3">F3/E3</f>
        <v>0.27438106962111886</v>
      </c>
      <c r="L3" s="129" t="s">
        <v>61</v>
      </c>
      <c r="M3" s="122">
        <v>8031</v>
      </c>
      <c r="N3" s="122">
        <v>11278</v>
      </c>
      <c r="O3" s="122">
        <f t="shared" si="1"/>
        <v>-3247</v>
      </c>
      <c r="P3" s="123">
        <f t="shared" si="2"/>
        <v>-0.28790565703138854</v>
      </c>
    </row>
    <row r="4" spans="2:16" x14ac:dyDescent="0.25">
      <c r="C4" s="124" t="s">
        <v>64</v>
      </c>
      <c r="D4" s="130">
        <v>4458</v>
      </c>
      <c r="E4" s="130">
        <v>1988</v>
      </c>
      <c r="F4" s="130">
        <f t="shared" si="0"/>
        <v>2470</v>
      </c>
      <c r="G4" s="123">
        <f t="shared" si="3"/>
        <v>1.2424547283702214</v>
      </c>
      <c r="L4" s="124" t="s">
        <v>64</v>
      </c>
      <c r="M4" s="122">
        <v>4267</v>
      </c>
      <c r="N4" s="122">
        <v>2118</v>
      </c>
      <c r="O4" s="122">
        <f t="shared" si="1"/>
        <v>2149</v>
      </c>
      <c r="P4" s="123">
        <f t="shared" si="2"/>
        <v>1.0146364494806421</v>
      </c>
    </row>
    <row r="5" spans="2:16" x14ac:dyDescent="0.25">
      <c r="C5" s="124" t="s">
        <v>63</v>
      </c>
      <c r="D5" s="130">
        <v>2620</v>
      </c>
      <c r="E5" s="130">
        <v>2002</v>
      </c>
      <c r="F5" s="130">
        <f t="shared" si="0"/>
        <v>618</v>
      </c>
      <c r="G5" s="123">
        <f t="shared" si="3"/>
        <v>0.30869130869130867</v>
      </c>
      <c r="L5" s="124" t="s">
        <v>63</v>
      </c>
      <c r="M5" s="122">
        <v>2754</v>
      </c>
      <c r="N5" s="122">
        <v>2300</v>
      </c>
      <c r="O5" s="122">
        <f t="shared" si="1"/>
        <v>454</v>
      </c>
      <c r="P5" s="123">
        <f t="shared" si="2"/>
        <v>0.19739130434782609</v>
      </c>
    </row>
    <row r="6" spans="2:16" x14ac:dyDescent="0.25">
      <c r="C6" s="129" t="s">
        <v>65</v>
      </c>
      <c r="D6" s="130">
        <v>1404</v>
      </c>
      <c r="E6" s="130">
        <v>2255</v>
      </c>
      <c r="F6" s="130">
        <f t="shared" si="0"/>
        <v>-851</v>
      </c>
      <c r="G6" s="123">
        <f t="shared" si="3"/>
        <v>-0.37738359201773836</v>
      </c>
      <c r="L6" s="129" t="s">
        <v>65</v>
      </c>
      <c r="M6" s="122">
        <v>1679</v>
      </c>
      <c r="N6" s="122">
        <v>2298</v>
      </c>
      <c r="O6" s="122">
        <f t="shared" si="1"/>
        <v>-619</v>
      </c>
      <c r="P6" s="123">
        <f t="shared" si="2"/>
        <v>-0.26936466492602262</v>
      </c>
    </row>
    <row r="7" spans="2:16" x14ac:dyDescent="0.25">
      <c r="C7" s="129" t="s">
        <v>66</v>
      </c>
      <c r="D7" s="130">
        <v>847</v>
      </c>
      <c r="E7" s="130">
        <v>1116</v>
      </c>
      <c r="F7" s="130">
        <f t="shared" si="0"/>
        <v>-269</v>
      </c>
      <c r="G7" s="123">
        <f t="shared" si="3"/>
        <v>-0.24103942652329749</v>
      </c>
      <c r="L7" s="129" t="s">
        <v>66</v>
      </c>
      <c r="M7" s="122">
        <v>1344</v>
      </c>
      <c r="N7" s="122">
        <v>1586</v>
      </c>
      <c r="O7" s="122">
        <f t="shared" si="1"/>
        <v>-242</v>
      </c>
      <c r="P7" s="123">
        <f t="shared" si="2"/>
        <v>-0.15258511979823455</v>
      </c>
    </row>
    <row r="8" spans="2:16" x14ac:dyDescent="0.25">
      <c r="C8" s="124" t="s">
        <v>60</v>
      </c>
      <c r="D8" s="130">
        <v>554</v>
      </c>
      <c r="E8" s="130">
        <v>338</v>
      </c>
      <c r="F8" s="130">
        <f t="shared" si="0"/>
        <v>216</v>
      </c>
      <c r="G8" s="123">
        <f t="shared" si="3"/>
        <v>0.63905325443786987</v>
      </c>
      <c r="L8" s="129" t="s">
        <v>60</v>
      </c>
      <c r="M8" s="122">
        <v>569</v>
      </c>
      <c r="N8" s="122">
        <v>594</v>
      </c>
      <c r="O8" s="122">
        <f t="shared" si="1"/>
        <v>-25</v>
      </c>
      <c r="P8" s="123">
        <f t="shared" si="2"/>
        <v>-4.208754208754209E-2</v>
      </c>
    </row>
    <row r="9" spans="2:16" x14ac:dyDescent="0.25">
      <c r="C9" s="124" t="s">
        <v>70</v>
      </c>
      <c r="D9" s="130">
        <v>485</v>
      </c>
      <c r="E9" s="130">
        <v>94</v>
      </c>
      <c r="F9" s="130">
        <f t="shared" si="0"/>
        <v>391</v>
      </c>
      <c r="G9" s="123">
        <f t="shared" si="3"/>
        <v>4.1595744680851068</v>
      </c>
      <c r="L9" s="129" t="s">
        <v>62</v>
      </c>
      <c r="M9" s="122">
        <v>336</v>
      </c>
      <c r="N9" s="122">
        <v>398</v>
      </c>
      <c r="O9" s="122">
        <f t="shared" si="1"/>
        <v>-62</v>
      </c>
      <c r="P9" s="123">
        <f t="shared" si="2"/>
        <v>-0.15577889447236182</v>
      </c>
    </row>
    <row r="10" spans="2:16" x14ac:dyDescent="0.25">
      <c r="C10" s="124" t="s">
        <v>62</v>
      </c>
      <c r="D10" s="130">
        <v>336</v>
      </c>
      <c r="E10" s="130">
        <v>323</v>
      </c>
      <c r="F10" s="130">
        <f t="shared" si="0"/>
        <v>13</v>
      </c>
      <c r="G10" s="123">
        <f t="shared" si="3"/>
        <v>4.0247678018575851E-2</v>
      </c>
      <c r="L10" s="124" t="s">
        <v>70</v>
      </c>
      <c r="M10" s="122">
        <v>182</v>
      </c>
      <c r="N10" s="122">
        <v>9</v>
      </c>
      <c r="O10" s="122">
        <f t="shared" si="1"/>
        <v>173</v>
      </c>
      <c r="P10" s="123">
        <f t="shared" si="2"/>
        <v>19.222222222222221</v>
      </c>
    </row>
    <row r="11" spans="2:16" x14ac:dyDescent="0.25">
      <c r="C11" s="124" t="s">
        <v>75</v>
      </c>
      <c r="D11" s="130">
        <v>261</v>
      </c>
      <c r="E11" s="130">
        <v>210</v>
      </c>
      <c r="F11" s="130">
        <f t="shared" si="0"/>
        <v>51</v>
      </c>
      <c r="G11" s="123">
        <f t="shared" si="3"/>
        <v>0.24285714285714285</v>
      </c>
      <c r="L11" s="124" t="s">
        <v>75</v>
      </c>
      <c r="M11" s="122">
        <v>142</v>
      </c>
      <c r="N11" s="122">
        <v>138</v>
      </c>
      <c r="O11" s="122">
        <f t="shared" si="1"/>
        <v>4</v>
      </c>
      <c r="P11" s="123">
        <f t="shared" si="2"/>
        <v>2.8985507246376812E-2</v>
      </c>
    </row>
    <row r="12" spans="2:16" x14ac:dyDescent="0.25">
      <c r="C12" s="129" t="s">
        <v>76</v>
      </c>
      <c r="D12" s="130">
        <v>89</v>
      </c>
      <c r="E12" s="130">
        <v>151</v>
      </c>
      <c r="F12" s="130">
        <f t="shared" si="0"/>
        <v>-62</v>
      </c>
      <c r="G12" s="123">
        <f t="shared" si="3"/>
        <v>-0.41059602649006621</v>
      </c>
      <c r="L12" s="124" t="s">
        <v>67</v>
      </c>
      <c r="M12" s="122">
        <v>101</v>
      </c>
      <c r="N12" s="122">
        <v>59</v>
      </c>
      <c r="O12" s="122">
        <f t="shared" si="1"/>
        <v>42</v>
      </c>
      <c r="P12" s="123">
        <f t="shared" si="2"/>
        <v>0.71186440677966101</v>
      </c>
    </row>
    <row r="13" spans="2:16" x14ac:dyDescent="0.25">
      <c r="C13" s="124" t="s">
        <v>67</v>
      </c>
      <c r="D13" s="130">
        <v>74</v>
      </c>
      <c r="E13" s="130">
        <v>40</v>
      </c>
      <c r="F13" s="130">
        <f t="shared" si="0"/>
        <v>34</v>
      </c>
      <c r="G13" s="123">
        <f t="shared" si="3"/>
        <v>0.85</v>
      </c>
      <c r="L13" s="129" t="s">
        <v>76</v>
      </c>
      <c r="M13" s="122">
        <v>84</v>
      </c>
      <c r="N13" s="122">
        <v>127</v>
      </c>
      <c r="O13" s="122">
        <f t="shared" si="1"/>
        <v>-43</v>
      </c>
      <c r="P13" s="123">
        <f t="shared" si="2"/>
        <v>-0.33858267716535434</v>
      </c>
    </row>
    <row r="14" spans="2:16" x14ac:dyDescent="0.25">
      <c r="C14" s="124" t="s">
        <v>82</v>
      </c>
      <c r="D14" s="130">
        <v>58</v>
      </c>
      <c r="E14" s="130">
        <v>16</v>
      </c>
      <c r="F14" s="130">
        <f t="shared" si="0"/>
        <v>42</v>
      </c>
      <c r="G14" s="123">
        <f t="shared" si="3"/>
        <v>2.625</v>
      </c>
      <c r="L14" s="124" t="s">
        <v>69</v>
      </c>
      <c r="M14" s="122">
        <v>62</v>
      </c>
      <c r="N14" s="122">
        <v>55</v>
      </c>
      <c r="O14" s="122">
        <f t="shared" si="1"/>
        <v>7</v>
      </c>
      <c r="P14" s="123">
        <f t="shared" si="2"/>
        <v>0.12727272727272726</v>
      </c>
    </row>
    <row r="15" spans="2:16" x14ac:dyDescent="0.25">
      <c r="C15" s="124" t="s">
        <v>69</v>
      </c>
      <c r="D15" s="130">
        <v>53</v>
      </c>
      <c r="E15" s="130">
        <v>46</v>
      </c>
      <c r="F15" s="130">
        <f t="shared" si="0"/>
        <v>7</v>
      </c>
      <c r="G15" s="123">
        <f t="shared" si="3"/>
        <v>0.15217391304347827</v>
      </c>
      <c r="L15" s="122" t="s">
        <v>68</v>
      </c>
      <c r="M15" s="122">
        <v>35</v>
      </c>
      <c r="N15" s="122">
        <v>40</v>
      </c>
      <c r="O15" s="122">
        <f t="shared" si="1"/>
        <v>-5</v>
      </c>
      <c r="P15" s="123">
        <f t="shared" si="2"/>
        <v>-0.125</v>
      </c>
    </row>
    <row r="16" spans="2:16" x14ac:dyDescent="0.25">
      <c r="C16" s="124" t="s">
        <v>81</v>
      </c>
      <c r="D16" s="130">
        <v>38</v>
      </c>
      <c r="E16" s="130">
        <v>6</v>
      </c>
      <c r="F16" s="130">
        <f t="shared" si="0"/>
        <v>32</v>
      </c>
      <c r="G16" s="123">
        <f t="shared" si="3"/>
        <v>5.333333333333333</v>
      </c>
      <c r="L16" s="122" t="s">
        <v>71</v>
      </c>
      <c r="M16" s="122">
        <v>28</v>
      </c>
      <c r="N16" s="122">
        <v>32</v>
      </c>
      <c r="O16" s="122">
        <f t="shared" si="1"/>
        <v>-4</v>
      </c>
      <c r="P16" s="123">
        <f t="shared" si="2"/>
        <v>-0.125</v>
      </c>
    </row>
    <row r="17" spans="3:16" x14ac:dyDescent="0.25">
      <c r="C17" s="124" t="s">
        <v>68</v>
      </c>
      <c r="D17" s="130">
        <v>35</v>
      </c>
      <c r="E17" s="130">
        <v>33</v>
      </c>
      <c r="F17" s="130">
        <f t="shared" si="0"/>
        <v>2</v>
      </c>
      <c r="G17" s="123">
        <f t="shared" si="3"/>
        <v>6.0606060606060608E-2</v>
      </c>
      <c r="L17" s="124" t="s">
        <v>82</v>
      </c>
      <c r="M17" s="122">
        <v>21</v>
      </c>
      <c r="N17" s="122">
        <v>4</v>
      </c>
      <c r="O17" s="122">
        <f t="shared" si="1"/>
        <v>17</v>
      </c>
      <c r="P17" s="123">
        <f t="shared" si="2"/>
        <v>4.25</v>
      </c>
    </row>
    <row r="18" spans="3:16" x14ac:dyDescent="0.25">
      <c r="C18" s="124" t="s">
        <v>71</v>
      </c>
      <c r="D18" s="130">
        <v>29</v>
      </c>
      <c r="E18" s="130">
        <v>25</v>
      </c>
      <c r="F18" s="130">
        <f t="shared" si="0"/>
        <v>4</v>
      </c>
      <c r="G18" s="123">
        <f t="shared" si="3"/>
        <v>0.16</v>
      </c>
      <c r="L18" s="122" t="s">
        <v>74</v>
      </c>
      <c r="M18" s="122">
        <v>17</v>
      </c>
      <c r="N18" s="122">
        <v>13</v>
      </c>
      <c r="O18" s="122">
        <f t="shared" si="1"/>
        <v>4</v>
      </c>
      <c r="P18" s="123">
        <f t="shared" si="2"/>
        <v>0.30769230769230771</v>
      </c>
    </row>
    <row r="19" spans="3:16" x14ac:dyDescent="0.25">
      <c r="C19" s="122" t="s">
        <v>77</v>
      </c>
      <c r="D19" s="130">
        <v>18</v>
      </c>
      <c r="E19" s="130">
        <v>17</v>
      </c>
      <c r="F19" s="130">
        <f t="shared" si="0"/>
        <v>1</v>
      </c>
      <c r="G19" s="123">
        <f t="shared" si="3"/>
        <v>5.8823529411764705E-2</v>
      </c>
      <c r="L19" s="124" t="s">
        <v>77</v>
      </c>
      <c r="M19" s="122">
        <v>15</v>
      </c>
      <c r="N19" s="122">
        <v>13</v>
      </c>
      <c r="O19" s="122">
        <f t="shared" si="1"/>
        <v>2</v>
      </c>
      <c r="P19" s="123">
        <f t="shared" si="2"/>
        <v>0.15384615384615385</v>
      </c>
    </row>
    <row r="20" spans="3:16" x14ac:dyDescent="0.25">
      <c r="C20" s="124" t="s">
        <v>90</v>
      </c>
      <c r="D20" s="130">
        <v>17</v>
      </c>
      <c r="E20" s="130">
        <v>9</v>
      </c>
      <c r="F20" s="130">
        <f t="shared" si="0"/>
        <v>8</v>
      </c>
      <c r="G20" s="123">
        <f t="shared" si="3"/>
        <v>0.88888888888888884</v>
      </c>
      <c r="L20" s="122" t="s">
        <v>81</v>
      </c>
      <c r="M20" s="122">
        <v>14</v>
      </c>
      <c r="N20" s="122">
        <v>4</v>
      </c>
      <c r="O20" s="122">
        <f t="shared" si="1"/>
        <v>10</v>
      </c>
      <c r="P20" s="123">
        <f t="shared" si="2"/>
        <v>2.5</v>
      </c>
    </row>
    <row r="21" spans="3:16" x14ac:dyDescent="0.25">
      <c r="C21" s="124" t="s">
        <v>72</v>
      </c>
      <c r="D21" s="130">
        <v>13</v>
      </c>
      <c r="E21" s="130">
        <v>7</v>
      </c>
      <c r="F21" s="130">
        <f t="shared" si="0"/>
        <v>6</v>
      </c>
      <c r="G21" s="123">
        <f t="shared" si="3"/>
        <v>0.8571428571428571</v>
      </c>
      <c r="L21" s="124" t="s">
        <v>90</v>
      </c>
      <c r="M21" s="122">
        <v>10</v>
      </c>
      <c r="N21" s="122">
        <v>5</v>
      </c>
      <c r="O21" s="122">
        <f t="shared" si="1"/>
        <v>5</v>
      </c>
      <c r="P21" s="123">
        <f t="shared" si="2"/>
        <v>1</v>
      </c>
    </row>
    <row r="22" spans="3:16" x14ac:dyDescent="0.25">
      <c r="C22" s="122" t="s">
        <v>74</v>
      </c>
      <c r="D22" s="130">
        <v>11</v>
      </c>
      <c r="E22" s="130">
        <v>9</v>
      </c>
      <c r="F22" s="130">
        <f t="shared" si="0"/>
        <v>2</v>
      </c>
      <c r="G22" s="123">
        <f t="shared" si="3"/>
        <v>0.22222222222222221</v>
      </c>
      <c r="L22" s="122" t="s">
        <v>72</v>
      </c>
      <c r="M22" s="122">
        <v>10</v>
      </c>
      <c r="N22" s="122">
        <v>4</v>
      </c>
      <c r="O22" s="122">
        <f t="shared" si="1"/>
        <v>6</v>
      </c>
      <c r="P22" s="123">
        <f t="shared" si="2"/>
        <v>1.5</v>
      </c>
    </row>
    <row r="23" spans="3:16" x14ac:dyDescent="0.25">
      <c r="C23" s="122" t="s">
        <v>89</v>
      </c>
      <c r="D23" s="130">
        <v>7</v>
      </c>
      <c r="E23" s="130">
        <v>4</v>
      </c>
      <c r="F23" s="130">
        <f t="shared" si="0"/>
        <v>3</v>
      </c>
      <c r="G23" s="123">
        <f t="shared" si="3"/>
        <v>0.75</v>
      </c>
      <c r="L23" s="122" t="s">
        <v>78</v>
      </c>
      <c r="M23" s="122">
        <v>5</v>
      </c>
      <c r="N23" s="122">
        <v>7</v>
      </c>
      <c r="O23" s="122">
        <f t="shared" si="1"/>
        <v>-2</v>
      </c>
      <c r="P23" s="123">
        <f t="shared" si="2"/>
        <v>-0.2857142857142857</v>
      </c>
    </row>
    <row r="24" spans="3:16" x14ac:dyDescent="0.25">
      <c r="C24" s="122" t="s">
        <v>84</v>
      </c>
      <c r="D24" s="130">
        <v>6</v>
      </c>
      <c r="E24" s="130">
        <v>1</v>
      </c>
      <c r="F24" s="130">
        <f t="shared" si="0"/>
        <v>5</v>
      </c>
      <c r="G24" s="123">
        <f t="shared" si="3"/>
        <v>5</v>
      </c>
      <c r="L24" s="124" t="s">
        <v>80</v>
      </c>
      <c r="M24" s="122">
        <v>4</v>
      </c>
      <c r="N24" s="122"/>
      <c r="O24" s="122"/>
      <c r="P24" s="122"/>
    </row>
    <row r="25" spans="3:16" x14ac:dyDescent="0.25">
      <c r="C25" s="124" t="s">
        <v>80</v>
      </c>
      <c r="D25" s="130">
        <v>5</v>
      </c>
      <c r="E25" s="130">
        <v>1</v>
      </c>
      <c r="F25" s="130">
        <f t="shared" si="0"/>
        <v>4</v>
      </c>
      <c r="G25" s="123">
        <f t="shared" si="3"/>
        <v>4</v>
      </c>
      <c r="L25" s="122" t="s">
        <v>84</v>
      </c>
      <c r="M25" s="122">
        <v>3</v>
      </c>
      <c r="N25" s="122">
        <v>1</v>
      </c>
      <c r="O25" s="122">
        <f>M25-N25</f>
        <v>2</v>
      </c>
      <c r="P25" s="123">
        <f>(M25-N25)/N25</f>
        <v>2</v>
      </c>
    </row>
    <row r="26" spans="3:16" x14ac:dyDescent="0.25">
      <c r="C26" s="122" t="s">
        <v>85</v>
      </c>
      <c r="D26" s="130">
        <v>2</v>
      </c>
      <c r="E26" s="122">
        <v>0</v>
      </c>
      <c r="F26" s="130">
        <f t="shared" si="0"/>
        <v>2</v>
      </c>
      <c r="G26" s="123" t="e">
        <f t="shared" si="3"/>
        <v>#DIV/0!</v>
      </c>
      <c r="L26" s="122" t="s">
        <v>73</v>
      </c>
      <c r="M26" s="122">
        <v>1</v>
      </c>
      <c r="N26" s="122">
        <v>4</v>
      </c>
      <c r="O26" s="122">
        <f>M26-N26</f>
        <v>-3</v>
      </c>
      <c r="P26" s="123">
        <f>(M26-N26)/N26</f>
        <v>-0.75</v>
      </c>
    </row>
    <row r="27" spans="3:16" x14ac:dyDescent="0.25">
      <c r="C27" s="122" t="s">
        <v>97</v>
      </c>
      <c r="D27" s="130">
        <v>2</v>
      </c>
      <c r="E27" s="122">
        <v>0</v>
      </c>
      <c r="F27" s="130">
        <f t="shared" si="0"/>
        <v>2</v>
      </c>
      <c r="G27" s="123" t="e">
        <f t="shared" si="3"/>
        <v>#DIV/0!</v>
      </c>
      <c r="L27" s="122" t="s">
        <v>89</v>
      </c>
      <c r="M27" s="122">
        <v>1</v>
      </c>
      <c r="N27" s="122">
        <v>1</v>
      </c>
      <c r="O27" s="122">
        <f>M27-N27</f>
        <v>0</v>
      </c>
      <c r="P27" s="123">
        <f>(M27-N27)/N27</f>
        <v>0</v>
      </c>
    </row>
    <row r="28" spans="3:16" x14ac:dyDescent="0.25">
      <c r="C28" s="122" t="s">
        <v>87</v>
      </c>
      <c r="D28" s="130">
        <v>2</v>
      </c>
      <c r="E28" s="122">
        <v>0</v>
      </c>
      <c r="F28" s="130">
        <f t="shared" si="0"/>
        <v>2</v>
      </c>
      <c r="G28" s="123" t="e">
        <f t="shared" si="3"/>
        <v>#DIV/0!</v>
      </c>
      <c r="L28" s="122" t="s">
        <v>79</v>
      </c>
      <c r="M28" s="122">
        <v>1</v>
      </c>
      <c r="N28" s="122">
        <v>2</v>
      </c>
      <c r="O28" s="122">
        <f>M28-N28</f>
        <v>-1</v>
      </c>
      <c r="P28" s="123">
        <f>(M28-N28)/N28</f>
        <v>-0.5</v>
      </c>
    </row>
    <row r="29" spans="3:16" x14ac:dyDescent="0.25">
      <c r="C29" s="122" t="s">
        <v>78</v>
      </c>
      <c r="D29" s="130">
        <v>1</v>
      </c>
      <c r="E29" s="131">
        <v>3</v>
      </c>
      <c r="F29" s="130">
        <f t="shared" si="0"/>
        <v>-2</v>
      </c>
      <c r="G29" s="123">
        <f t="shared" si="3"/>
        <v>-0.66666666666666663</v>
      </c>
      <c r="L29" s="124" t="s">
        <v>85</v>
      </c>
      <c r="M29" s="122">
        <v>1</v>
      </c>
      <c r="N29" s="122"/>
      <c r="O29" s="122"/>
      <c r="P29" s="122"/>
    </row>
    <row r="30" spans="3:16" x14ac:dyDescent="0.25">
      <c r="C30" s="122" t="s">
        <v>79</v>
      </c>
      <c r="D30" s="130">
        <v>1</v>
      </c>
      <c r="E30" s="131">
        <v>4</v>
      </c>
      <c r="F30" s="130">
        <f t="shared" si="0"/>
        <v>-3</v>
      </c>
      <c r="G30" s="123">
        <f t="shared" si="3"/>
        <v>-0.75</v>
      </c>
      <c r="L30" s="124" t="s">
        <v>97</v>
      </c>
      <c r="M30" s="122">
        <v>1</v>
      </c>
      <c r="N30" s="121"/>
      <c r="O30" s="121"/>
      <c r="P30" s="121"/>
    </row>
    <row r="31" spans="3:16" x14ac:dyDescent="0.25">
      <c r="C31" s="122" t="s">
        <v>88</v>
      </c>
      <c r="D31" s="130">
        <v>1</v>
      </c>
      <c r="E31" s="132">
        <v>0</v>
      </c>
      <c r="F31" s="130">
        <f t="shared" si="0"/>
        <v>1</v>
      </c>
      <c r="G31" s="123" t="e">
        <f t="shared" si="3"/>
        <v>#DIV/0!</v>
      </c>
      <c r="L31" s="122"/>
      <c r="M31" s="122"/>
      <c r="O31">
        <f>M31-N31</f>
        <v>0</v>
      </c>
    </row>
    <row r="32" spans="3:16" x14ac:dyDescent="0.25">
      <c r="C32" s="122"/>
      <c r="D32" s="130"/>
      <c r="E32" s="131">
        <v>2</v>
      </c>
      <c r="F32" s="130">
        <f t="shared" si="0"/>
        <v>-2</v>
      </c>
      <c r="G32" s="123">
        <f t="shared" si="3"/>
        <v>-1</v>
      </c>
      <c r="M32" s="20">
        <f>SUM(M1:M31)</f>
        <v>28656</v>
      </c>
      <c r="N32" s="20">
        <f>SUM(N1:N31)</f>
        <v>28761</v>
      </c>
      <c r="P32" s="83">
        <f>(M32-N32)/N32</f>
        <v>-3.6507770939814333E-3</v>
      </c>
    </row>
    <row r="33" spans="4:7" x14ac:dyDescent="0.25">
      <c r="D33" s="20">
        <f>SUM(D2:D32)</f>
        <v>32617</v>
      </c>
      <c r="E33" s="20">
        <f>SUM(E2:E32)</f>
        <v>31194</v>
      </c>
      <c r="G33" s="82">
        <f>(D33-E33)/E33</f>
        <v>4.561774700262871E-2</v>
      </c>
    </row>
  </sheetData>
  <sortState ref="L2:P34">
    <sortCondition descending="1" ref="M2:M34"/>
  </sortState>
  <conditionalFormatting sqref="P7:P14 P2:P5 P20:P24 P26:P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P20 P6 P24:P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G1048576 G1:G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27 P2:P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D16" sqref="D16"/>
    </sheetView>
  </sheetViews>
  <sheetFormatPr defaultRowHeight="15" x14ac:dyDescent="0.25"/>
  <cols>
    <col min="2" max="2" width="16.140625" customWidth="1"/>
    <col min="3" max="3" width="10" customWidth="1"/>
    <col min="7" max="7" width="12" customWidth="1"/>
  </cols>
  <sheetData>
    <row r="2" spans="2:7" ht="30" x14ac:dyDescent="0.25">
      <c r="B2" s="75" t="s">
        <v>40</v>
      </c>
      <c r="C2" s="76">
        <v>10000</v>
      </c>
      <c r="D2" s="76">
        <v>20000</v>
      </c>
      <c r="E2" s="76">
        <v>25000</v>
      </c>
      <c r="F2" s="76">
        <v>50000</v>
      </c>
      <c r="G2" s="76" t="s">
        <v>41</v>
      </c>
    </row>
    <row r="3" spans="2:7" x14ac:dyDescent="0.25">
      <c r="B3" s="55">
        <v>20000</v>
      </c>
      <c r="C3" s="71">
        <v>16789</v>
      </c>
      <c r="D3" s="71">
        <v>394</v>
      </c>
      <c r="E3" s="71">
        <v>1</v>
      </c>
      <c r="F3" s="71">
        <v>59</v>
      </c>
      <c r="G3" s="71">
        <f>SUM(C3:F3)</f>
        <v>17243</v>
      </c>
    </row>
    <row r="4" spans="2:7" x14ac:dyDescent="0.25">
      <c r="B4" s="55">
        <v>25000</v>
      </c>
      <c r="C4" s="71">
        <v>440062</v>
      </c>
      <c r="D4" s="71">
        <v>340941</v>
      </c>
      <c r="E4" s="71">
        <v>9846</v>
      </c>
      <c r="F4" s="71">
        <v>3947</v>
      </c>
      <c r="G4" s="71">
        <f>SUM(C4:F4)</f>
        <v>794796</v>
      </c>
    </row>
    <row r="5" spans="2:7" x14ac:dyDescent="0.25">
      <c r="B5" s="55">
        <v>50000</v>
      </c>
      <c r="C5" s="71">
        <v>1784</v>
      </c>
      <c r="D5" s="71">
        <v>130</v>
      </c>
      <c r="E5" s="71">
        <v>28</v>
      </c>
      <c r="F5" s="71">
        <v>12131</v>
      </c>
      <c r="G5" s="71">
        <f>SUM(C5:F5)</f>
        <v>14073</v>
      </c>
    </row>
    <row r="6" spans="2:7" x14ac:dyDescent="0.25">
      <c r="B6" s="70" t="s">
        <v>41</v>
      </c>
      <c r="C6" s="72">
        <f>SUM(C3:C5)</f>
        <v>458635</v>
      </c>
      <c r="D6" s="72">
        <f>SUM(D3:D5)</f>
        <v>341465</v>
      </c>
      <c r="E6" s="72">
        <f>SUM(E3:E5)</f>
        <v>9875</v>
      </c>
      <c r="F6" s="72">
        <f>SUM(F3:F5)</f>
        <v>16137</v>
      </c>
      <c r="G6" s="71">
        <f>SUM(C6:F6)</f>
        <v>826112</v>
      </c>
    </row>
    <row r="8" spans="2:7" x14ac:dyDescent="0.25">
      <c r="B8" s="76" t="s">
        <v>42</v>
      </c>
      <c r="C8" s="76">
        <v>10000</v>
      </c>
      <c r="D8" s="76">
        <v>20000</v>
      </c>
      <c r="E8" s="76">
        <v>25000</v>
      </c>
      <c r="F8" s="76">
        <v>50000</v>
      </c>
      <c r="G8" s="76" t="s">
        <v>41</v>
      </c>
    </row>
    <row r="9" spans="2:7" x14ac:dyDescent="0.25">
      <c r="B9" s="55">
        <v>20000</v>
      </c>
      <c r="C9" s="73">
        <v>63.171687520000006</v>
      </c>
      <c r="D9" s="73">
        <v>2.9842</v>
      </c>
      <c r="E9" s="74">
        <v>3.4000000000000002E-2</v>
      </c>
      <c r="F9" s="74">
        <v>0.17169999999999999</v>
      </c>
      <c r="G9" s="74">
        <v>66.36158752</v>
      </c>
    </row>
    <row r="10" spans="2:7" x14ac:dyDescent="0.25">
      <c r="B10" s="55">
        <v>25000</v>
      </c>
      <c r="C10" s="73">
        <v>221.69297800000001</v>
      </c>
      <c r="D10" s="73">
        <v>20.6463</v>
      </c>
      <c r="E10" s="74">
        <v>30.318300000000001</v>
      </c>
      <c r="F10" s="74">
        <v>17.680499999999999</v>
      </c>
      <c r="G10" s="74">
        <v>290.338078</v>
      </c>
    </row>
    <row r="11" spans="2:7" x14ac:dyDescent="0.25">
      <c r="B11" s="55">
        <v>50000</v>
      </c>
      <c r="C11" s="74">
        <v>10.518978000000001</v>
      </c>
      <c r="D11" s="74">
        <v>1.4464999999999999</v>
      </c>
      <c r="E11" s="74">
        <v>0.24</v>
      </c>
      <c r="F11" s="74">
        <v>71.501376018000002</v>
      </c>
      <c r="G11" s="74">
        <v>83.706854018000001</v>
      </c>
    </row>
    <row r="12" spans="2:7" x14ac:dyDescent="0.25">
      <c r="B12" s="70" t="s">
        <v>41</v>
      </c>
      <c r="C12" s="74">
        <v>295.38364351999996</v>
      </c>
      <c r="D12" s="74">
        <v>25.077000000000002</v>
      </c>
      <c r="E12" s="74">
        <v>30.592300000000002</v>
      </c>
      <c r="F12" s="74">
        <v>89.353576018000012</v>
      </c>
      <c r="G12" s="74">
        <v>440.406519538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E11" sqref="E11"/>
    </sheetView>
  </sheetViews>
  <sheetFormatPr defaultRowHeight="15" x14ac:dyDescent="0.25"/>
  <cols>
    <col min="2" max="2" width="14.7109375" bestFit="1" customWidth="1"/>
    <col min="6" max="6" width="9.85546875" bestFit="1" customWidth="1"/>
    <col min="7" max="7" width="10.85546875" bestFit="1" customWidth="1"/>
    <col min="9" max="9" width="9.5703125" bestFit="1" customWidth="1"/>
    <col min="14" max="14" width="12.85546875" bestFit="1" customWidth="1"/>
    <col min="15" max="15" width="16.140625" customWidth="1"/>
    <col min="16" max="16" width="12.85546875" bestFit="1" customWidth="1"/>
    <col min="17" max="17" width="14.85546875" bestFit="1" customWidth="1"/>
    <col min="18" max="18" width="14.85546875" customWidth="1"/>
    <col min="19" max="19" width="14.85546875" bestFit="1" customWidth="1"/>
    <col min="21" max="21" width="11.5703125" bestFit="1" customWidth="1"/>
  </cols>
  <sheetData>
    <row r="1" spans="1:22" x14ac:dyDescent="0.25">
      <c r="A1" t="s">
        <v>13</v>
      </c>
    </row>
    <row r="3" spans="1:22" x14ac:dyDescent="0.25">
      <c r="B3" s="8" t="s">
        <v>145</v>
      </c>
      <c r="C3" s="8" t="s">
        <v>129</v>
      </c>
      <c r="D3" s="8" t="s">
        <v>130</v>
      </c>
      <c r="E3" s="8" t="s">
        <v>131</v>
      </c>
      <c r="F3" s="8" t="s">
        <v>132</v>
      </c>
      <c r="G3" s="8" t="s">
        <v>133</v>
      </c>
      <c r="H3" s="8" t="s">
        <v>134</v>
      </c>
      <c r="I3" s="8" t="s">
        <v>135</v>
      </c>
      <c r="J3" s="8" t="s">
        <v>136</v>
      </c>
      <c r="K3" s="8" t="s">
        <v>137</v>
      </c>
      <c r="L3" s="8" t="s">
        <v>138</v>
      </c>
      <c r="N3" s="8" t="s">
        <v>141</v>
      </c>
      <c r="O3" s="8" t="s">
        <v>143</v>
      </c>
      <c r="P3" s="8" t="s">
        <v>140</v>
      </c>
      <c r="Q3" s="8" t="s">
        <v>143</v>
      </c>
      <c r="R3" s="8" t="s">
        <v>149</v>
      </c>
      <c r="S3" s="8" t="s">
        <v>143</v>
      </c>
      <c r="T3" s="8"/>
      <c r="U3" s="8" t="s">
        <v>139</v>
      </c>
      <c r="V3" s="8" t="s">
        <v>144</v>
      </c>
    </row>
    <row r="4" spans="1:22" x14ac:dyDescent="0.25">
      <c r="B4" s="8" t="s">
        <v>139</v>
      </c>
      <c r="C4" s="8"/>
      <c r="D4" s="8"/>
      <c r="E4" s="8"/>
      <c r="F4" s="8"/>
      <c r="G4" s="8"/>
      <c r="H4" s="8"/>
      <c r="I4" s="8"/>
      <c r="J4" s="8"/>
      <c r="K4" s="8"/>
      <c r="L4" s="8"/>
      <c r="N4" s="8"/>
      <c r="O4" s="8"/>
      <c r="P4" s="8"/>
      <c r="Q4" s="8"/>
      <c r="R4" s="8"/>
      <c r="S4" s="8"/>
      <c r="T4" s="121"/>
    </row>
    <row r="5" spans="1:22" x14ac:dyDescent="0.25">
      <c r="B5" s="8" t="s">
        <v>129</v>
      </c>
      <c r="C5" s="8">
        <v>4877</v>
      </c>
      <c r="D5" s="8">
        <v>4575</v>
      </c>
      <c r="E5" s="8">
        <v>519</v>
      </c>
      <c r="F5" s="8">
        <v>122</v>
      </c>
      <c r="G5" s="8">
        <v>76</v>
      </c>
      <c r="H5" s="8">
        <v>36</v>
      </c>
      <c r="I5" s="8">
        <v>18</v>
      </c>
      <c r="J5" s="8">
        <v>7</v>
      </c>
      <c r="K5" s="8">
        <v>7</v>
      </c>
      <c r="L5" s="8">
        <v>3</v>
      </c>
      <c r="N5" s="8">
        <f>SUM(H5:L5)</f>
        <v>71</v>
      </c>
      <c r="O5" s="141">
        <f>(SUM($C5:$L5)-N5)/SUM($C5:$L5)</f>
        <v>0.99306640624999998</v>
      </c>
      <c r="P5" s="8">
        <f>SUM(I5:L5)</f>
        <v>35</v>
      </c>
      <c r="Q5" s="141">
        <f>(SUM($C5:$L5)-P5)/SUM($C5:$L5)</f>
        <v>0.99658203125</v>
      </c>
      <c r="R5" s="8">
        <f>SUM(J5:L5)</f>
        <v>17</v>
      </c>
      <c r="S5" s="141">
        <f t="shared" ref="S5:S14" si="0">(SUM($C5:$L5)-R5)/SUM($C5:$L5)</f>
        <v>0.99833984374999996</v>
      </c>
      <c r="T5" s="142"/>
      <c r="U5" t="s">
        <v>129</v>
      </c>
      <c r="V5">
        <v>10240</v>
      </c>
    </row>
    <row r="6" spans="1:22" x14ac:dyDescent="0.25">
      <c r="B6" s="8" t="s">
        <v>130</v>
      </c>
      <c r="C6" s="8">
        <v>806</v>
      </c>
      <c r="D6" s="8">
        <v>33176</v>
      </c>
      <c r="E6" s="8">
        <v>5384</v>
      </c>
      <c r="F6" s="8">
        <v>779</v>
      </c>
      <c r="G6" s="8">
        <v>544</v>
      </c>
      <c r="H6" s="8">
        <v>218</v>
      </c>
      <c r="I6" s="8">
        <v>98</v>
      </c>
      <c r="J6" s="8">
        <v>48</v>
      </c>
      <c r="K6" s="8">
        <v>24</v>
      </c>
      <c r="L6" s="8">
        <v>9</v>
      </c>
      <c r="N6" s="8">
        <f t="shared" ref="N6:N14" si="1">SUM(H6:L6)</f>
        <v>397</v>
      </c>
      <c r="O6" s="141">
        <f t="shared" ref="O6:Q14" si="2">(SUM($C6:$L6)-N6)/SUM($C6:$L6)</f>
        <v>0.99033734118677896</v>
      </c>
      <c r="P6" s="8">
        <f t="shared" ref="P6:P14" si="3">SUM(I6:L6)</f>
        <v>179</v>
      </c>
      <c r="Q6" s="141">
        <f t="shared" si="2"/>
        <v>0.99564328481721265</v>
      </c>
      <c r="R6" s="8">
        <f t="shared" ref="R6:R14" si="4">SUM(J6:L6)</f>
        <v>81</v>
      </c>
      <c r="S6" s="141">
        <f t="shared" si="0"/>
        <v>0.99802852553181132</v>
      </c>
      <c r="T6" s="142"/>
      <c r="U6" t="s">
        <v>130</v>
      </c>
      <c r="V6">
        <v>41086</v>
      </c>
    </row>
    <row r="7" spans="1:22" x14ac:dyDescent="0.25">
      <c r="B7" s="8" t="s">
        <v>131</v>
      </c>
      <c r="C7" s="8">
        <v>8</v>
      </c>
      <c r="D7" s="8">
        <v>5091</v>
      </c>
      <c r="E7" s="8">
        <v>6311</v>
      </c>
      <c r="F7" s="8">
        <v>1311</v>
      </c>
      <c r="G7" s="8">
        <v>814</v>
      </c>
      <c r="H7" s="8">
        <v>296</v>
      </c>
      <c r="I7" s="8">
        <v>148</v>
      </c>
      <c r="J7" s="8">
        <v>59</v>
      </c>
      <c r="K7" s="8">
        <v>25</v>
      </c>
      <c r="L7" s="8">
        <v>7</v>
      </c>
      <c r="N7" s="8">
        <f t="shared" si="1"/>
        <v>535</v>
      </c>
      <c r="O7" s="141">
        <f t="shared" si="2"/>
        <v>0.96197583511016349</v>
      </c>
      <c r="P7" s="8">
        <f t="shared" si="3"/>
        <v>239</v>
      </c>
      <c r="Q7" s="141">
        <f t="shared" si="2"/>
        <v>0.98301350390902631</v>
      </c>
      <c r="R7" s="8">
        <f t="shared" si="4"/>
        <v>91</v>
      </c>
      <c r="S7" s="141">
        <f t="shared" si="0"/>
        <v>0.99353233830845766</v>
      </c>
      <c r="T7" s="142"/>
      <c r="U7" t="s">
        <v>131</v>
      </c>
      <c r="V7">
        <v>14070</v>
      </c>
    </row>
    <row r="8" spans="1:22" x14ac:dyDescent="0.25">
      <c r="B8" s="8" t="s">
        <v>132</v>
      </c>
      <c r="C8" s="8">
        <v>0</v>
      </c>
      <c r="D8" s="8">
        <v>553</v>
      </c>
      <c r="E8" s="8">
        <v>1344</v>
      </c>
      <c r="F8" s="8">
        <v>905</v>
      </c>
      <c r="G8" s="8">
        <v>728</v>
      </c>
      <c r="H8" s="8">
        <v>264</v>
      </c>
      <c r="I8" s="8">
        <v>116</v>
      </c>
      <c r="J8" s="8">
        <v>53</v>
      </c>
      <c r="K8" s="8">
        <v>22</v>
      </c>
      <c r="L8" s="8">
        <v>6</v>
      </c>
      <c r="N8" s="8">
        <f t="shared" si="1"/>
        <v>461</v>
      </c>
      <c r="O8" s="141">
        <f t="shared" si="2"/>
        <v>0.88449010273114503</v>
      </c>
      <c r="P8" s="8">
        <f t="shared" si="3"/>
        <v>197</v>
      </c>
      <c r="Q8" s="141">
        <f t="shared" si="2"/>
        <v>0.9506389376096217</v>
      </c>
      <c r="R8" s="8">
        <f t="shared" si="4"/>
        <v>81</v>
      </c>
      <c r="S8" s="141">
        <f t="shared" si="0"/>
        <v>0.97970433475319474</v>
      </c>
      <c r="T8" s="142"/>
      <c r="U8" t="s">
        <v>132</v>
      </c>
      <c r="V8">
        <v>3991</v>
      </c>
    </row>
    <row r="9" spans="1:22" x14ac:dyDescent="0.25">
      <c r="B9" s="8" t="s">
        <v>133</v>
      </c>
      <c r="C9" s="8">
        <v>1</v>
      </c>
      <c r="D9" s="8">
        <v>260</v>
      </c>
      <c r="E9" s="8">
        <v>642</v>
      </c>
      <c r="F9" s="8">
        <v>640</v>
      </c>
      <c r="G9" s="8">
        <v>1283</v>
      </c>
      <c r="H9" s="8">
        <v>653</v>
      </c>
      <c r="I9" s="8">
        <v>289</v>
      </c>
      <c r="J9" s="8">
        <v>129</v>
      </c>
      <c r="K9" s="8">
        <v>36</v>
      </c>
      <c r="L9" s="8">
        <v>11</v>
      </c>
      <c r="N9" s="8">
        <f t="shared" si="1"/>
        <v>1118</v>
      </c>
      <c r="O9" s="141">
        <f t="shared" si="2"/>
        <v>0.71653144016227177</v>
      </c>
      <c r="P9" s="8">
        <f t="shared" si="3"/>
        <v>465</v>
      </c>
      <c r="Q9" s="141">
        <f t="shared" si="2"/>
        <v>0.88209939148073024</v>
      </c>
      <c r="R9" s="8">
        <f t="shared" si="4"/>
        <v>176</v>
      </c>
      <c r="S9" s="141">
        <f t="shared" si="0"/>
        <v>0.95537525354969577</v>
      </c>
      <c r="T9" s="142"/>
      <c r="U9" t="s">
        <v>133</v>
      </c>
      <c r="V9">
        <v>3944</v>
      </c>
    </row>
    <row r="10" spans="1:22" x14ac:dyDescent="0.25">
      <c r="B10" s="8" t="s">
        <v>134</v>
      </c>
      <c r="C10" s="8">
        <v>0</v>
      </c>
      <c r="D10" s="8">
        <v>59</v>
      </c>
      <c r="E10" s="8">
        <v>132</v>
      </c>
      <c r="F10" s="8">
        <v>146</v>
      </c>
      <c r="G10" s="8">
        <v>393</v>
      </c>
      <c r="H10" s="8">
        <v>793</v>
      </c>
      <c r="I10" s="8">
        <v>469</v>
      </c>
      <c r="J10" s="8">
        <v>148</v>
      </c>
      <c r="K10" s="8">
        <v>51</v>
      </c>
      <c r="L10" s="8">
        <v>13</v>
      </c>
      <c r="N10" s="8">
        <f t="shared" si="1"/>
        <v>1474</v>
      </c>
      <c r="O10" s="141">
        <f t="shared" si="2"/>
        <v>0.33121597096188748</v>
      </c>
      <c r="P10" s="8">
        <f t="shared" si="3"/>
        <v>681</v>
      </c>
      <c r="Q10" s="141">
        <f t="shared" si="2"/>
        <v>0.69101633393829398</v>
      </c>
      <c r="R10" s="8">
        <f t="shared" si="4"/>
        <v>212</v>
      </c>
      <c r="S10" s="141">
        <f t="shared" si="0"/>
        <v>0.90381125226860259</v>
      </c>
      <c r="T10" s="142"/>
      <c r="U10" t="s">
        <v>134</v>
      </c>
      <c r="V10">
        <v>2204</v>
      </c>
    </row>
    <row r="11" spans="1:22" x14ac:dyDescent="0.25">
      <c r="B11" s="8" t="s">
        <v>135</v>
      </c>
      <c r="C11" s="8">
        <v>0</v>
      </c>
      <c r="D11" s="8">
        <v>21</v>
      </c>
      <c r="E11" s="8">
        <v>40</v>
      </c>
      <c r="F11" s="8">
        <v>40</v>
      </c>
      <c r="G11" s="8">
        <v>143</v>
      </c>
      <c r="H11" s="8">
        <v>273</v>
      </c>
      <c r="I11" s="8">
        <v>712</v>
      </c>
      <c r="J11" s="8">
        <v>341</v>
      </c>
      <c r="K11" s="8">
        <v>80</v>
      </c>
      <c r="L11" s="8">
        <v>20</v>
      </c>
      <c r="N11" s="8">
        <f t="shared" si="1"/>
        <v>1426</v>
      </c>
      <c r="O11" s="141">
        <f t="shared" si="2"/>
        <v>0.14610778443113773</v>
      </c>
      <c r="P11" s="8">
        <f t="shared" si="3"/>
        <v>1153</v>
      </c>
      <c r="Q11" s="141">
        <f t="shared" si="2"/>
        <v>0.30958083832335331</v>
      </c>
      <c r="R11" s="8">
        <f t="shared" si="4"/>
        <v>441</v>
      </c>
      <c r="S11" s="141">
        <f t="shared" si="0"/>
        <v>0.73592814371257487</v>
      </c>
      <c r="T11" s="142"/>
      <c r="U11" t="s">
        <v>135</v>
      </c>
      <c r="V11">
        <v>1670</v>
      </c>
    </row>
    <row r="12" spans="1:22" x14ac:dyDescent="0.25">
      <c r="B12" s="8" t="s">
        <v>136</v>
      </c>
      <c r="C12" s="8">
        <v>0</v>
      </c>
      <c r="D12" s="8">
        <v>9</v>
      </c>
      <c r="E12" s="8">
        <v>16</v>
      </c>
      <c r="F12" s="8">
        <v>10</v>
      </c>
      <c r="G12" s="8">
        <v>45</v>
      </c>
      <c r="H12" s="8">
        <v>65</v>
      </c>
      <c r="I12" s="8">
        <v>176</v>
      </c>
      <c r="J12" s="8">
        <v>550</v>
      </c>
      <c r="K12" s="8">
        <v>215</v>
      </c>
      <c r="L12" s="8">
        <v>20</v>
      </c>
      <c r="N12" s="8">
        <f t="shared" si="1"/>
        <v>1026</v>
      </c>
      <c r="O12" s="141">
        <f t="shared" si="2"/>
        <v>7.2332730560578665E-2</v>
      </c>
      <c r="P12" s="8">
        <f t="shared" si="3"/>
        <v>961</v>
      </c>
      <c r="Q12" s="141">
        <f t="shared" si="2"/>
        <v>0.13110307414104883</v>
      </c>
      <c r="R12" s="8">
        <f t="shared" si="4"/>
        <v>785</v>
      </c>
      <c r="S12" s="141">
        <f t="shared" si="0"/>
        <v>0.29023508137432186</v>
      </c>
      <c r="T12" s="142"/>
      <c r="U12" t="s">
        <v>136</v>
      </c>
      <c r="V12">
        <v>1106</v>
      </c>
    </row>
    <row r="13" spans="1:22" x14ac:dyDescent="0.25">
      <c r="B13" s="8" t="s">
        <v>137</v>
      </c>
      <c r="C13" s="8">
        <v>0</v>
      </c>
      <c r="D13" s="8">
        <v>4</v>
      </c>
      <c r="E13" s="8">
        <v>3</v>
      </c>
      <c r="F13" s="8">
        <v>5</v>
      </c>
      <c r="G13" s="8">
        <v>5</v>
      </c>
      <c r="H13" s="8">
        <v>16</v>
      </c>
      <c r="I13" s="8">
        <v>28</v>
      </c>
      <c r="J13" s="8">
        <v>123</v>
      </c>
      <c r="K13" s="8">
        <v>537</v>
      </c>
      <c r="L13" s="8">
        <v>82</v>
      </c>
      <c r="N13" s="8">
        <f t="shared" si="1"/>
        <v>786</v>
      </c>
      <c r="O13" s="141">
        <f t="shared" si="2"/>
        <v>2.1170610211706103E-2</v>
      </c>
      <c r="P13" s="8">
        <f t="shared" si="3"/>
        <v>770</v>
      </c>
      <c r="Q13" s="141">
        <f t="shared" si="2"/>
        <v>4.1095890410958902E-2</v>
      </c>
      <c r="R13" s="8">
        <f t="shared" si="4"/>
        <v>742</v>
      </c>
      <c r="S13" s="141">
        <f t="shared" si="0"/>
        <v>7.5965130759651306E-2</v>
      </c>
      <c r="T13" s="142"/>
      <c r="U13" t="s">
        <v>137</v>
      </c>
      <c r="V13">
        <v>803</v>
      </c>
    </row>
    <row r="14" spans="1:22" x14ac:dyDescent="0.25">
      <c r="B14" s="8" t="s">
        <v>138</v>
      </c>
      <c r="C14" s="8">
        <v>0</v>
      </c>
      <c r="D14" s="8">
        <v>1</v>
      </c>
      <c r="E14" s="8">
        <v>0</v>
      </c>
      <c r="F14" s="8">
        <v>0</v>
      </c>
      <c r="G14" s="8">
        <v>1</v>
      </c>
      <c r="H14" s="8">
        <v>6</v>
      </c>
      <c r="I14" s="8">
        <v>4</v>
      </c>
      <c r="J14" s="8">
        <v>4</v>
      </c>
      <c r="K14" s="8">
        <v>55</v>
      </c>
      <c r="L14" s="8">
        <v>315</v>
      </c>
      <c r="N14" s="8">
        <f t="shared" si="1"/>
        <v>384</v>
      </c>
      <c r="O14" s="141">
        <f t="shared" si="2"/>
        <v>5.1813471502590676E-3</v>
      </c>
      <c r="P14" s="8">
        <f t="shared" si="3"/>
        <v>378</v>
      </c>
      <c r="Q14" s="141">
        <f t="shared" si="2"/>
        <v>2.072538860103627E-2</v>
      </c>
      <c r="R14" s="8">
        <f t="shared" si="4"/>
        <v>374</v>
      </c>
      <c r="S14" s="141">
        <f t="shared" si="0"/>
        <v>3.1088082901554404E-2</v>
      </c>
      <c r="T14" s="142"/>
      <c r="U14" t="s">
        <v>138</v>
      </c>
      <c r="V14">
        <v>386</v>
      </c>
    </row>
    <row r="15" spans="1:22" x14ac:dyDescent="0.25"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N15" s="121"/>
      <c r="O15" s="142"/>
      <c r="P15" s="121"/>
      <c r="Q15" s="142"/>
      <c r="R15" s="121"/>
      <c r="S15" s="142"/>
      <c r="T15" s="142"/>
    </row>
    <row r="16" spans="1:22" x14ac:dyDescent="0.25"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N16" s="121"/>
      <c r="O16" s="142"/>
      <c r="P16" s="121"/>
      <c r="Q16" s="142"/>
      <c r="R16" s="121"/>
      <c r="S16" s="142"/>
      <c r="T16" s="142"/>
    </row>
    <row r="17" spans="2:20" x14ac:dyDescent="0.25">
      <c r="B17" s="8" t="s">
        <v>145</v>
      </c>
      <c r="C17" s="8" t="s">
        <v>129</v>
      </c>
      <c r="D17" s="8" t="s">
        <v>130</v>
      </c>
      <c r="E17" s="8" t="s">
        <v>131</v>
      </c>
      <c r="F17" s="8" t="s">
        <v>132</v>
      </c>
      <c r="G17" s="8" t="s">
        <v>133</v>
      </c>
      <c r="H17" s="8" t="s">
        <v>134</v>
      </c>
      <c r="I17" s="8" t="s">
        <v>135</v>
      </c>
      <c r="J17" s="8" t="s">
        <v>136</v>
      </c>
      <c r="K17" s="8" t="s">
        <v>137</v>
      </c>
      <c r="L17" s="8" t="s">
        <v>138</v>
      </c>
      <c r="N17" s="121"/>
      <c r="O17" s="142"/>
      <c r="P17" s="121"/>
      <c r="Q17" s="142"/>
      <c r="R17" s="121"/>
      <c r="S17" s="142"/>
      <c r="T17" s="142"/>
    </row>
    <row r="18" spans="2:20" x14ac:dyDescent="0.25">
      <c r="B18" s="8" t="s">
        <v>139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N18" s="121"/>
      <c r="O18" s="142"/>
      <c r="P18" s="121"/>
      <c r="Q18" s="142"/>
      <c r="R18" s="121"/>
      <c r="S18" s="142"/>
      <c r="T18" s="142"/>
    </row>
    <row r="19" spans="2:20" x14ac:dyDescent="0.25">
      <c r="B19" s="8" t="s">
        <v>129</v>
      </c>
      <c r="C19" s="143">
        <f>C5/SUM($C5:$L5)</f>
        <v>0.47626953124999999</v>
      </c>
      <c r="D19" s="143">
        <f t="shared" ref="D19:L19" si="5">D5/SUM($C5:$L5)</f>
        <v>0.44677734375</v>
      </c>
      <c r="E19" s="143">
        <f t="shared" si="5"/>
        <v>5.0683593749999999E-2</v>
      </c>
      <c r="F19" s="143">
        <f t="shared" si="5"/>
        <v>1.1914062499999999E-2</v>
      </c>
      <c r="G19" s="143">
        <f t="shared" si="5"/>
        <v>7.4218749999999997E-3</v>
      </c>
      <c r="H19" s="143">
        <f t="shared" si="5"/>
        <v>3.5156250000000001E-3</v>
      </c>
      <c r="I19" s="143">
        <f t="shared" si="5"/>
        <v>1.7578125E-3</v>
      </c>
      <c r="J19" s="143">
        <f t="shared" si="5"/>
        <v>6.8359374999999996E-4</v>
      </c>
      <c r="K19" s="143">
        <f t="shared" si="5"/>
        <v>6.8359374999999996E-4</v>
      </c>
      <c r="L19" s="143">
        <f t="shared" si="5"/>
        <v>2.9296874999999999E-4</v>
      </c>
      <c r="N19" s="121"/>
      <c r="O19" s="142"/>
      <c r="P19" s="121"/>
      <c r="Q19" s="142"/>
      <c r="R19" s="121"/>
      <c r="S19" s="142"/>
      <c r="T19" s="142"/>
    </row>
    <row r="20" spans="2:20" x14ac:dyDescent="0.25">
      <c r="B20" s="8" t="s">
        <v>130</v>
      </c>
      <c r="C20" s="143">
        <f t="shared" ref="C20:L20" si="6">C6/SUM($C6:$L6)</f>
        <v>1.9617387918025603E-2</v>
      </c>
      <c r="D20" s="143">
        <f t="shared" si="6"/>
        <v>0.80747699946453777</v>
      </c>
      <c r="E20" s="143">
        <f t="shared" si="6"/>
        <v>0.13104220415713383</v>
      </c>
      <c r="F20" s="143">
        <f t="shared" si="6"/>
        <v>1.8960229761962714E-2</v>
      </c>
      <c r="G20" s="143">
        <f t="shared" si="6"/>
        <v>1.3240519885119019E-2</v>
      </c>
      <c r="H20" s="143">
        <f t="shared" si="6"/>
        <v>5.3059436304337248E-3</v>
      </c>
      <c r="I20" s="143">
        <f t="shared" si="6"/>
        <v>2.3852407145986466E-3</v>
      </c>
      <c r="J20" s="143">
        <f t="shared" si="6"/>
        <v>1.1682811663340311E-3</v>
      </c>
      <c r="K20" s="143">
        <f t="shared" si="6"/>
        <v>5.8414058316701557E-4</v>
      </c>
      <c r="L20" s="143">
        <f t="shared" si="6"/>
        <v>2.1905271868763083E-4</v>
      </c>
      <c r="N20" s="121"/>
      <c r="O20" s="142"/>
      <c r="P20" s="121"/>
      <c r="Q20" s="142"/>
      <c r="R20" s="121"/>
      <c r="S20" s="142"/>
      <c r="T20" s="142"/>
    </row>
    <row r="21" spans="2:20" x14ac:dyDescent="0.25">
      <c r="B21" s="8" t="s">
        <v>131</v>
      </c>
      <c r="C21" s="143">
        <f t="shared" ref="C21:L21" si="7">C7/SUM($C7:$L7)</f>
        <v>5.6858564321250889E-4</v>
      </c>
      <c r="D21" s="143">
        <f t="shared" si="7"/>
        <v>0.36183368869936033</v>
      </c>
      <c r="E21" s="143">
        <f t="shared" si="7"/>
        <v>0.44854299928926794</v>
      </c>
      <c r="F21" s="143">
        <f t="shared" si="7"/>
        <v>9.3176972281449888E-2</v>
      </c>
      <c r="G21" s="143">
        <f t="shared" si="7"/>
        <v>5.7853589196872779E-2</v>
      </c>
      <c r="H21" s="143">
        <f t="shared" si="7"/>
        <v>2.1037668798862829E-2</v>
      </c>
      <c r="I21" s="143">
        <f t="shared" si="7"/>
        <v>1.0518834399431415E-2</v>
      </c>
      <c r="J21" s="143">
        <f t="shared" si="7"/>
        <v>4.1933191186922531E-3</v>
      </c>
      <c r="K21" s="143">
        <f t="shared" si="7"/>
        <v>1.7768301350390902E-3</v>
      </c>
      <c r="L21" s="143">
        <f t="shared" si="7"/>
        <v>4.9751243781094524E-4</v>
      </c>
      <c r="N21" s="121"/>
      <c r="O21" s="142"/>
      <c r="P21" s="121"/>
      <c r="Q21" s="142"/>
      <c r="R21" s="121"/>
      <c r="S21" s="142"/>
      <c r="T21" s="142"/>
    </row>
    <row r="22" spans="2:20" x14ac:dyDescent="0.25">
      <c r="B22" s="8" t="s">
        <v>132</v>
      </c>
      <c r="C22" s="143">
        <f t="shared" ref="C22:L22" si="8">C8/SUM($C8:$L8)</f>
        <v>0</v>
      </c>
      <c r="D22" s="143">
        <f t="shared" si="8"/>
        <v>0.13856176396893008</v>
      </c>
      <c r="E22" s="143">
        <f t="shared" si="8"/>
        <v>0.33675770483588074</v>
      </c>
      <c r="F22" s="143">
        <f t="shared" si="8"/>
        <v>0.22676021047356551</v>
      </c>
      <c r="G22" s="143">
        <f t="shared" si="8"/>
        <v>0.18241042345276873</v>
      </c>
      <c r="H22" s="143">
        <f t="shared" si="8"/>
        <v>6.6148834878476573E-2</v>
      </c>
      <c r="I22" s="143">
        <f t="shared" si="8"/>
        <v>2.9065397143573039E-2</v>
      </c>
      <c r="J22" s="143">
        <f t="shared" si="8"/>
        <v>1.327987972939113E-2</v>
      </c>
      <c r="K22" s="143">
        <f t="shared" si="8"/>
        <v>5.5124029065397144E-3</v>
      </c>
      <c r="L22" s="143">
        <f t="shared" si="8"/>
        <v>1.5033826108744675E-3</v>
      </c>
      <c r="N22" s="121"/>
      <c r="O22" s="142"/>
      <c r="P22" s="121"/>
      <c r="Q22" s="142"/>
      <c r="R22" s="121"/>
      <c r="S22" s="142"/>
      <c r="T22" s="142"/>
    </row>
    <row r="23" spans="2:20" x14ac:dyDescent="0.25">
      <c r="B23" s="8" t="s">
        <v>133</v>
      </c>
      <c r="C23" s="143">
        <f t="shared" ref="C23:L23" si="9">C9/SUM($C9:$L9)</f>
        <v>2.5354969574036511E-4</v>
      </c>
      <c r="D23" s="143">
        <f t="shared" si="9"/>
        <v>6.5922920892494935E-2</v>
      </c>
      <c r="E23" s="143">
        <f t="shared" si="9"/>
        <v>0.16277890466531439</v>
      </c>
      <c r="F23" s="143">
        <f t="shared" si="9"/>
        <v>0.16227180527383367</v>
      </c>
      <c r="G23" s="143">
        <f t="shared" si="9"/>
        <v>0.32530425963488846</v>
      </c>
      <c r="H23" s="143">
        <f t="shared" si="9"/>
        <v>0.16556795131845842</v>
      </c>
      <c r="I23" s="143">
        <f t="shared" si="9"/>
        <v>7.3275862068965511E-2</v>
      </c>
      <c r="J23" s="143">
        <f t="shared" si="9"/>
        <v>3.2707910750507101E-2</v>
      </c>
      <c r="K23" s="143">
        <f t="shared" si="9"/>
        <v>9.1277890466531439E-3</v>
      </c>
      <c r="L23" s="143">
        <f t="shared" si="9"/>
        <v>2.7890466531440162E-3</v>
      </c>
      <c r="N23" s="121"/>
      <c r="O23" s="142"/>
      <c r="P23" s="121"/>
      <c r="Q23" s="142"/>
      <c r="R23" s="121"/>
      <c r="S23" s="142"/>
      <c r="T23" s="142"/>
    </row>
    <row r="24" spans="2:20" x14ac:dyDescent="0.25">
      <c r="B24" s="8" t="s">
        <v>134</v>
      </c>
      <c r="C24" s="143">
        <f t="shared" ref="C24:L24" si="10">C10/SUM($C10:$L10)</f>
        <v>0</v>
      </c>
      <c r="D24" s="143">
        <f t="shared" si="10"/>
        <v>2.6769509981851181E-2</v>
      </c>
      <c r="E24" s="143">
        <f t="shared" si="10"/>
        <v>5.9891107078039928E-2</v>
      </c>
      <c r="F24" s="143">
        <f t="shared" si="10"/>
        <v>6.6243194192377494E-2</v>
      </c>
      <c r="G24" s="143">
        <f t="shared" si="10"/>
        <v>0.17831215970961886</v>
      </c>
      <c r="H24" s="143">
        <f t="shared" si="10"/>
        <v>0.35980036297640655</v>
      </c>
      <c r="I24" s="143">
        <f>I10/SUM($C10:$L10)</f>
        <v>0.21279491833030853</v>
      </c>
      <c r="J24" s="143">
        <f t="shared" si="10"/>
        <v>6.7150635208711437E-2</v>
      </c>
      <c r="K24" s="143">
        <f t="shared" si="10"/>
        <v>2.3139745916515426E-2</v>
      </c>
      <c r="L24" s="143">
        <f t="shared" si="10"/>
        <v>5.8983666061705993E-3</v>
      </c>
      <c r="N24" s="121"/>
      <c r="O24" s="142"/>
      <c r="P24" s="121"/>
      <c r="Q24" s="142"/>
      <c r="R24" s="121"/>
      <c r="S24" s="142"/>
      <c r="T24" s="142"/>
    </row>
    <row r="25" spans="2:20" x14ac:dyDescent="0.25">
      <c r="B25" s="8" t="s">
        <v>135</v>
      </c>
      <c r="C25" s="143">
        <f t="shared" ref="C25:L25" si="11">C11/SUM($C11:$L11)</f>
        <v>0</v>
      </c>
      <c r="D25" s="143">
        <f t="shared" si="11"/>
        <v>1.2574850299401197E-2</v>
      </c>
      <c r="E25" s="143">
        <f t="shared" si="11"/>
        <v>2.3952095808383235E-2</v>
      </c>
      <c r="F25" s="143">
        <f t="shared" si="11"/>
        <v>2.3952095808383235E-2</v>
      </c>
      <c r="G25" s="143">
        <f t="shared" si="11"/>
        <v>8.562874251497006E-2</v>
      </c>
      <c r="H25" s="143">
        <f t="shared" si="11"/>
        <v>0.16347305389221556</v>
      </c>
      <c r="I25" s="143">
        <f t="shared" si="11"/>
        <v>0.42634730538922155</v>
      </c>
      <c r="J25" s="143">
        <f t="shared" si="11"/>
        <v>0.20419161676646708</v>
      </c>
      <c r="K25" s="143">
        <f t="shared" si="11"/>
        <v>4.790419161676647E-2</v>
      </c>
      <c r="L25" s="143">
        <f t="shared" si="11"/>
        <v>1.1976047904191617E-2</v>
      </c>
      <c r="N25" s="121"/>
      <c r="O25" s="142"/>
      <c r="P25" s="121"/>
      <c r="Q25" s="142"/>
      <c r="R25" s="121"/>
      <c r="S25" s="142"/>
      <c r="T25" s="142"/>
    </row>
    <row r="26" spans="2:20" x14ac:dyDescent="0.25">
      <c r="B26" s="8" t="s">
        <v>136</v>
      </c>
      <c r="C26" s="143">
        <f t="shared" ref="C26:L26" si="12">C12/SUM($C12:$L12)</f>
        <v>0</v>
      </c>
      <c r="D26" s="143">
        <f t="shared" si="12"/>
        <v>8.1374321880651E-3</v>
      </c>
      <c r="E26" s="143">
        <f t="shared" si="12"/>
        <v>1.4466546112115732E-2</v>
      </c>
      <c r="F26" s="143">
        <f t="shared" si="12"/>
        <v>9.0415913200723331E-3</v>
      </c>
      <c r="G26" s="143">
        <f t="shared" si="12"/>
        <v>4.0687160940325498E-2</v>
      </c>
      <c r="H26" s="143">
        <f t="shared" si="12"/>
        <v>5.8770343580470161E-2</v>
      </c>
      <c r="I26" s="143">
        <f t="shared" si="12"/>
        <v>0.15913200723327306</v>
      </c>
      <c r="J26" s="143">
        <f t="shared" si="12"/>
        <v>0.49728752260397829</v>
      </c>
      <c r="K26" s="143">
        <f t="shared" si="12"/>
        <v>0.19439421338155516</v>
      </c>
      <c r="L26" s="143">
        <f t="shared" si="12"/>
        <v>1.8083182640144666E-2</v>
      </c>
      <c r="N26" s="121"/>
      <c r="O26" s="142"/>
      <c r="P26" s="121"/>
      <c r="Q26" s="142"/>
      <c r="R26" s="121"/>
      <c r="S26" s="142"/>
      <c r="T26" s="142"/>
    </row>
    <row r="27" spans="2:20" x14ac:dyDescent="0.25">
      <c r="B27" s="8" t="s">
        <v>137</v>
      </c>
      <c r="C27" s="143">
        <f t="shared" ref="C27:L27" si="13">C13/SUM($C13:$L13)</f>
        <v>0</v>
      </c>
      <c r="D27" s="143">
        <f t="shared" si="13"/>
        <v>4.9813200498132005E-3</v>
      </c>
      <c r="E27" s="143">
        <f t="shared" si="13"/>
        <v>3.7359900373599006E-3</v>
      </c>
      <c r="F27" s="143">
        <f t="shared" si="13"/>
        <v>6.2266500622665004E-3</v>
      </c>
      <c r="G27" s="143">
        <f t="shared" si="13"/>
        <v>6.2266500622665004E-3</v>
      </c>
      <c r="H27" s="143">
        <f t="shared" si="13"/>
        <v>1.9925280199252802E-2</v>
      </c>
      <c r="I27" s="143">
        <f t="shared" si="13"/>
        <v>3.4869240348692404E-2</v>
      </c>
      <c r="J27" s="143">
        <f t="shared" si="13"/>
        <v>0.15317559153175592</v>
      </c>
      <c r="K27" s="143">
        <f t="shared" si="13"/>
        <v>0.66874221668742218</v>
      </c>
      <c r="L27" s="143">
        <f t="shared" si="13"/>
        <v>0.10211706102117062</v>
      </c>
      <c r="N27" s="121"/>
      <c r="O27" s="142"/>
      <c r="P27" s="121"/>
      <c r="Q27" s="142"/>
      <c r="R27" s="121"/>
      <c r="S27" s="142"/>
      <c r="T27" s="142"/>
    </row>
    <row r="28" spans="2:20" x14ac:dyDescent="0.25">
      <c r="B28" s="8" t="s">
        <v>138</v>
      </c>
      <c r="C28" s="143">
        <f t="shared" ref="C28:L28" si="14">C14/SUM($C14:$L14)</f>
        <v>0</v>
      </c>
      <c r="D28" s="143">
        <f t="shared" si="14"/>
        <v>2.5906735751295338E-3</v>
      </c>
      <c r="E28" s="143">
        <f t="shared" si="14"/>
        <v>0</v>
      </c>
      <c r="F28" s="143">
        <f t="shared" si="14"/>
        <v>0</v>
      </c>
      <c r="G28" s="143">
        <f t="shared" si="14"/>
        <v>2.5906735751295338E-3</v>
      </c>
      <c r="H28" s="143">
        <f t="shared" si="14"/>
        <v>1.5544041450777202E-2</v>
      </c>
      <c r="I28" s="143">
        <f t="shared" si="14"/>
        <v>1.0362694300518135E-2</v>
      </c>
      <c r="J28" s="143">
        <f t="shared" si="14"/>
        <v>1.0362694300518135E-2</v>
      </c>
      <c r="K28" s="143">
        <f t="shared" si="14"/>
        <v>0.14248704663212436</v>
      </c>
      <c r="L28" s="143">
        <f t="shared" si="14"/>
        <v>0.81606217616580312</v>
      </c>
      <c r="N28" s="121"/>
      <c r="O28" s="142"/>
      <c r="P28" s="121"/>
      <c r="Q28" s="142"/>
      <c r="R28" s="121"/>
      <c r="S28" s="142"/>
      <c r="T28" s="142"/>
    </row>
    <row r="29" spans="2:20" x14ac:dyDescent="0.25"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N29" s="121"/>
      <c r="O29" s="142"/>
      <c r="P29" s="121"/>
      <c r="Q29" s="142"/>
      <c r="R29" s="121"/>
      <c r="S29" s="142"/>
      <c r="T29" s="142"/>
    </row>
    <row r="33" spans="2:22" x14ac:dyDescent="0.25">
      <c r="B33" s="8" t="s">
        <v>146</v>
      </c>
      <c r="C33" s="8" t="s">
        <v>129</v>
      </c>
      <c r="D33" s="8" t="s">
        <v>130</v>
      </c>
      <c r="E33" s="8" t="s">
        <v>131</v>
      </c>
      <c r="F33" s="8" t="s">
        <v>132</v>
      </c>
      <c r="G33" s="8" t="s">
        <v>133</v>
      </c>
      <c r="H33" s="8" t="s">
        <v>134</v>
      </c>
      <c r="I33" s="8" t="s">
        <v>135</v>
      </c>
      <c r="J33" s="8" t="s">
        <v>136</v>
      </c>
      <c r="K33" s="8" t="s">
        <v>137</v>
      </c>
      <c r="L33" s="8" t="s">
        <v>138</v>
      </c>
      <c r="N33" s="8" t="s">
        <v>141</v>
      </c>
      <c r="O33" s="8" t="s">
        <v>142</v>
      </c>
      <c r="P33" s="8" t="s">
        <v>140</v>
      </c>
      <c r="Q33" s="8" t="s">
        <v>142</v>
      </c>
      <c r="R33" s="8" t="s">
        <v>149</v>
      </c>
      <c r="S33" s="8" t="s">
        <v>143</v>
      </c>
      <c r="U33" s="8" t="s">
        <v>139</v>
      </c>
      <c r="V33" s="8" t="s">
        <v>144</v>
      </c>
    </row>
    <row r="34" spans="2:22" x14ac:dyDescent="0.25">
      <c r="B34" s="8" t="s">
        <v>139</v>
      </c>
      <c r="C34" s="8"/>
      <c r="D34" s="8"/>
      <c r="E34" s="8"/>
      <c r="F34" s="8"/>
      <c r="G34" s="8"/>
      <c r="H34" s="8"/>
      <c r="I34" s="8"/>
      <c r="J34" s="8"/>
      <c r="K34" s="8"/>
      <c r="L34" s="8"/>
      <c r="N34" s="8"/>
      <c r="O34" s="8"/>
      <c r="P34" s="8"/>
      <c r="Q34" s="8"/>
      <c r="R34" s="8"/>
      <c r="S34" s="8"/>
    </row>
    <row r="35" spans="2:22" x14ac:dyDescent="0.25">
      <c r="B35" s="8" t="s">
        <v>129</v>
      </c>
      <c r="C35" s="8">
        <v>4402</v>
      </c>
      <c r="D35" s="8">
        <v>4576</v>
      </c>
      <c r="E35" s="8">
        <v>794</v>
      </c>
      <c r="F35" s="8">
        <v>198</v>
      </c>
      <c r="G35" s="8">
        <v>124</v>
      </c>
      <c r="H35" s="8">
        <v>64</v>
      </c>
      <c r="I35" s="8">
        <v>40</v>
      </c>
      <c r="J35" s="8">
        <v>19</v>
      </c>
      <c r="K35" s="8">
        <v>19</v>
      </c>
      <c r="L35" s="8">
        <v>4</v>
      </c>
      <c r="N35" s="8">
        <f>SUM(H35:L35)</f>
        <v>146</v>
      </c>
      <c r="O35" s="141">
        <f t="shared" ref="O35:O44" si="15">(SUM($C35:$L35)-N35)/SUM($C35:$L35)</f>
        <v>0.98574218749999998</v>
      </c>
      <c r="P35" s="8">
        <f>SUM(I35:L35)</f>
        <v>82</v>
      </c>
      <c r="Q35" s="141">
        <f t="shared" ref="Q35:Q44" si="16">(SUM($C35:$L35)-P35)/SUM($C35:$L35)</f>
        <v>0.99199218749999996</v>
      </c>
      <c r="R35" s="8">
        <f>SUM(J35:L35)</f>
        <v>42</v>
      </c>
      <c r="S35" s="141">
        <f>(SUM($C35:$L35)-R35)/SUM($C35:$L35)</f>
        <v>0.99589843749999996</v>
      </c>
      <c r="U35" t="s">
        <v>129</v>
      </c>
      <c r="V35">
        <v>10240</v>
      </c>
    </row>
    <row r="36" spans="2:22" x14ac:dyDescent="0.25">
      <c r="B36" s="8" t="s">
        <v>130</v>
      </c>
      <c r="C36" s="8">
        <v>1821</v>
      </c>
      <c r="D36" s="8">
        <v>31690</v>
      </c>
      <c r="E36" s="8">
        <v>5632</v>
      </c>
      <c r="F36" s="8">
        <v>816</v>
      </c>
      <c r="G36" s="8">
        <v>507</v>
      </c>
      <c r="H36" s="8">
        <v>253</v>
      </c>
      <c r="I36" s="8">
        <v>182</v>
      </c>
      <c r="J36" s="8">
        <v>105</v>
      </c>
      <c r="K36" s="8">
        <v>59</v>
      </c>
      <c r="L36" s="8">
        <v>21</v>
      </c>
      <c r="N36" s="8">
        <f t="shared" ref="N36:N44" si="17">SUM(H36:L36)</f>
        <v>620</v>
      </c>
      <c r="O36" s="141">
        <f t="shared" si="15"/>
        <v>0.98490970160151881</v>
      </c>
      <c r="P36" s="8">
        <f t="shared" ref="P36:P44" si="18">SUM(I36:L36)</f>
        <v>367</v>
      </c>
      <c r="Q36" s="141">
        <f t="shared" si="16"/>
        <v>0.99106751691573769</v>
      </c>
      <c r="R36" s="8">
        <f t="shared" ref="R36:R44" si="19">SUM(J36:L36)</f>
        <v>185</v>
      </c>
      <c r="S36" s="141">
        <f t="shared" ref="S36:S44" si="20">(SUM($C36:$L36)-R36)/SUM($C36:$L36)</f>
        <v>0.99549724967142095</v>
      </c>
      <c r="U36" t="s">
        <v>130</v>
      </c>
      <c r="V36">
        <v>41086</v>
      </c>
    </row>
    <row r="37" spans="2:22" x14ac:dyDescent="0.25">
      <c r="B37" s="8" t="s">
        <v>131</v>
      </c>
      <c r="C37" s="8">
        <v>173</v>
      </c>
      <c r="D37" s="8">
        <v>5769</v>
      </c>
      <c r="E37" s="8">
        <v>5395</v>
      </c>
      <c r="F37" s="8">
        <v>1214</v>
      </c>
      <c r="G37" s="8">
        <v>745</v>
      </c>
      <c r="H37" s="8">
        <v>333</v>
      </c>
      <c r="I37" s="8">
        <v>243</v>
      </c>
      <c r="J37" s="8">
        <v>115</v>
      </c>
      <c r="K37" s="8">
        <v>65</v>
      </c>
      <c r="L37" s="8">
        <v>18</v>
      </c>
      <c r="N37" s="8">
        <f t="shared" si="17"/>
        <v>774</v>
      </c>
      <c r="O37" s="141">
        <f t="shared" si="15"/>
        <v>0.9449893390191898</v>
      </c>
      <c r="P37" s="8">
        <f t="shared" si="18"/>
        <v>441</v>
      </c>
      <c r="Q37" s="141">
        <f t="shared" si="16"/>
        <v>0.9686567164179104</v>
      </c>
      <c r="R37" s="8">
        <f t="shared" si="19"/>
        <v>198</v>
      </c>
      <c r="S37" s="141">
        <f t="shared" si="20"/>
        <v>0.98592750533049045</v>
      </c>
      <c r="U37" t="s">
        <v>131</v>
      </c>
      <c r="V37">
        <v>14070</v>
      </c>
    </row>
    <row r="38" spans="2:22" x14ac:dyDescent="0.25">
      <c r="B38" s="8" t="s">
        <v>132</v>
      </c>
      <c r="C38" s="8">
        <v>13</v>
      </c>
      <c r="D38" s="8">
        <v>767</v>
      </c>
      <c r="E38" s="8">
        <v>1279</v>
      </c>
      <c r="F38" s="8">
        <v>698</v>
      </c>
      <c r="G38" s="8">
        <v>605</v>
      </c>
      <c r="H38" s="8">
        <v>297</v>
      </c>
      <c r="I38" s="8">
        <v>184</v>
      </c>
      <c r="J38" s="8">
        <v>87</v>
      </c>
      <c r="K38" s="8">
        <v>45</v>
      </c>
      <c r="L38" s="8">
        <v>16</v>
      </c>
      <c r="N38" s="8">
        <f t="shared" si="17"/>
        <v>629</v>
      </c>
      <c r="O38" s="141">
        <f t="shared" si="15"/>
        <v>0.84239538962665994</v>
      </c>
      <c r="P38" s="8">
        <f t="shared" si="18"/>
        <v>332</v>
      </c>
      <c r="Q38" s="141">
        <f t="shared" si="16"/>
        <v>0.91681282886494608</v>
      </c>
      <c r="R38" s="8">
        <f t="shared" si="19"/>
        <v>148</v>
      </c>
      <c r="S38" s="141">
        <f t="shared" si="20"/>
        <v>0.96291656226509648</v>
      </c>
      <c r="U38" t="s">
        <v>132</v>
      </c>
      <c r="V38">
        <v>3991</v>
      </c>
    </row>
    <row r="39" spans="2:22" x14ac:dyDescent="0.25">
      <c r="B39" s="8" t="s">
        <v>133</v>
      </c>
      <c r="C39" s="8">
        <v>16</v>
      </c>
      <c r="D39" s="8">
        <v>388</v>
      </c>
      <c r="E39" s="8">
        <v>697</v>
      </c>
      <c r="F39" s="8">
        <v>546</v>
      </c>
      <c r="G39" s="8">
        <v>1024</v>
      </c>
      <c r="H39" s="8">
        <v>575</v>
      </c>
      <c r="I39" s="8">
        <v>389</v>
      </c>
      <c r="J39" s="8">
        <v>182</v>
      </c>
      <c r="K39" s="8">
        <v>87</v>
      </c>
      <c r="L39" s="8">
        <v>40</v>
      </c>
      <c r="N39" s="8">
        <f t="shared" si="17"/>
        <v>1273</v>
      </c>
      <c r="O39" s="141">
        <f t="shared" si="15"/>
        <v>0.67723123732251522</v>
      </c>
      <c r="P39" s="8">
        <f t="shared" si="18"/>
        <v>698</v>
      </c>
      <c r="Q39" s="141">
        <f t="shared" si="16"/>
        <v>0.82302231237322521</v>
      </c>
      <c r="R39" s="8">
        <f t="shared" si="19"/>
        <v>309</v>
      </c>
      <c r="S39" s="141">
        <f t="shared" si="20"/>
        <v>0.92165314401622722</v>
      </c>
      <c r="U39" t="s">
        <v>133</v>
      </c>
      <c r="V39">
        <v>3944</v>
      </c>
    </row>
    <row r="40" spans="2:22" x14ac:dyDescent="0.25">
      <c r="B40" s="8" t="s">
        <v>134</v>
      </c>
      <c r="C40" s="8">
        <v>5</v>
      </c>
      <c r="D40" s="8">
        <v>102</v>
      </c>
      <c r="E40" s="8">
        <v>166</v>
      </c>
      <c r="F40" s="8">
        <v>141</v>
      </c>
      <c r="G40" s="8">
        <v>421</v>
      </c>
      <c r="H40" s="8">
        <v>524</v>
      </c>
      <c r="I40" s="8">
        <v>490</v>
      </c>
      <c r="J40" s="8">
        <v>231</v>
      </c>
      <c r="K40" s="8">
        <v>96</v>
      </c>
      <c r="L40" s="8">
        <v>28</v>
      </c>
      <c r="N40" s="8">
        <f t="shared" si="17"/>
        <v>1369</v>
      </c>
      <c r="O40" s="141">
        <f t="shared" si="15"/>
        <v>0.37885662431941924</v>
      </c>
      <c r="P40" s="8">
        <f t="shared" si="18"/>
        <v>845</v>
      </c>
      <c r="Q40" s="141">
        <f t="shared" si="16"/>
        <v>0.6166061705989111</v>
      </c>
      <c r="R40" s="8">
        <f t="shared" si="19"/>
        <v>355</v>
      </c>
      <c r="S40" s="141">
        <f t="shared" si="20"/>
        <v>0.83892921960072597</v>
      </c>
      <c r="U40" t="s">
        <v>134</v>
      </c>
      <c r="V40">
        <v>2204</v>
      </c>
    </row>
    <row r="41" spans="2:22" x14ac:dyDescent="0.25">
      <c r="B41" s="8" t="s">
        <v>135</v>
      </c>
      <c r="C41" s="8">
        <v>0</v>
      </c>
      <c r="D41" s="8">
        <v>45</v>
      </c>
      <c r="E41" s="8">
        <v>73</v>
      </c>
      <c r="F41" s="8">
        <v>55</v>
      </c>
      <c r="G41" s="8">
        <v>123</v>
      </c>
      <c r="H41" s="8">
        <v>229</v>
      </c>
      <c r="I41" s="8">
        <v>584</v>
      </c>
      <c r="J41" s="8">
        <v>390</v>
      </c>
      <c r="K41" s="8">
        <v>132</v>
      </c>
      <c r="L41" s="8">
        <v>39</v>
      </c>
      <c r="N41" s="8">
        <f t="shared" si="17"/>
        <v>1374</v>
      </c>
      <c r="O41" s="141">
        <f t="shared" si="15"/>
        <v>0.17724550898203592</v>
      </c>
      <c r="P41" s="8">
        <f t="shared" si="18"/>
        <v>1145</v>
      </c>
      <c r="Q41" s="141">
        <f t="shared" si="16"/>
        <v>0.31437125748502992</v>
      </c>
      <c r="R41" s="8">
        <f t="shared" si="19"/>
        <v>561</v>
      </c>
      <c r="S41" s="141">
        <f t="shared" si="20"/>
        <v>0.66407185628742516</v>
      </c>
      <c r="U41" t="s">
        <v>135</v>
      </c>
      <c r="V41">
        <v>1670</v>
      </c>
    </row>
    <row r="42" spans="2:22" x14ac:dyDescent="0.25">
      <c r="B42" s="8" t="s">
        <v>136</v>
      </c>
      <c r="C42" s="8">
        <v>1</v>
      </c>
      <c r="D42" s="8">
        <v>18</v>
      </c>
      <c r="E42" s="8">
        <v>19</v>
      </c>
      <c r="F42" s="8">
        <v>26</v>
      </c>
      <c r="G42" s="8">
        <v>53</v>
      </c>
      <c r="H42" s="8">
        <v>67</v>
      </c>
      <c r="I42" s="8">
        <v>151</v>
      </c>
      <c r="J42" s="8">
        <v>459</v>
      </c>
      <c r="K42" s="8">
        <v>265</v>
      </c>
      <c r="L42" s="8">
        <v>47</v>
      </c>
      <c r="N42" s="8">
        <f t="shared" si="17"/>
        <v>989</v>
      </c>
      <c r="O42" s="141">
        <f t="shared" si="15"/>
        <v>0.1057866184448463</v>
      </c>
      <c r="P42" s="8">
        <f t="shared" si="18"/>
        <v>922</v>
      </c>
      <c r="Q42" s="141">
        <f t="shared" si="16"/>
        <v>0.16636528028933092</v>
      </c>
      <c r="R42" s="8">
        <f t="shared" si="19"/>
        <v>771</v>
      </c>
      <c r="S42" s="141">
        <f t="shared" si="20"/>
        <v>0.30289330922242313</v>
      </c>
      <c r="U42" t="s">
        <v>136</v>
      </c>
      <c r="V42">
        <v>1106</v>
      </c>
    </row>
    <row r="43" spans="2:22" x14ac:dyDescent="0.25">
      <c r="B43" s="8" t="s">
        <v>137</v>
      </c>
      <c r="C43" s="8">
        <v>0</v>
      </c>
      <c r="D43" s="8">
        <v>5</v>
      </c>
      <c r="E43" s="8">
        <v>12</v>
      </c>
      <c r="F43" s="8">
        <v>6</v>
      </c>
      <c r="G43" s="8">
        <v>12</v>
      </c>
      <c r="H43" s="8">
        <v>14</v>
      </c>
      <c r="I43" s="8">
        <v>50</v>
      </c>
      <c r="J43" s="8">
        <v>103</v>
      </c>
      <c r="K43" s="8">
        <v>480</v>
      </c>
      <c r="L43" s="8">
        <v>121</v>
      </c>
      <c r="N43" s="8">
        <f t="shared" si="17"/>
        <v>768</v>
      </c>
      <c r="O43" s="141">
        <f t="shared" si="15"/>
        <v>4.3586550435865505E-2</v>
      </c>
      <c r="P43" s="8">
        <f t="shared" si="18"/>
        <v>754</v>
      </c>
      <c r="Q43" s="141">
        <f t="shared" si="16"/>
        <v>6.1021170610211707E-2</v>
      </c>
      <c r="R43" s="8">
        <f t="shared" si="19"/>
        <v>704</v>
      </c>
      <c r="S43" s="141">
        <f t="shared" si="20"/>
        <v>0.12328767123287671</v>
      </c>
      <c r="U43" t="s">
        <v>137</v>
      </c>
      <c r="V43">
        <v>803</v>
      </c>
    </row>
    <row r="44" spans="2:22" x14ac:dyDescent="0.25">
      <c r="B44" s="8" t="s">
        <v>138</v>
      </c>
      <c r="C44" s="8">
        <v>0</v>
      </c>
      <c r="D44" s="8">
        <v>0</v>
      </c>
      <c r="E44" s="8">
        <v>1</v>
      </c>
      <c r="F44" s="8">
        <v>2</v>
      </c>
      <c r="G44" s="8">
        <v>1</v>
      </c>
      <c r="H44" s="8">
        <v>9</v>
      </c>
      <c r="I44" s="8">
        <v>5</v>
      </c>
      <c r="J44" s="8">
        <v>15</v>
      </c>
      <c r="K44" s="8">
        <v>66</v>
      </c>
      <c r="L44" s="8">
        <v>287</v>
      </c>
      <c r="N44" s="8">
        <f t="shared" si="17"/>
        <v>382</v>
      </c>
      <c r="O44" s="141">
        <f t="shared" si="15"/>
        <v>1.0362694300518135E-2</v>
      </c>
      <c r="P44" s="8">
        <f t="shared" si="18"/>
        <v>373</v>
      </c>
      <c r="Q44" s="141">
        <f t="shared" si="16"/>
        <v>3.367875647668394E-2</v>
      </c>
      <c r="R44" s="8">
        <f t="shared" si="19"/>
        <v>368</v>
      </c>
      <c r="S44" s="141">
        <f t="shared" si="20"/>
        <v>4.6632124352331605E-2</v>
      </c>
      <c r="U44" t="s">
        <v>138</v>
      </c>
      <c r="V44">
        <v>386</v>
      </c>
    </row>
    <row r="45" spans="2:22" x14ac:dyDescent="0.25"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N45" s="121"/>
      <c r="O45" s="142"/>
      <c r="P45" s="121"/>
      <c r="Q45" s="142"/>
      <c r="R45" s="121"/>
      <c r="S45" s="142"/>
    </row>
    <row r="46" spans="2:22" x14ac:dyDescent="0.25">
      <c r="B46" s="8" t="s">
        <v>146</v>
      </c>
      <c r="C46" s="8" t="s">
        <v>129</v>
      </c>
      <c r="D46" s="8" t="s">
        <v>130</v>
      </c>
      <c r="E46" s="8" t="s">
        <v>131</v>
      </c>
      <c r="F46" s="8" t="s">
        <v>132</v>
      </c>
      <c r="G46" s="8" t="s">
        <v>133</v>
      </c>
      <c r="H46" s="8" t="s">
        <v>134</v>
      </c>
      <c r="I46" s="8" t="s">
        <v>135</v>
      </c>
      <c r="J46" s="8" t="s">
        <v>136</v>
      </c>
      <c r="K46" s="8" t="s">
        <v>137</v>
      </c>
      <c r="L46" s="8" t="s">
        <v>138</v>
      </c>
      <c r="N46" s="121"/>
      <c r="O46" s="142"/>
      <c r="P46" s="121"/>
      <c r="Q46" s="142"/>
      <c r="R46" s="121"/>
      <c r="S46" s="142"/>
    </row>
    <row r="47" spans="2:22" x14ac:dyDescent="0.25">
      <c r="B47" s="8" t="s">
        <v>139</v>
      </c>
      <c r="C47" s="8"/>
      <c r="D47" s="8"/>
      <c r="E47" s="8"/>
      <c r="F47" s="8"/>
      <c r="G47" s="8"/>
      <c r="H47" s="8"/>
      <c r="I47" s="8"/>
      <c r="J47" s="8"/>
      <c r="K47" s="8"/>
      <c r="L47" s="8"/>
      <c r="N47" s="121"/>
      <c r="O47" s="142"/>
      <c r="P47" s="121"/>
      <c r="Q47" s="142"/>
      <c r="R47" s="121"/>
      <c r="S47" s="142"/>
    </row>
    <row r="48" spans="2:22" x14ac:dyDescent="0.25">
      <c r="B48" s="8" t="s">
        <v>129</v>
      </c>
      <c r="C48" s="9">
        <f>C35/SUM($C35:$L35)</f>
        <v>0.42988281249999999</v>
      </c>
      <c r="D48" s="9">
        <f t="shared" ref="D48:L48" si="21">D35/SUM($C35:$L35)</f>
        <v>0.44687500000000002</v>
      </c>
      <c r="E48" s="9">
        <f t="shared" si="21"/>
        <v>7.7539062500000006E-2</v>
      </c>
      <c r="F48" s="9">
        <f t="shared" si="21"/>
        <v>1.9335937500000001E-2</v>
      </c>
      <c r="G48" s="9">
        <f t="shared" si="21"/>
        <v>1.2109375E-2</v>
      </c>
      <c r="H48" s="9">
        <f t="shared" si="21"/>
        <v>6.2500000000000003E-3</v>
      </c>
      <c r="I48" s="9">
        <f t="shared" si="21"/>
        <v>3.90625E-3</v>
      </c>
      <c r="J48" s="9">
        <f t="shared" si="21"/>
        <v>1.8554687499999999E-3</v>
      </c>
      <c r="K48" s="9">
        <f t="shared" si="21"/>
        <v>1.8554687499999999E-3</v>
      </c>
      <c r="L48" s="9">
        <f t="shared" si="21"/>
        <v>3.9062500000000002E-4</v>
      </c>
      <c r="N48" s="121"/>
      <c r="O48" s="142"/>
      <c r="P48" s="121"/>
      <c r="Q48" s="142"/>
      <c r="R48" s="121"/>
      <c r="S48" s="142"/>
    </row>
    <row r="49" spans="2:19" x14ac:dyDescent="0.25">
      <c r="B49" s="8" t="s">
        <v>130</v>
      </c>
      <c r="C49" s="9">
        <f t="shared" ref="C49:L49" si="22">C36/SUM($C36:$L36)</f>
        <v>4.4321666747797306E-2</v>
      </c>
      <c r="D49" s="9">
        <f t="shared" si="22"/>
        <v>0.77130896169011343</v>
      </c>
      <c r="E49" s="9">
        <f t="shared" si="22"/>
        <v>0.13707832351652632</v>
      </c>
      <c r="F49" s="9">
        <f t="shared" si="22"/>
        <v>1.9860779827678528E-2</v>
      </c>
      <c r="G49" s="9">
        <f t="shared" si="22"/>
        <v>1.2339969819403203E-2</v>
      </c>
      <c r="H49" s="9">
        <f t="shared" si="22"/>
        <v>6.1578153142189552E-3</v>
      </c>
      <c r="I49" s="9">
        <f t="shared" si="22"/>
        <v>4.4297327556832014E-3</v>
      </c>
      <c r="J49" s="9">
        <f t="shared" si="22"/>
        <v>2.5556150513556929E-3</v>
      </c>
      <c r="K49" s="9">
        <f t="shared" si="22"/>
        <v>1.4360122669522465E-3</v>
      </c>
      <c r="L49" s="9">
        <f t="shared" si="22"/>
        <v>5.1112301027113859E-4</v>
      </c>
      <c r="N49" s="121"/>
      <c r="O49" s="142"/>
      <c r="P49" s="121"/>
      <c r="Q49" s="142"/>
      <c r="R49" s="121"/>
      <c r="S49" s="142"/>
    </row>
    <row r="50" spans="2:19" x14ac:dyDescent="0.25">
      <c r="B50" s="8" t="s">
        <v>131</v>
      </c>
      <c r="C50" s="9">
        <f t="shared" ref="C50:L50" si="23">C37/SUM($C37:$L37)</f>
        <v>1.2295664534470504E-2</v>
      </c>
      <c r="D50" s="9">
        <f t="shared" si="23"/>
        <v>0.41002132196162044</v>
      </c>
      <c r="E50" s="9">
        <f t="shared" si="23"/>
        <v>0.3834399431414357</v>
      </c>
      <c r="F50" s="9">
        <f t="shared" si="23"/>
        <v>8.6282871357498223E-2</v>
      </c>
      <c r="G50" s="9">
        <f t="shared" si="23"/>
        <v>5.294953802416489E-2</v>
      </c>
      <c r="H50" s="9">
        <f t="shared" si="23"/>
        <v>2.3667377398720681E-2</v>
      </c>
      <c r="I50" s="9">
        <f t="shared" si="23"/>
        <v>1.7270788912579958E-2</v>
      </c>
      <c r="J50" s="9">
        <f t="shared" si="23"/>
        <v>8.1734186211798159E-3</v>
      </c>
      <c r="K50" s="9">
        <f t="shared" si="23"/>
        <v>4.6197583511016346E-3</v>
      </c>
      <c r="L50" s="9">
        <f t="shared" si="23"/>
        <v>1.2793176972281451E-3</v>
      </c>
      <c r="N50" s="121"/>
      <c r="O50" s="142"/>
      <c r="P50" s="121"/>
      <c r="Q50" s="142"/>
      <c r="R50" s="121"/>
      <c r="S50" s="142"/>
    </row>
    <row r="51" spans="2:19" x14ac:dyDescent="0.25">
      <c r="B51" s="8" t="s">
        <v>132</v>
      </c>
      <c r="C51" s="9">
        <f t="shared" ref="C51:L51" si="24">C38/SUM($C38:$L38)</f>
        <v>3.2573289902280132E-3</v>
      </c>
      <c r="D51" s="9">
        <f t="shared" si="24"/>
        <v>0.19218241042345277</v>
      </c>
      <c r="E51" s="9">
        <f t="shared" si="24"/>
        <v>0.32047105988474067</v>
      </c>
      <c r="F51" s="9">
        <f t="shared" si="24"/>
        <v>0.1748935103983964</v>
      </c>
      <c r="G51" s="9">
        <f t="shared" si="24"/>
        <v>0.15159107992984214</v>
      </c>
      <c r="H51" s="9">
        <f t="shared" si="24"/>
        <v>7.4417439238286143E-2</v>
      </c>
      <c r="I51" s="9">
        <f t="shared" si="24"/>
        <v>4.6103733400150337E-2</v>
      </c>
      <c r="J51" s="9">
        <f t="shared" si="24"/>
        <v>2.179904785767978E-2</v>
      </c>
      <c r="K51" s="9">
        <f t="shared" si="24"/>
        <v>1.1275369581558507E-2</v>
      </c>
      <c r="L51" s="9">
        <f t="shared" si="24"/>
        <v>4.0090202956652469E-3</v>
      </c>
      <c r="N51" s="121"/>
      <c r="O51" s="142"/>
      <c r="P51" s="121"/>
      <c r="Q51" s="142"/>
      <c r="R51" s="121"/>
      <c r="S51" s="142"/>
    </row>
    <row r="52" spans="2:19" x14ac:dyDescent="0.25">
      <c r="B52" s="8" t="s">
        <v>133</v>
      </c>
      <c r="C52" s="9">
        <f t="shared" ref="C52:L52" si="25">C39/SUM($C39:$L39)</f>
        <v>4.0567951318458417E-3</v>
      </c>
      <c r="D52" s="9">
        <f t="shared" si="25"/>
        <v>9.8377281947261669E-2</v>
      </c>
      <c r="E52" s="9">
        <f t="shared" si="25"/>
        <v>0.17672413793103448</v>
      </c>
      <c r="F52" s="9">
        <f t="shared" si="25"/>
        <v>0.13843813387423934</v>
      </c>
      <c r="G52" s="9">
        <f t="shared" si="25"/>
        <v>0.25963488843813387</v>
      </c>
      <c r="H52" s="9">
        <f t="shared" si="25"/>
        <v>0.14579107505070993</v>
      </c>
      <c r="I52" s="9">
        <f t="shared" si="25"/>
        <v>9.8630831643002029E-2</v>
      </c>
      <c r="J52" s="9">
        <f t="shared" si="25"/>
        <v>4.6146044624746453E-2</v>
      </c>
      <c r="K52" s="9">
        <f t="shared" si="25"/>
        <v>2.2058823529411766E-2</v>
      </c>
      <c r="L52" s="9">
        <f t="shared" si="25"/>
        <v>1.0141987829614604E-2</v>
      </c>
      <c r="N52" s="121"/>
      <c r="O52" s="142"/>
      <c r="P52" s="121"/>
      <c r="Q52" s="142"/>
      <c r="R52" s="121"/>
      <c r="S52" s="142"/>
    </row>
    <row r="53" spans="2:19" x14ac:dyDescent="0.25">
      <c r="B53" s="8" t="s">
        <v>134</v>
      </c>
      <c r="C53" s="9">
        <f t="shared" ref="C53:L53" si="26">C40/SUM($C40:$L40)</f>
        <v>2.2686025408348459E-3</v>
      </c>
      <c r="D53" s="9">
        <f t="shared" si="26"/>
        <v>4.6279491833030852E-2</v>
      </c>
      <c r="E53" s="9">
        <f t="shared" si="26"/>
        <v>7.5317604355716883E-2</v>
      </c>
      <c r="F53" s="9">
        <f t="shared" si="26"/>
        <v>6.397459165154265E-2</v>
      </c>
      <c r="G53" s="9">
        <f t="shared" si="26"/>
        <v>0.19101633393829401</v>
      </c>
      <c r="H53" s="9">
        <f t="shared" si="26"/>
        <v>0.23774954627949182</v>
      </c>
      <c r="I53" s="9">
        <f t="shared" si="26"/>
        <v>0.22232304900181488</v>
      </c>
      <c r="J53" s="9">
        <f t="shared" si="26"/>
        <v>0.10480943738656988</v>
      </c>
      <c r="K53" s="9">
        <f t="shared" si="26"/>
        <v>4.3557168784029036E-2</v>
      </c>
      <c r="L53" s="9">
        <f t="shared" si="26"/>
        <v>1.2704174228675136E-2</v>
      </c>
      <c r="N53" s="121"/>
      <c r="O53" s="142"/>
      <c r="P53" s="121"/>
      <c r="Q53" s="142"/>
      <c r="R53" s="121"/>
      <c r="S53" s="142"/>
    </row>
    <row r="54" spans="2:19" x14ac:dyDescent="0.25">
      <c r="B54" s="8" t="s">
        <v>135</v>
      </c>
      <c r="C54" s="9">
        <f t="shared" ref="C54:L54" si="27">C41/SUM($C41:$L41)</f>
        <v>0</v>
      </c>
      <c r="D54" s="9">
        <f t="shared" si="27"/>
        <v>2.6946107784431138E-2</v>
      </c>
      <c r="E54" s="9">
        <f t="shared" si="27"/>
        <v>4.3712574850299404E-2</v>
      </c>
      <c r="F54" s="9">
        <f t="shared" si="27"/>
        <v>3.2934131736526949E-2</v>
      </c>
      <c r="G54" s="9">
        <f t="shared" si="27"/>
        <v>7.3652694610778446E-2</v>
      </c>
      <c r="H54" s="9">
        <f t="shared" si="27"/>
        <v>0.137125748502994</v>
      </c>
      <c r="I54" s="9">
        <f t="shared" si="27"/>
        <v>0.34970059880239523</v>
      </c>
      <c r="J54" s="9">
        <f t="shared" si="27"/>
        <v>0.23353293413173654</v>
      </c>
      <c r="K54" s="9">
        <f t="shared" si="27"/>
        <v>7.9041916167664678E-2</v>
      </c>
      <c r="L54" s="9">
        <f t="shared" si="27"/>
        <v>2.3353293413173652E-2</v>
      </c>
      <c r="N54" s="121"/>
      <c r="O54" s="142"/>
      <c r="P54" s="121"/>
      <c r="Q54" s="142"/>
      <c r="R54" s="121"/>
      <c r="S54" s="142"/>
    </row>
    <row r="55" spans="2:19" x14ac:dyDescent="0.25">
      <c r="B55" s="8" t="s">
        <v>136</v>
      </c>
      <c r="C55" s="9">
        <f t="shared" ref="C55:L55" si="28">C42/SUM($C42:$L42)</f>
        <v>9.0415913200723324E-4</v>
      </c>
      <c r="D55" s="9">
        <f t="shared" si="28"/>
        <v>1.62748643761302E-2</v>
      </c>
      <c r="E55" s="9">
        <f t="shared" si="28"/>
        <v>1.7179023508137433E-2</v>
      </c>
      <c r="F55" s="9">
        <f t="shared" si="28"/>
        <v>2.3508137432188065E-2</v>
      </c>
      <c r="G55" s="9">
        <f t="shared" si="28"/>
        <v>4.7920433996383363E-2</v>
      </c>
      <c r="H55" s="9">
        <f t="shared" si="28"/>
        <v>6.0578661844484627E-2</v>
      </c>
      <c r="I55" s="9">
        <f t="shared" si="28"/>
        <v>0.13652802893309224</v>
      </c>
      <c r="J55" s="9">
        <f t="shared" si="28"/>
        <v>0.41500904159132007</v>
      </c>
      <c r="K55" s="9">
        <f t="shared" si="28"/>
        <v>0.23960216998191683</v>
      </c>
      <c r="L55" s="9">
        <f t="shared" si="28"/>
        <v>4.2495479204339964E-2</v>
      </c>
      <c r="N55" s="121"/>
      <c r="O55" s="142"/>
      <c r="P55" s="121"/>
      <c r="Q55" s="142"/>
      <c r="R55" s="121"/>
      <c r="S55" s="142"/>
    </row>
    <row r="56" spans="2:19" x14ac:dyDescent="0.25">
      <c r="B56" s="8" t="s">
        <v>137</v>
      </c>
      <c r="C56" s="9">
        <f t="shared" ref="C56:L56" si="29">C43/SUM($C43:$L43)</f>
        <v>0</v>
      </c>
      <c r="D56" s="9">
        <f t="shared" si="29"/>
        <v>6.2266500622665004E-3</v>
      </c>
      <c r="E56" s="9">
        <f t="shared" si="29"/>
        <v>1.4943960149439602E-2</v>
      </c>
      <c r="F56" s="9">
        <f t="shared" si="29"/>
        <v>7.4719800747198011E-3</v>
      </c>
      <c r="G56" s="9">
        <f t="shared" si="29"/>
        <v>1.4943960149439602E-2</v>
      </c>
      <c r="H56" s="9">
        <f t="shared" si="29"/>
        <v>1.7434620174346202E-2</v>
      </c>
      <c r="I56" s="9">
        <f t="shared" si="29"/>
        <v>6.2266500622665005E-2</v>
      </c>
      <c r="J56" s="9">
        <f t="shared" si="29"/>
        <v>0.12826899128268993</v>
      </c>
      <c r="K56" s="9">
        <f t="shared" si="29"/>
        <v>0.59775840597758401</v>
      </c>
      <c r="L56" s="9">
        <f t="shared" si="29"/>
        <v>0.15068493150684931</v>
      </c>
      <c r="N56" s="121"/>
      <c r="O56" s="142"/>
      <c r="P56" s="121"/>
      <c r="Q56" s="142"/>
      <c r="R56" s="121"/>
      <c r="S56" s="142"/>
    </row>
    <row r="57" spans="2:19" x14ac:dyDescent="0.25">
      <c r="B57" s="8" t="s">
        <v>138</v>
      </c>
      <c r="C57" s="9">
        <f t="shared" ref="C57:L57" si="30">C44/SUM($C44:$L44)</f>
        <v>0</v>
      </c>
      <c r="D57" s="9">
        <f t="shared" si="30"/>
        <v>0</v>
      </c>
      <c r="E57" s="9">
        <f t="shared" si="30"/>
        <v>2.5906735751295338E-3</v>
      </c>
      <c r="F57" s="9">
        <f t="shared" si="30"/>
        <v>5.1813471502590676E-3</v>
      </c>
      <c r="G57" s="9">
        <f t="shared" si="30"/>
        <v>2.5906735751295338E-3</v>
      </c>
      <c r="H57" s="9">
        <f t="shared" si="30"/>
        <v>2.3316062176165803E-2</v>
      </c>
      <c r="I57" s="9">
        <f t="shared" si="30"/>
        <v>1.2953367875647668E-2</v>
      </c>
      <c r="J57" s="9">
        <f t="shared" si="30"/>
        <v>3.8860103626943004E-2</v>
      </c>
      <c r="K57" s="9">
        <f t="shared" si="30"/>
        <v>0.17098445595854922</v>
      </c>
      <c r="L57" s="9">
        <f t="shared" si="30"/>
        <v>0.74352331606217614</v>
      </c>
      <c r="N57" s="121"/>
      <c r="O57" s="142"/>
      <c r="P57" s="121"/>
      <c r="Q57" s="142"/>
      <c r="R57" s="121"/>
      <c r="S57" s="142"/>
    </row>
    <row r="60" spans="2:19" x14ac:dyDescent="0.25">
      <c r="B60" t="s">
        <v>148</v>
      </c>
    </row>
    <row r="61" spans="2:19" x14ac:dyDescent="0.25">
      <c r="B61" s="8" t="s">
        <v>147</v>
      </c>
      <c r="C61" s="8" t="s">
        <v>129</v>
      </c>
      <c r="D61" s="8" t="s">
        <v>130</v>
      </c>
      <c r="E61" s="8" t="s">
        <v>131</v>
      </c>
      <c r="F61" s="8" t="s">
        <v>132</v>
      </c>
      <c r="G61" s="8" t="s">
        <v>133</v>
      </c>
      <c r="H61" s="8" t="s">
        <v>134</v>
      </c>
      <c r="I61" s="8" t="s">
        <v>135</v>
      </c>
      <c r="J61" s="8" t="s">
        <v>136</v>
      </c>
      <c r="K61" s="8" t="s">
        <v>137</v>
      </c>
      <c r="L61" s="8" t="s">
        <v>138</v>
      </c>
    </row>
    <row r="62" spans="2:19" x14ac:dyDescent="0.25">
      <c r="B62" s="8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9" x14ac:dyDescent="0.25">
      <c r="B63" s="8" t="s">
        <v>129</v>
      </c>
      <c r="C63" s="8">
        <f>(C35-C5)</f>
        <v>-475</v>
      </c>
      <c r="D63" s="8">
        <f t="shared" ref="D63:L63" si="31">(D35-D5)</f>
        <v>1</v>
      </c>
      <c r="E63" s="8">
        <f t="shared" si="31"/>
        <v>275</v>
      </c>
      <c r="F63" s="8">
        <f t="shared" si="31"/>
        <v>76</v>
      </c>
      <c r="G63" s="8">
        <f t="shared" si="31"/>
        <v>48</v>
      </c>
      <c r="H63" s="8">
        <f t="shared" si="31"/>
        <v>28</v>
      </c>
      <c r="I63" s="8">
        <f t="shared" si="31"/>
        <v>22</v>
      </c>
      <c r="J63" s="8">
        <f t="shared" si="31"/>
        <v>12</v>
      </c>
      <c r="K63" s="8">
        <f t="shared" si="31"/>
        <v>12</v>
      </c>
      <c r="L63" s="8">
        <f t="shared" si="31"/>
        <v>1</v>
      </c>
    </row>
    <row r="64" spans="2:19" x14ac:dyDescent="0.25">
      <c r="B64" s="8" t="s">
        <v>130</v>
      </c>
      <c r="C64" s="8">
        <f t="shared" ref="C64:L64" si="32">(C36-C6)</f>
        <v>1015</v>
      </c>
      <c r="D64" s="8">
        <f t="shared" si="32"/>
        <v>-1486</v>
      </c>
      <c r="E64" s="8">
        <f t="shared" si="32"/>
        <v>248</v>
      </c>
      <c r="F64" s="8">
        <f t="shared" si="32"/>
        <v>37</v>
      </c>
      <c r="G64" s="8">
        <f t="shared" si="32"/>
        <v>-37</v>
      </c>
      <c r="H64" s="8">
        <f t="shared" si="32"/>
        <v>35</v>
      </c>
      <c r="I64" s="8">
        <f t="shared" si="32"/>
        <v>84</v>
      </c>
      <c r="J64" s="8">
        <f t="shared" si="32"/>
        <v>57</v>
      </c>
      <c r="K64" s="8">
        <f t="shared" si="32"/>
        <v>35</v>
      </c>
      <c r="L64" s="8">
        <f t="shared" si="32"/>
        <v>12</v>
      </c>
    </row>
    <row r="65" spans="2:12" x14ac:dyDescent="0.25">
      <c r="B65" s="8" t="s">
        <v>131</v>
      </c>
      <c r="C65" s="8">
        <f t="shared" ref="C65:L65" si="33">(C37-C7)</f>
        <v>165</v>
      </c>
      <c r="D65" s="8">
        <f t="shared" si="33"/>
        <v>678</v>
      </c>
      <c r="E65" s="8">
        <f t="shared" si="33"/>
        <v>-916</v>
      </c>
      <c r="F65" s="8">
        <f t="shared" si="33"/>
        <v>-97</v>
      </c>
      <c r="G65" s="8">
        <f t="shared" si="33"/>
        <v>-69</v>
      </c>
      <c r="H65" s="8">
        <f t="shared" si="33"/>
        <v>37</v>
      </c>
      <c r="I65" s="8">
        <f t="shared" si="33"/>
        <v>95</v>
      </c>
      <c r="J65" s="8">
        <f t="shared" si="33"/>
        <v>56</v>
      </c>
      <c r="K65" s="8">
        <f t="shared" si="33"/>
        <v>40</v>
      </c>
      <c r="L65" s="8">
        <f t="shared" si="33"/>
        <v>11</v>
      </c>
    </row>
    <row r="66" spans="2:12" x14ac:dyDescent="0.25">
      <c r="B66" s="8" t="s">
        <v>132</v>
      </c>
      <c r="C66" s="8">
        <f t="shared" ref="C66:L66" si="34">(C38-C8)</f>
        <v>13</v>
      </c>
      <c r="D66" s="8">
        <f t="shared" si="34"/>
        <v>214</v>
      </c>
      <c r="E66" s="8">
        <f t="shared" si="34"/>
        <v>-65</v>
      </c>
      <c r="F66" s="8">
        <f t="shared" si="34"/>
        <v>-207</v>
      </c>
      <c r="G66" s="8">
        <f t="shared" si="34"/>
        <v>-123</v>
      </c>
      <c r="H66" s="8">
        <f t="shared" si="34"/>
        <v>33</v>
      </c>
      <c r="I66" s="8">
        <f t="shared" si="34"/>
        <v>68</v>
      </c>
      <c r="J66" s="8">
        <f t="shared" si="34"/>
        <v>34</v>
      </c>
      <c r="K66" s="8">
        <f t="shared" si="34"/>
        <v>23</v>
      </c>
      <c r="L66" s="8">
        <f t="shared" si="34"/>
        <v>10</v>
      </c>
    </row>
    <row r="67" spans="2:12" x14ac:dyDescent="0.25">
      <c r="B67" s="8" t="s">
        <v>133</v>
      </c>
      <c r="C67" s="8">
        <f t="shared" ref="C67:L67" si="35">(C39-C9)</f>
        <v>15</v>
      </c>
      <c r="D67" s="8">
        <f t="shared" si="35"/>
        <v>128</v>
      </c>
      <c r="E67" s="8">
        <f t="shared" si="35"/>
        <v>55</v>
      </c>
      <c r="F67" s="8">
        <f t="shared" si="35"/>
        <v>-94</v>
      </c>
      <c r="G67" s="8">
        <f t="shared" si="35"/>
        <v>-259</v>
      </c>
      <c r="H67" s="8">
        <f t="shared" si="35"/>
        <v>-78</v>
      </c>
      <c r="I67" s="8">
        <f t="shared" si="35"/>
        <v>100</v>
      </c>
      <c r="J67" s="8">
        <f t="shared" si="35"/>
        <v>53</v>
      </c>
      <c r="K67" s="8">
        <f t="shared" si="35"/>
        <v>51</v>
      </c>
      <c r="L67" s="8">
        <f t="shared" si="35"/>
        <v>29</v>
      </c>
    </row>
    <row r="68" spans="2:12" x14ac:dyDescent="0.25">
      <c r="B68" s="8" t="s">
        <v>134</v>
      </c>
      <c r="C68" s="8">
        <f t="shared" ref="C68:L68" si="36">(C40-C10)</f>
        <v>5</v>
      </c>
      <c r="D68" s="8">
        <f t="shared" si="36"/>
        <v>43</v>
      </c>
      <c r="E68" s="8">
        <f t="shared" si="36"/>
        <v>34</v>
      </c>
      <c r="F68" s="8">
        <f t="shared" si="36"/>
        <v>-5</v>
      </c>
      <c r="G68" s="8">
        <f t="shared" si="36"/>
        <v>28</v>
      </c>
      <c r="H68" s="8">
        <f t="shared" si="36"/>
        <v>-269</v>
      </c>
      <c r="I68" s="8">
        <f t="shared" si="36"/>
        <v>21</v>
      </c>
      <c r="J68" s="8">
        <f t="shared" si="36"/>
        <v>83</v>
      </c>
      <c r="K68" s="8">
        <f t="shared" si="36"/>
        <v>45</v>
      </c>
      <c r="L68" s="8">
        <f t="shared" si="36"/>
        <v>15</v>
      </c>
    </row>
    <row r="69" spans="2:12" x14ac:dyDescent="0.25">
      <c r="B69" s="8" t="s">
        <v>135</v>
      </c>
      <c r="C69" s="8">
        <f t="shared" ref="C69:L69" si="37">(C41-C11)</f>
        <v>0</v>
      </c>
      <c r="D69" s="8">
        <f t="shared" si="37"/>
        <v>24</v>
      </c>
      <c r="E69" s="8">
        <f t="shared" si="37"/>
        <v>33</v>
      </c>
      <c r="F69" s="8">
        <f t="shared" si="37"/>
        <v>15</v>
      </c>
      <c r="G69" s="8">
        <f t="shared" si="37"/>
        <v>-20</v>
      </c>
      <c r="H69" s="8">
        <f t="shared" si="37"/>
        <v>-44</v>
      </c>
      <c r="I69" s="8">
        <f t="shared" si="37"/>
        <v>-128</v>
      </c>
      <c r="J69" s="8">
        <f t="shared" si="37"/>
        <v>49</v>
      </c>
      <c r="K69" s="8">
        <f t="shared" si="37"/>
        <v>52</v>
      </c>
      <c r="L69" s="8">
        <f t="shared" si="37"/>
        <v>19</v>
      </c>
    </row>
    <row r="70" spans="2:12" x14ac:dyDescent="0.25">
      <c r="B70" s="8" t="s">
        <v>136</v>
      </c>
      <c r="C70" s="8">
        <f t="shared" ref="C70:L70" si="38">(C42-C12)</f>
        <v>1</v>
      </c>
      <c r="D70" s="8">
        <f t="shared" si="38"/>
        <v>9</v>
      </c>
      <c r="E70" s="8">
        <f t="shared" si="38"/>
        <v>3</v>
      </c>
      <c r="F70" s="8">
        <f t="shared" si="38"/>
        <v>16</v>
      </c>
      <c r="G70" s="8">
        <f t="shared" si="38"/>
        <v>8</v>
      </c>
      <c r="H70" s="8">
        <f t="shared" si="38"/>
        <v>2</v>
      </c>
      <c r="I70" s="8">
        <f t="shared" si="38"/>
        <v>-25</v>
      </c>
      <c r="J70" s="8">
        <f t="shared" si="38"/>
        <v>-91</v>
      </c>
      <c r="K70" s="8">
        <f t="shared" si="38"/>
        <v>50</v>
      </c>
      <c r="L70" s="8">
        <f t="shared" si="38"/>
        <v>27</v>
      </c>
    </row>
    <row r="71" spans="2:12" x14ac:dyDescent="0.25">
      <c r="B71" s="8" t="s">
        <v>137</v>
      </c>
      <c r="C71" s="8">
        <f t="shared" ref="C71:L71" si="39">(C43-C13)</f>
        <v>0</v>
      </c>
      <c r="D71" s="8">
        <f t="shared" si="39"/>
        <v>1</v>
      </c>
      <c r="E71" s="8">
        <f t="shared" si="39"/>
        <v>9</v>
      </c>
      <c r="F71" s="8">
        <f t="shared" si="39"/>
        <v>1</v>
      </c>
      <c r="G71" s="8">
        <f t="shared" si="39"/>
        <v>7</v>
      </c>
      <c r="H71" s="8">
        <f t="shared" si="39"/>
        <v>-2</v>
      </c>
      <c r="I71" s="8">
        <f t="shared" si="39"/>
        <v>22</v>
      </c>
      <c r="J71" s="8">
        <f t="shared" si="39"/>
        <v>-20</v>
      </c>
      <c r="K71" s="8">
        <f t="shared" si="39"/>
        <v>-57</v>
      </c>
      <c r="L71" s="8">
        <f t="shared" si="39"/>
        <v>39</v>
      </c>
    </row>
    <row r="72" spans="2:12" x14ac:dyDescent="0.25">
      <c r="B72" s="8" t="s">
        <v>138</v>
      </c>
      <c r="C72" s="8">
        <f t="shared" ref="C72:L72" si="40">(C44-C14)</f>
        <v>0</v>
      </c>
      <c r="D72" s="8">
        <f t="shared" si="40"/>
        <v>-1</v>
      </c>
      <c r="E72" s="8">
        <f t="shared" si="40"/>
        <v>1</v>
      </c>
      <c r="F72" s="8">
        <f t="shared" si="40"/>
        <v>2</v>
      </c>
      <c r="G72" s="8">
        <f t="shared" si="40"/>
        <v>0</v>
      </c>
      <c r="H72" s="8">
        <f t="shared" si="40"/>
        <v>3</v>
      </c>
      <c r="I72" s="8">
        <f t="shared" si="40"/>
        <v>1</v>
      </c>
      <c r="J72" s="8">
        <f t="shared" si="40"/>
        <v>11</v>
      </c>
      <c r="K72" s="8">
        <f t="shared" si="40"/>
        <v>11</v>
      </c>
      <c r="L72" s="8">
        <f t="shared" si="40"/>
        <v>-28</v>
      </c>
    </row>
  </sheetData>
  <sortState ref="X4:Y14">
    <sortCondition ref="X4"/>
  </sortState>
  <conditionalFormatting sqref="C5:L16 C29:L29">
    <cfRule type="colorScale" priority="8">
      <colorScale>
        <cfvo type="min"/>
        <cfvo type="max"/>
        <color rgb="FFFFEF9C"/>
        <color rgb="FF63BE7B"/>
      </colorScale>
    </cfRule>
  </conditionalFormatting>
  <conditionalFormatting sqref="C35:L45">
    <cfRule type="colorScale" priority="7">
      <colorScale>
        <cfvo type="min"/>
        <cfvo type="max"/>
        <color rgb="FFFFEF9C"/>
        <color rgb="FF63BE7B"/>
      </colorScale>
    </cfRule>
  </conditionalFormatting>
  <conditionalFormatting sqref="C63:L7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9:L28">
    <cfRule type="colorScale" priority="2">
      <colorScale>
        <cfvo type="min"/>
        <cfvo type="max"/>
        <color rgb="FFFFEF9C"/>
        <color rgb="FF63BE7B"/>
      </colorScale>
    </cfRule>
  </conditionalFormatting>
  <conditionalFormatting sqref="C48:L5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Numbers</vt:lpstr>
      <vt:lpstr>Simulations</vt:lpstr>
      <vt:lpstr>ETB Impact on SA</vt:lpstr>
      <vt:lpstr>simulation percent calc</vt:lpstr>
      <vt:lpstr>etb_same_month_sweepout_base</vt:lpstr>
      <vt:lpstr>ETB PH</vt:lpstr>
      <vt:lpstr>NTB PH</vt:lpstr>
      <vt:lpstr>sweep limits</vt:lpstr>
      <vt:lpstr>etb_subsc_base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Anashwara Av (Consumer Bank, KMBL)</dc:creator>
  <cp:lastModifiedBy>Anashwara Av (Consumer Bank, KMBL)</cp:lastModifiedBy>
  <dcterms:created xsi:type="dcterms:W3CDTF">2023-09-15T02:06:22Z</dcterms:created>
  <dcterms:modified xsi:type="dcterms:W3CDTF">2023-12-02T03:31:44Z</dcterms:modified>
</cp:coreProperties>
</file>