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lete Runtime Data" sheetId="1" r:id="rId4"/>
    <sheet state="visible" name="Graph Production" sheetId="2" r:id="rId5"/>
    <sheet state="visible" name="CPU vs time" sheetId="3" r:id="rId6"/>
    <sheet state="visible" name="CPU vs. time extended" sheetId="4" r:id="rId7"/>
    <sheet state="visible" name="Intermediate data includes queu" sheetId="5" r:id="rId8"/>
    <sheet state="visible" name="Total Squares" sheetId="6" r:id="rId9"/>
  </sheets>
  <definedNames>
    <definedName hidden="1" localSheetId="4" name="_xlnm._FilterDatabase">'Intermediate data includes queu'!$C$391:$H$462</definedName>
  </definedNames>
  <calcPr/>
</workbook>
</file>

<file path=xl/sharedStrings.xml><?xml version="1.0" encoding="utf-8"?>
<sst xmlns="http://schemas.openxmlformats.org/spreadsheetml/2006/main" count="2984" uniqueCount="1570">
  <si>
    <t>opt</t>
  </si>
  <si>
    <t>data</t>
  </si>
  <si>
    <t>*has overlap</t>
  </si>
  <si>
    <t xml:space="preserve"> 9bab420</t>
  </si>
  <si>
    <t>a967d20</t>
  </si>
  <si>
    <t>302dfd5 + edits</t>
  </si>
  <si>
    <t>302dfd5</t>
  </si>
  <si>
    <t>5ce58e5 + edits</t>
  </si>
  <si>
    <t>5ce58e5</t>
  </si>
  <si>
    <t>f91a510</t>
  </si>
  <si>
    <t>558361a</t>
  </si>
  <si>
    <t>left:</t>
  </si>
  <si>
    <t>top &gt;=5</t>
  </si>
  <si>
    <t>graph CPU time</t>
  </si>
  <si>
    <t>QUESTION: WHY DOESN'T C "NEXT PLATE???"</t>
  </si>
  <si>
    <t>size</t>
  </si>
  <si>
    <t>be392ca</t>
  </si>
  <si>
    <t>double nest (9bab420)</t>
  </si>
  <si>
    <t>double nest (no dynamic) (a967d20)</t>
  </si>
  <si>
    <t>no dynamic</t>
  </si>
  <si>
    <t>LR 2</t>
  </si>
  <si>
    <t xml:space="preserve"> + left and right (302dfd5)</t>
  </si>
  <si>
    <t>10:5ce58e5 + min 5 on bottom</t>
  </si>
  <si>
    <t>5:5ce58e5 + min 5 on bottom</t>
  </si>
  <si>
    <t>10:5ce58e5 (Min 9 in corner)</t>
  </si>
  <si>
    <t>10:f91a510</t>
  </si>
  <si>
    <t>10:558361a</t>
  </si>
  <si>
    <t>5:558361a</t>
  </si>
  <si>
    <t xml:space="preserve">1 core </t>
  </si>
  <si>
    <t>which work units are taking ages?</t>
  </si>
  <si>
    <t xml:space="preserve">^check if it makes the search space smaller or larger </t>
  </si>
  <si>
    <t>12b15fb + decompose + no bound</t>
  </si>
  <si>
    <t>12b15fb +decompose at c</t>
  </si>
  <si>
    <t>12b15fb + no bound improve</t>
  </si>
  <si>
    <t>12b15fb</t>
  </si>
  <si>
    <t>actual results</t>
  </si>
  <si>
    <t>TIMING CPUS</t>
  </si>
  <si>
    <t>coordinator sleeps (10ms)</t>
  </si>
  <si>
    <t>bug fixed... (sides &gt; 5)</t>
  </si>
  <si>
    <t>double nest, no comms, no timer</t>
  </si>
  <si>
    <t>double nest, NO COMMUNICATION</t>
  </si>
  <si>
    <t>10 cores: double nesting (no dynamic)</t>
  </si>
  <si>
    <t>10 cores (minimum on sides: 5) (not dynamic)</t>
  </si>
  <si>
    <t>10 cores (minimum on sides: 5)</t>
  </si>
  <si>
    <t>10 cores (Minimum bottom squares: 5)</t>
  </si>
  <si>
    <t>5 cores (Minimum bottom squares: 5)</t>
  </si>
  <si>
    <t>10 cores (Minimum first square: 9)</t>
  </si>
  <si>
    <t>10 cores (what improvement?)</t>
  </si>
  <si>
    <t>10 cores</t>
  </si>
  <si>
    <t>5 cores</t>
  </si>
  <si>
    <t>recover actual squares with vec</t>
  </si>
  <si>
    <t xml:space="preserve">how many work units </t>
  </si>
  <si>
    <t>days</t>
  </si>
  <si>
    <t>TIME</t>
  </si>
  <si>
    <t>ms</t>
  </si>
  <si>
    <t>order</t>
  </si>
  <si>
    <t>112:</t>
  </si>
  <si>
    <t>I have more I just haven't put it in yet -&gt;</t>
  </si>
  <si>
    <t>base</t>
  </si>
  <si>
    <t>paralellisation</t>
  </si>
  <si>
    <t>corner square (lower left)</t>
  </si>
  <si>
    <t>boundary square (bottom)</t>
  </si>
  <si>
    <t>boundary square (edges)</t>
  </si>
  <si>
    <t>2-square edge (bottom)</t>
  </si>
  <si>
    <t>Algorithm modification*</t>
  </si>
  <si>
    <t>+ minimum first square: 9</t>
  </si>
  <si>
    <t>min first square: 9</t>
  </si>
  <si>
    <t>+ min base squares: 5 (5 cores)</t>
  </si>
  <si>
    <t>+ min base squares: 5</t>
  </si>
  <si>
    <t>+ min side squares: 5</t>
  </si>
  <si>
    <t>minimum boundary squares: 5</t>
  </si>
  <si>
    <t>+ atleast 3 squares on bottom</t>
  </si>
  <si>
    <t xml:space="preserve">Old algorithm, some bound improvements ? </t>
  </si>
  <si>
    <t>Old algorithm with bound improvements</t>
  </si>
  <si>
    <t>New algorithm, some bound improvements?</t>
  </si>
  <si>
    <t>New algorithm, with bound improvements</t>
  </si>
  <si>
    <t>150 start 104175931</t>
  </si>
  <si>
    <t>149 end 104196351</t>
  </si>
  <si>
    <t>150 queueempty 234662782</t>
  </si>
  <si>
    <t>150 end 234682027</t>
  </si>
  <si>
    <t>9cores</t>
  </si>
  <si>
    <t>8cores</t>
  </si>
  <si>
    <t>7cores</t>
  </si>
  <si>
    <t>6cores</t>
  </si>
  <si>
    <t>5cores</t>
  </si>
  <si>
    <t>4cores</t>
  </si>
  <si>
    <t>3cores</t>
  </si>
  <si>
    <t>2cores</t>
  </si>
  <si>
    <t>1core</t>
  </si>
  <si>
    <t>TOTAL TIME</t>
  </si>
  <si>
    <t>NORMALISED TOTAL</t>
  </si>
  <si>
    <t>60 203 204 204 204 205 205 205 205 205 208 224</t>
  </si>
  <si>
    <t>61 194 194 195 195 195 196 196 196 196 196 201</t>
  </si>
  <si>
    <t>62 215 215 216 216 216 216 217 218 218 218 333</t>
  </si>
  <si>
    <t>63 306 306 306 306 307 308 308 309 309 309 478</t>
  </si>
  <si>
    <t>64 438 438 438 439 439 440 441 441 442 458 501</t>
  </si>
  <si>
    <t>65 443 443 443 444 444 446 446 446 469 469 481</t>
  </si>
  <si>
    <t>66 572 572 572 573 573 574 575 576 577 577 617</t>
  </si>
  <si>
    <t>67 682 682 682 683 684 686 686 688 688 689 998</t>
  </si>
  <si>
    <t>68 982 982 982 987 987 988 988 990 1046 1222 1718</t>
  </si>
  <si>
    <t>69 1162 1162 1162 1163 1164 1165 1167 1168 1170 1170 1171</t>
  </si>
  <si>
    <t>70 1165 1166 1166 1167 1168 1172 1172 1174 1175 1176 1177</t>
  </si>
  <si>
    <t>71 1522 1523 1523 1524 1526 1531 1531 1534 1534 1537 1578</t>
  </si>
  <si>
    <t>72 2169 2169 2178 2180 2181 2182 2183 2184 2240 2692 2993</t>
  </si>
  <si>
    <t>73 2252 2254 2254 2256 2257 2264 2265 2268 2271 2272 4563</t>
  </si>
  <si>
    <t>74 2924 2928 2933 2933 2938 2941 2943 2944 2945 2946 3241</t>
  </si>
  <si>
    <t>75 3680 3680 3680 3680 3683 3694 3696 3697 3697 3701 3703</t>
  </si>
  <si>
    <t>76 5260 5264 5268 5276 5281 5285 5292 5294 5297 5361 6906</t>
  </si>
  <si>
    <t>77 5473 5474 5474 5477 5479 5496 5499 5501 5506 5508 7732</t>
  </si>
  <si>
    <t>78 6230 6233 6233 6236 6240 6258 6263 6268 6270 6278 14389</t>
  </si>
  <si>
    <t>79 8234 8236 8241 8241 8252 8271 8273 8277 8279 8286 8372</t>
  </si>
  <si>
    <t>80 10938 10938 10945 10954 10976 10987 10988 10993 10993 11202 14813</t>
  </si>
  <si>
    <t>81 12754 12754 12755 12755 12761 12804 12808 12811 12816 12825 16019</t>
  </si>
  <si>
    <t>82 14024 14025 14025 14027 14037 14077 14085 14086 14088 14092 20262</t>
  </si>
  <si>
    <t>83 18859 18875 18876 18884 18932 18940 18944 18947 18958 20472 43908</t>
  </si>
  <si>
    <t>84 28003 28025 28082 28096 28104 28104 28122 28232 28915 32087 39124</t>
  </si>
  <si>
    <t>85 28421 28435 28438 28439 28451 28503 28511 28533 28536 28540 28573</t>
  </si>
  <si>
    <t>86 31468 31480 31484 31486 31490 31582 31585 31601 31614 31638 41800</t>
  </si>
  <si>
    <t>87 44774 44790 44815 44851 44934 44941 44949 44967 44985 51661 57790</t>
  </si>
  <si>
    <t>88 61391 61420 61450 61557 61575 61578 61587 61609 62641 85719 138816</t>
  </si>
  <si>
    <t>89 60729 60732 60737 60739 60769 60913 60940 60953 60954 60974 77471</t>
  </si>
  <si>
    <t>90 73838 73840 73840 73884 73896 74029 74072 74087 74092 74104 90205</t>
  </si>
  <si>
    <t>91 89779 89783 89803 89807 89856 90034 90056 90094 90124 90144 134457</t>
  </si>
  <si>
    <t>92 149873 149895 150027 150260 150269 150317 150355 150392 156150 176295 209296</t>
  </si>
  <si>
    <t>93 143580 143586 143652 143705 144015 144051 144063 144135 144182 165045 367326</t>
  </si>
  <si>
    <t>94 146323 146358 146426 146485 146534 146752 146851 146866 146935 146981 225112</t>
  </si>
  <si>
    <t>95 199160 199281 199283 199288 199302 199778 199810 199848 199935 199968 249843</t>
  </si>
  <si>
    <t>96 297037 297130 297387 297810 297830 297952 298052 298155 369293 397834 425360</t>
  </si>
  <si>
    <t>97 304805 304879 304898 305011 305713 305714 305738 305890 309889 392091 434369</t>
  </si>
  <si>
    <t>98 342643 342683 342772 342859 343611 343734 343807 343982 348326 411339 995151</t>
  </si>
  <si>
    <t>99 489679 489690 489879 489889 489907 490693 490972 491020 491063 491156 708811</t>
  </si>
  <si>
    <t>100 788233 788341 788818 789859 790070 790240 790279 790464 821107 905067 1105457</t>
  </si>
  <si>
    <t>101 758502 758593 758772 758772 760342 760354 760532 760581 760595 792654 1225133</t>
  </si>
  <si>
    <t>102 866721 866865 866868 866888 869011 869070 869116 869238 869291 1115913 1201513</t>
  </si>
  <si>
    <t>103 893072 893121 893228 893281 895387 895659 895755 895989 896198 1201197 2701813</t>
  </si>
  <si>
    <t>104 1446129 1446172 1447291 1449357 1449443 1449508 1449851 1450165 1456570 2031263 2135026</t>
  </si>
  <si>
    <t>32 16 16 16 16 16 16 16 16 16 16 16</t>
  </si>
  <si>
    <t>33 18 18 18 18 18 18 18 18 18 18 18</t>
  </si>
  <si>
    <t>34 17 17 17 17 17 17 17 17 17 17 17</t>
  </si>
  <si>
    <t>35 18 18 18 18 18 18 18 18 18 18 18</t>
  </si>
  <si>
    <t>36 18 18 18 18 18 18 18 18 18 18 18</t>
  </si>
  <si>
    <t>37 21 21 21 21 21 21 21 21 21 21 21</t>
  </si>
  <si>
    <t>38 16 16 16 16 16 16 16 16 16 16 16</t>
  </si>
  <si>
    <t>39 17 17 17 17 17 17 17 17 17 17 17</t>
  </si>
  <si>
    <t>40 20 20 20 20 20 20 20 20 20 20 20</t>
  </si>
  <si>
    <t>41 18 18 18 18 18 18 18 18 18 18 18</t>
  </si>
  <si>
    <t>42 20 20 20 20 20 20 20 20 20 20 20</t>
  </si>
  <si>
    <t>43 20 20 20 20 20 20 20 20 20 20 21</t>
  </si>
  <si>
    <t>44 21 21 21 21 21 21 21 21 21 21 21</t>
  </si>
  <si>
    <t>45 22 22 22 22 22 22 22 22 22 22 23</t>
  </si>
  <si>
    <t>46 22 22 22 22 22 22 22 22 22 22 22</t>
  </si>
  <si>
    <t>47 24 24 24 24 24 24 24 24 24 26 27</t>
  </si>
  <si>
    <t>48 27 27 27 27 27 27 27 27 27 27 27</t>
  </si>
  <si>
    <t>49 27 27 27 27 27 27 27 27 27 27 28</t>
  </si>
  <si>
    <t>50 28 28 28 28 28 28 28 28 28 28 28</t>
  </si>
  <si>
    <t>51 33 33 33 33 33 33 33 33 33 33 34</t>
  </si>
  <si>
    <t>52 39 39 39 39 39 39 39 39 39 40 46</t>
  </si>
  <si>
    <t>53 44 44 44 44 44 45 45 45 45 45 47</t>
  </si>
  <si>
    <t>54 48 48 49 49 49 49 49 49 49 49 49</t>
  </si>
  <si>
    <t>55 55 56 56 56 56 56 56 56 56 56 61</t>
  </si>
  <si>
    <t>56 74 74 74 74 74 74 74 75 75 78 80</t>
  </si>
  <si>
    <t>57 90 90 90 90 91 91 91 91 91 91 114</t>
  </si>
  <si>
    <t>58 101 101 101 101 101 102 102 102 102 102 140</t>
  </si>
  <si>
    <t>59 120 120 120 120 120 121 121 121 121 121 122</t>
  </si>
  <si>
    <t>60 166 166 166 166 167 167 167 167 167 172 188</t>
  </si>
  <si>
    <t>61 218 219 219 219 219 220 221 221 221 221 243</t>
  </si>
  <si>
    <t>62 226 226 226 226 227 227 228 228 229 229 356</t>
  </si>
  <si>
    <t>63 313 313 313 314 314 315 315 316 316 316 475</t>
  </si>
  <si>
    <t>64 386 386 387 387 388 388 389 389 389 412 447</t>
  </si>
  <si>
    <t>65 436 436 436 436 437 437 437 437 438 460 461</t>
  </si>
  <si>
    <t>66 519 519 520 520 520 521 522 523 523 525 525</t>
  </si>
  <si>
    <t>67 659 660 660 660 662 663 663 665 665 667 947</t>
  </si>
  <si>
    <t>68 923 924 925 928 929 930 930 931 936 1152 1625</t>
  </si>
  <si>
    <t>69 1047 1047 1048 1048 1048 1049 1053 1053 1053 1054 1056</t>
  </si>
  <si>
    <t>70 1175 1176 1178 1178 1182 1183 1184 1184 1185 1187 1228</t>
  </si>
  <si>
    <t>71 1537 1537 1539 1540 1544 1547 1547 1549 1552 1552 1559</t>
  </si>
  <si>
    <t>72 2269 2271 2273 2278 2280 2282 2283 2285 2362 2792 3173</t>
  </si>
  <si>
    <t>73 2218 2220 2220 2221 2223 2231 2232 2233 2233 2236 4521</t>
  </si>
  <si>
    <t>74 2668 2668 2670 2682 2683 2684 2684 2685 2686 2688 2730</t>
  </si>
  <si>
    <t>75 3677 3679 3681 3682 3684 3688 3693 3698 3700 3701 3703</t>
  </si>
  <si>
    <t>76 5237 5244 5247 5264 5266 5266 5269 5269 5288 5318 6835</t>
  </si>
  <si>
    <t>77 5692 5692 5694 5694 5700 5715 5719 5722 5726 5728 8167</t>
  </si>
  <si>
    <t>78 6195 6198 6199 6201 6202 6226 6228 6236 6240 6241 14534</t>
  </si>
  <si>
    <t>79 8134 8134 8135 8135 8143 8168 8169 8171 8178 8179 8377</t>
  </si>
  <si>
    <t>80 10928 10929 10932 10948 10958 10961 10964 10966 11184 11367 15099</t>
  </si>
  <si>
    <t>81 12583 12585 12586 12593 12594 12636 12639 12644 12646 12658 15982</t>
  </si>
  <si>
    <t>82 14026 14028 14029 14039 14042 14083 14090 14094 14100 14101 20279</t>
  </si>
  <si>
    <t>83 18296 18300 18312 18335 18371 18374 18383 18397 18404 19714 43120</t>
  </si>
  <si>
    <t>84 27431 27454 27525 27536 27540 27543 27550 27792 28317 31628 38548</t>
  </si>
  <si>
    <t>85 26489 26497 26503 26503 26519 26586 26597 26611 26613 26625 26661</t>
  </si>
  <si>
    <t>86 29767 29768 29774 29776 29798 29873 29882 29898 29900 29909 40924</t>
  </si>
  <si>
    <t>87 43716 43716 43752 43844 43863 43866 43873 43890 43893 50676 56616</t>
  </si>
  <si>
    <t>88 59073 59106 59140 59248 59274 59293 59294 59321 60385 83623 136628</t>
  </si>
  <si>
    <t>89 58881 58882 58893 58918 58993 59061 59092 59092 59100 59113 74978</t>
  </si>
  <si>
    <t>90 71326 71336 71367 71367 71378 71566 71594 71602 71651 71660 87902</t>
  </si>
  <si>
    <t>91 86160 86165 86184 86220 86277 86377 86462 86474 86474 86487 130936</t>
  </si>
  <si>
    <t>92 143995 144004 144199 144391 144398 144508 144530 144564 151332 170581 203408</t>
  </si>
  <si>
    <t>93 137048 137094 137126 137135 137491 137504 137582 137607 137681 158829 360035</t>
  </si>
  <si>
    <t>94 140580 140610 140627 140663 140778 141031 141070 141108 141178 141199 218208</t>
  </si>
  <si>
    <t>95 186159 186159 186182 186187 186250 186676 186677 186679 186750 186762 236507</t>
  </si>
  <si>
    <t>96 285666 285739 285959 286437 286461 286599 286612 286756 360557 387309 414780</t>
  </si>
  <si>
    <t>97 291258 291265 291360 291401 292141 292176 292224 292359 296367 377216 421660</t>
  </si>
  <si>
    <t>98 322057 322075 322095 322147 323126 323150 323320 323398 327816 389124 972165</t>
  </si>
  <si>
    <t>99 432192 432319 432428 432428 432470 433147 433408 433516 433542 433611 641734</t>
  </si>
  <si>
    <t>100 624606 624728 625265 626174 626288 626483 626525 626807 656456 740231 933370</t>
  </si>
  <si>
    <t>101 622198 622234 622252 622380 623797 623918 624052 624181 624241 653010 1068916</t>
  </si>
  <si>
    <t>102 712746 712777 712806 713024 714848 714914 714983 715326 715383 954050 1040079</t>
  </si>
  <si>
    <t>103 873649 873651 873653 873777 875932 876185 876310 876570 876608 1180143 2683794</t>
  </si>
  <si>
    <t>104 1333744 1333941 1334951 1336862 1336926 1337234 1337409 1337732 1344204 1917450 2018635</t>
  </si>
  <si>
    <t>105 1441264 1441339 1441671 1441684 1442176 1444559 1444945 1444964 1445357 1445641 1828455</t>
  </si>
  <si>
    <t>106 1507666 1507691 1507740 1507855 1511368 1511828 1512055 1512249 1512261 2075653 2702906</t>
  </si>
  <si>
    <t>107 1849270 1849285 1849290 1849408 1853686 1854302 1854468 1854714 1854919 2500531 3081805</t>
  </si>
  <si>
    <t>108 3011385 3011559 3013795 3017626 3017828 3018006 3018649 3019263 3199406 4566162 7531952</t>
  </si>
  <si>
    <t>109 2940595 2940953 2943296 2947935 2948118 2948929 2949280 2949575 2950232 4578682 4608347</t>
  </si>
  <si>
    <t>110 3061921 3062189 3062623 3062684 3069726 3070232 3070742 3071748 3071895 3194620 5111774</t>
  </si>
  <si>
    <t>111 4457060 4457199 4457334 4457929 4466705 4467599 4468230 4469345 4469626 5438539</t>
  </si>
  <si>
    <t>112 9358557 9359923 9360897 9361427 9361445 9365096 9368085 9370407 9370959 9371136 12327578</t>
  </si>
  <si>
    <t>113 5839737 5839955 5844351 5854040 5854394 5854396 5855923 5856544 5972310 8439860 18571439</t>
  </si>
  <si>
    <t>114 7313882 7313940 7314339 7314450 7329397 7329715 7331145 7332421 7332835 7881432 12534617</t>
  </si>
  <si>
    <t>115 9419711 9421851 9422024 9422426 9422435 9428503 9436636 9438097 9440550 9440735 13560971</t>
  </si>
  <si>
    <t>121 27300199 27300944 27302753 27303539 27338748 27354489 27356248 27358092 27360537 36401179</t>
  </si>
  <si>
    <t>111 5180793 5181290 5181487 5181518 5191117 5192056 5192188 5193328 5193947 6168589 8676048</t>
  </si>
  <si>
    <t>112 8943859 8945452 8946093 8946962 8947494 8951006 8954143 8956531 8957208 8957244 11966761</t>
  </si>
  <si>
    <t>113 5919729 5919763 5924470 5934408 5934472 5934702 5936175 5936706 6050954 8552222 18784297</t>
  </si>
  <si>
    <t>114 7305075 7305751 7306093 7306570 7320812 7322010 7322358 7323432 7324635 7887152 12595511</t>
  </si>
  <si>
    <t>115 8948986 8949189 8950342 8950388 8950854 8957194 8963898 8966190 8968998 8969871 13686125</t>
  </si>
  <si>
    <t>116 15841908 15842278 15853038 15868281 15868422 15869225 15872784 15873087 17292384 20754657 23259618</t>
  </si>
  <si>
    <t>no rectangles found :)</t>
  </si>
  <si>
    <t>117 14492711 14492906 14494007 14494300 14514086 14519926 14522125 14522897 14525406 16470558 22835241</t>
  </si>
  <si>
    <t>118 14332000 14333372 14333757 14334959 14357361 14365595 14367340 14369634 14369684 20317792 49873125</t>
  </si>
  <si>
    <t>119 21174914 21176468 21188889 21212259 21215391 21217258 21221126 21223179 21497153 27150758 33604861</t>
  </si>
  <si>
    <t xml:space="preserve">12b15fb </t>
  </si>
  <si>
    <t>12b15fb + decompose instead of next plate c</t>
  </si>
  <si>
    <t>12b15fb +no bound improve +  decompose instead of next plate c</t>
  </si>
  <si>
    <t>squares placed</t>
  </si>
  <si>
    <t>output</t>
  </si>
  <si>
    <t>label</t>
  </si>
  <si>
    <t>squares places</t>
  </si>
  <si>
    <t>0 start 0</t>
  </si>
  <si>
    <t>start</t>
  </si>
  <si>
    <t>0 queueempty 11</t>
  </si>
  <si>
    <t>end</t>
  </si>
  <si>
    <t>0 queueempty 12</t>
  </si>
  <si>
    <t>1 start 11</t>
  </si>
  <si>
    <t>1 start 12</t>
  </si>
  <si>
    <t>1 queueempty 24</t>
  </si>
  <si>
    <t>1 queueempty 22</t>
  </si>
  <si>
    <t>2 start 24</t>
  </si>
  <si>
    <t>2 start 22</t>
  </si>
  <si>
    <t>2 queueempty 36</t>
  </si>
  <si>
    <t>2 queueempty 33</t>
  </si>
  <si>
    <t>3 start 36</t>
  </si>
  <si>
    <t>3 start 33</t>
  </si>
  <si>
    <t>3 queueempty 48</t>
  </si>
  <si>
    <t>3 queueempty 44</t>
  </si>
  <si>
    <t>3 queueempty 49</t>
  </si>
  <si>
    <t>4 start 48</t>
  </si>
  <si>
    <t>4 start 44</t>
  </si>
  <si>
    <t>4 start 49</t>
  </si>
  <si>
    <t>4 queueempty 59</t>
  </si>
  <si>
    <t>4 queueempty 56</t>
  </si>
  <si>
    <t>4 queueempty 61</t>
  </si>
  <si>
    <t>5 start 59</t>
  </si>
  <si>
    <t>5 start 56</t>
  </si>
  <si>
    <t>5 start 61</t>
  </si>
  <si>
    <t>5 queueempty 71</t>
  </si>
  <si>
    <t>5 queueempty 68</t>
  </si>
  <si>
    <t>5 queueempty 73</t>
  </si>
  <si>
    <t>6 start 72</t>
  </si>
  <si>
    <t>6 start 68</t>
  </si>
  <si>
    <t>6 start 73</t>
  </si>
  <si>
    <t>6 queueempty 84</t>
  </si>
  <si>
    <t>6 queueempty 80</t>
  </si>
  <si>
    <t>6 queueempty 85</t>
  </si>
  <si>
    <t>7 start 84</t>
  </si>
  <si>
    <t>7 start 80</t>
  </si>
  <si>
    <t>7 start 85</t>
  </si>
  <si>
    <t>7 queueempty 94</t>
  </si>
  <si>
    <t>7 queueempty 93</t>
  </si>
  <si>
    <t>7 queueempty 98</t>
  </si>
  <si>
    <t>7 queueempty 96</t>
  </si>
  <si>
    <t>8 start 95</t>
  </si>
  <si>
    <t>8 start 93</t>
  </si>
  <si>
    <t>8 start 98</t>
  </si>
  <si>
    <t>8 start 96</t>
  </si>
  <si>
    <t>8 queueempty 105</t>
  </si>
  <si>
    <t>8 queueempty 104</t>
  </si>
  <si>
    <t>8 queueempty 109</t>
  </si>
  <si>
    <t>8 queueempty 108</t>
  </si>
  <si>
    <t>9 start 105</t>
  </si>
  <si>
    <t>9 start 104</t>
  </si>
  <si>
    <t>9 start 109</t>
  </si>
  <si>
    <t>9 start 108</t>
  </si>
  <si>
    <t>9 queueempty 117</t>
  </si>
  <si>
    <t>9 queueempty 114</t>
  </si>
  <si>
    <t>9 queueempty 120</t>
  </si>
  <si>
    <t>10 start 117</t>
  </si>
  <si>
    <t>10 start 114</t>
  </si>
  <si>
    <t>10 start 120</t>
  </si>
  <si>
    <t>10 start 121</t>
  </si>
  <si>
    <t>10 queueempty 129</t>
  </si>
  <si>
    <t>10 queueempty 126</t>
  </si>
  <si>
    <t>10 queueempty 133</t>
  </si>
  <si>
    <t>10 queueempty 132</t>
  </si>
  <si>
    <t>11 start 129</t>
  </si>
  <si>
    <t>11 start 126</t>
  </si>
  <si>
    <t>11 start 134</t>
  </si>
  <si>
    <t>11 start 132</t>
  </si>
  <si>
    <t>11 queueempty 142</t>
  </si>
  <si>
    <t>11 queueempty 139</t>
  </si>
  <si>
    <t>11 queueempty 147</t>
  </si>
  <si>
    <t>12 start 142</t>
  </si>
  <si>
    <t>12 start 139</t>
  </si>
  <si>
    <t>12 start 148</t>
  </si>
  <si>
    <t>12 start 143</t>
  </si>
  <si>
    <t>12 queueempty 154</t>
  </si>
  <si>
    <t>12 queueempty 151</t>
  </si>
  <si>
    <t>12 queueempty 160</t>
  </si>
  <si>
    <t>13 start 154</t>
  </si>
  <si>
    <t>13 start 151</t>
  </si>
  <si>
    <t>13 start 160</t>
  </si>
  <si>
    <t>13 queueempty 166</t>
  </si>
  <si>
    <t>13 queueempty 164</t>
  </si>
  <si>
    <t>13 queueempty 171</t>
  </si>
  <si>
    <t>13 queueempty 165</t>
  </si>
  <si>
    <t>14 start 166</t>
  </si>
  <si>
    <t>14 start 164</t>
  </si>
  <si>
    <t>14 start 171</t>
  </si>
  <si>
    <t>14 start 165</t>
  </si>
  <si>
    <t>14 queueempty 179</t>
  </si>
  <si>
    <t>14 queueempty 175</t>
  </si>
  <si>
    <t>14 queueempty 184</t>
  </si>
  <si>
    <t>14 queueempty 178</t>
  </si>
  <si>
    <t>15 start 179</t>
  </si>
  <si>
    <t>15 start 175</t>
  </si>
  <si>
    <t>15 start 184</t>
  </si>
  <si>
    <t>15 start 178</t>
  </si>
  <si>
    <t>15 queueempty 189</t>
  </si>
  <si>
    <t>15 queueempty 186</t>
  </si>
  <si>
    <t>15 queueempty 196</t>
  </si>
  <si>
    <t>15 queueempty 190</t>
  </si>
  <si>
    <t>16 start 189</t>
  </si>
  <si>
    <t>16 start 187</t>
  </si>
  <si>
    <t>16 start 197</t>
  </si>
  <si>
    <t>16 start 190</t>
  </si>
  <si>
    <t>16 queueempty 201</t>
  </si>
  <si>
    <t>16 queueempty 198</t>
  </si>
  <si>
    <t>16 queueempty 209</t>
  </si>
  <si>
    <t>16 queueempty 203</t>
  </si>
  <si>
    <t>17 start 201</t>
  </si>
  <si>
    <t>17 start 198</t>
  </si>
  <si>
    <t>17 start 209</t>
  </si>
  <si>
    <t>17 start 203</t>
  </si>
  <si>
    <t>17 queueempty 214</t>
  </si>
  <si>
    <t>17 queueempty 211</t>
  </si>
  <si>
    <t>17 queueempty 222</t>
  </si>
  <si>
    <t>17 queueempty 215</t>
  </si>
  <si>
    <t>18 start 214</t>
  </si>
  <si>
    <t>18 start 211</t>
  </si>
  <si>
    <t>18 start 222</t>
  </si>
  <si>
    <t>18 start 215</t>
  </si>
  <si>
    <t>18 queueempty 226</t>
  </si>
  <si>
    <t>18 queueempty 223</t>
  </si>
  <si>
    <t>18 queueempty 235</t>
  </si>
  <si>
    <t>18 queueempty 228</t>
  </si>
  <si>
    <t>19 start 226</t>
  </si>
  <si>
    <t>19 start 223</t>
  </si>
  <si>
    <t>19 start 235</t>
  </si>
  <si>
    <t>19 start 228</t>
  </si>
  <si>
    <t>19 queueempty 238</t>
  </si>
  <si>
    <t>19 queueempty 235</t>
  </si>
  <si>
    <t>queueempty</t>
  </si>
  <si>
    <t>19 queueempty 248</t>
  </si>
  <si>
    <t>19 queueempty 241</t>
  </si>
  <si>
    <t>20 start 238</t>
  </si>
  <si>
    <t>19 end 248</t>
  </si>
  <si>
    <t>20 start 248</t>
  </si>
  <si>
    <t>19 end 253</t>
  </si>
  <si>
    <t>20 queueempty 251</t>
  </si>
  <si>
    <t>20 start 235</t>
  </si>
  <si>
    <t>20 queueempty 259</t>
  </si>
  <si>
    <t>20 start 241</t>
  </si>
  <si>
    <t>21 start 251</t>
  </si>
  <si>
    <t>20 queueempty 248</t>
  </si>
  <si>
    <t>21 start 259</t>
  </si>
  <si>
    <t>20 queueempty 253</t>
  </si>
  <si>
    <t>21 queueempty 263</t>
  </si>
  <si>
    <t>20 end 260</t>
  </si>
  <si>
    <t>21 queueempty 272</t>
  </si>
  <si>
    <t>20 end 265</t>
  </si>
  <si>
    <t>22 start 263</t>
  </si>
  <si>
    <t>21 start 248</t>
  </si>
  <si>
    <t>22 start 273</t>
  </si>
  <si>
    <t>21 start 253</t>
  </si>
  <si>
    <t>22 queueempty 276</t>
  </si>
  <si>
    <t>21 queueempty 260</t>
  </si>
  <si>
    <t>22 queueempty 284</t>
  </si>
  <si>
    <t>21 queueempty 265</t>
  </si>
  <si>
    <t>23 start 276</t>
  </si>
  <si>
    <t>21 end 273</t>
  </si>
  <si>
    <t>23 start 284</t>
  </si>
  <si>
    <t>21 end 278</t>
  </si>
  <si>
    <t>23 queueempty 288</t>
  </si>
  <si>
    <t>22 start 260</t>
  </si>
  <si>
    <t>23 queueempty 298</t>
  </si>
  <si>
    <t>22 start 265</t>
  </si>
  <si>
    <t>23 end 299</t>
  </si>
  <si>
    <t>22 queueempty 273</t>
  </si>
  <si>
    <t>23 end 308</t>
  </si>
  <si>
    <t>22 queueempty 278</t>
  </si>
  <si>
    <t>24 start 288</t>
  </si>
  <si>
    <t>22 end 286</t>
  </si>
  <si>
    <t>24 start 298</t>
  </si>
  <si>
    <t>22 end 288</t>
  </si>
  <si>
    <t>24 queueempty 299</t>
  </si>
  <si>
    <t>23 start 273</t>
  </si>
  <si>
    <t>24 queueempty 309</t>
  </si>
  <si>
    <t>23 start 278</t>
  </si>
  <si>
    <t>24 end 311</t>
  </si>
  <si>
    <t>23 queueempty 286</t>
  </si>
  <si>
    <t>24 end 321</t>
  </si>
  <si>
    <t>23 queueempty 289</t>
  </si>
  <si>
    <t>25 start 299</t>
  </si>
  <si>
    <t>23 end 297</t>
  </si>
  <si>
    <t>25 start 309</t>
  </si>
  <si>
    <t>23 end 300</t>
  </si>
  <si>
    <t>25 queueempty 311</t>
  </si>
  <si>
    <t>24 start 286</t>
  </si>
  <si>
    <t>25 queueempty 321</t>
  </si>
  <si>
    <t>24 start 289</t>
  </si>
  <si>
    <t>25 end 322</t>
  </si>
  <si>
    <t>24 queueempty 297</t>
  </si>
  <si>
    <t>25 end 334</t>
  </si>
  <si>
    <t>24 queueempty 300</t>
  </si>
  <si>
    <t>26 start 311</t>
  </si>
  <si>
    <t>24 end 309</t>
  </si>
  <si>
    <t>26 start 321</t>
  </si>
  <si>
    <t>24 end 312</t>
  </si>
  <si>
    <t>26 queueempty 323</t>
  </si>
  <si>
    <t>25 start 297</t>
  </si>
  <si>
    <t>26 queueempty 334</t>
  </si>
  <si>
    <t>25 start 300</t>
  </si>
  <si>
    <t>26 end 335</t>
  </si>
  <si>
    <t>25 queueempty 310</t>
  </si>
  <si>
    <t>26 end 348</t>
  </si>
  <si>
    <t>25 queueempty 313</t>
  </si>
  <si>
    <t>27 start 323</t>
  </si>
  <si>
    <t>27 start 334</t>
  </si>
  <si>
    <t>25 end 325</t>
  </si>
  <si>
    <t>27 queueempty 335</t>
  </si>
  <si>
    <t>26 start 310</t>
  </si>
  <si>
    <t>27 queueempty 349</t>
  </si>
  <si>
    <t>26 start 313</t>
  </si>
  <si>
    <t>27 end 346</t>
  </si>
  <si>
    <t>26 queueempty 322</t>
  </si>
  <si>
    <t>27 end 361</t>
  </si>
  <si>
    <t>26 queueempty 326</t>
  </si>
  <si>
    <t>28 start 335</t>
  </si>
  <si>
    <t>28 start 349</t>
  </si>
  <si>
    <t>26 end 338</t>
  </si>
  <si>
    <t>28 queueempty 346</t>
  </si>
  <si>
    <t>27 start 322</t>
  </si>
  <si>
    <t>28 queueempty 362</t>
  </si>
  <si>
    <t>27 start 326</t>
  </si>
  <si>
    <t>28 end 359</t>
  </si>
  <si>
    <t>28 end 373</t>
  </si>
  <si>
    <t>27 queueempty 339</t>
  </si>
  <si>
    <t>29 start 346</t>
  </si>
  <si>
    <t>27 end 348</t>
  </si>
  <si>
    <t>29 start 362</t>
  </si>
  <si>
    <t>27 end 352</t>
  </si>
  <si>
    <t>29 queueempty 359</t>
  </si>
  <si>
    <t>29 queueempty 374</t>
  </si>
  <si>
    <t>28 start 339</t>
  </si>
  <si>
    <t>29 end 372</t>
  </si>
  <si>
    <t>28 queueempty 348</t>
  </si>
  <si>
    <t>29 end 387</t>
  </si>
  <si>
    <t>28 queueempty 355</t>
  </si>
  <si>
    <t>30 start 359</t>
  </si>
  <si>
    <t>28 end 360</t>
  </si>
  <si>
    <t>30 start 374</t>
  </si>
  <si>
    <t>28 end 367</t>
  </si>
  <si>
    <t>30 queueempty 372</t>
  </si>
  <si>
    <t>29 start 348</t>
  </si>
  <si>
    <t>30 queueempty 389</t>
  </si>
  <si>
    <t>29 start 355</t>
  </si>
  <si>
    <t>30 end 383</t>
  </si>
  <si>
    <t>29 queueempty 360</t>
  </si>
  <si>
    <t>30 end 399</t>
  </si>
  <si>
    <t>29 queueempty 369</t>
  </si>
  <si>
    <t>31 start 372</t>
  </si>
  <si>
    <t>29 end 373</t>
  </si>
  <si>
    <t>31 start 389</t>
  </si>
  <si>
    <t>29 end 379</t>
  </si>
  <si>
    <t>31 queueempty 384</t>
  </si>
  <si>
    <t>30 start 360</t>
  </si>
  <si>
    <t>31 queueempty 401</t>
  </si>
  <si>
    <t>30 start 369</t>
  </si>
  <si>
    <t>31 end 396</t>
  </si>
  <si>
    <t>30 queueempty 373</t>
  </si>
  <si>
    <t>31 end 413</t>
  </si>
  <si>
    <t>30 queueempty 381</t>
  </si>
  <si>
    <t>32 start 384</t>
  </si>
  <si>
    <t>30 end 386</t>
  </si>
  <si>
    <t>32 start 401</t>
  </si>
  <si>
    <t>30 end 393</t>
  </si>
  <si>
    <t>32 queueempty 397</t>
  </si>
  <si>
    <t>31 start 373</t>
  </si>
  <si>
    <t>32 queueempty 416</t>
  </si>
  <si>
    <t>31 start 381</t>
  </si>
  <si>
    <t>32 end 410</t>
  </si>
  <si>
    <t>31 queueempty 387</t>
  </si>
  <si>
    <t>32 end 426</t>
  </si>
  <si>
    <t>31 queueempty 395</t>
  </si>
  <si>
    <t>33 start 397</t>
  </si>
  <si>
    <t>31 end 399</t>
  </si>
  <si>
    <t>33 start 416</t>
  </si>
  <si>
    <t>31 end 407</t>
  </si>
  <si>
    <t>33 queueempty 410</t>
  </si>
  <si>
    <t>32 start 387</t>
  </si>
  <si>
    <t>33 queueempty 432</t>
  </si>
  <si>
    <t>32 start 395</t>
  </si>
  <si>
    <t>33 end 422</t>
  </si>
  <si>
    <t>32 queueempty 400</t>
  </si>
  <si>
    <t>33 end 443</t>
  </si>
  <si>
    <t>32 queueempty 410</t>
  </si>
  <si>
    <t>34 start 410</t>
  </si>
  <si>
    <t>32 end 412</t>
  </si>
  <si>
    <t>34 start 432</t>
  </si>
  <si>
    <t>32 end 423</t>
  </si>
  <si>
    <t>34 queueempty 423</t>
  </si>
  <si>
    <t>33 start 400</t>
  </si>
  <si>
    <t>34 queueempty 446</t>
  </si>
  <si>
    <t>33 start 410</t>
  </si>
  <si>
    <t>34 end 436</t>
  </si>
  <si>
    <t>33 queueempty 413</t>
  </si>
  <si>
    <t>34 end 460</t>
  </si>
  <si>
    <t>33 queueempty 427</t>
  </si>
  <si>
    <t>35 start 423</t>
  </si>
  <si>
    <t>33 end 426</t>
  </si>
  <si>
    <t>35 start 446</t>
  </si>
  <si>
    <t>33 end 439</t>
  </si>
  <si>
    <t>35 queueempty 437</t>
  </si>
  <si>
    <t>34 start 413</t>
  </si>
  <si>
    <t>35 queueempty 463</t>
  </si>
  <si>
    <t>34 start 427</t>
  </si>
  <si>
    <t>35 end 448</t>
  </si>
  <si>
    <t>34 queueempty 427</t>
  </si>
  <si>
    <t>35 end 476</t>
  </si>
  <si>
    <t>34 queueempty 445</t>
  </si>
  <si>
    <t>36 start 437</t>
  </si>
  <si>
    <t>34 end 439</t>
  </si>
  <si>
    <t>36 start 463</t>
  </si>
  <si>
    <t>34 end 457</t>
  </si>
  <si>
    <t>36 queueempty 450</t>
  </si>
  <si>
    <t>35 start 427</t>
  </si>
  <si>
    <t>36 queueempty 481</t>
  </si>
  <si>
    <t>35 start 445</t>
  </si>
  <si>
    <t>36 end 462</t>
  </si>
  <si>
    <t>35 queueempty 441</t>
  </si>
  <si>
    <t>36 end 492</t>
  </si>
  <si>
    <t>37 start 450</t>
  </si>
  <si>
    <t>35 end 453</t>
  </si>
  <si>
    <t>37 start 481</t>
  </si>
  <si>
    <t>35 end 475</t>
  </si>
  <si>
    <t>37 queueempty 464</t>
  </si>
  <si>
    <t>36 start 441</t>
  </si>
  <si>
    <t>37 queueempty 497</t>
  </si>
  <si>
    <t>37 end 476</t>
  </si>
  <si>
    <t>36 queueempty 455</t>
  </si>
  <si>
    <t>37 end 510</t>
  </si>
  <si>
    <t>36 queueempty 479</t>
  </si>
  <si>
    <t>38 start 464</t>
  </si>
  <si>
    <t>36 end 467</t>
  </si>
  <si>
    <t>38 start 497</t>
  </si>
  <si>
    <t>38 queueempty 478</t>
  </si>
  <si>
    <t>37 start 455</t>
  </si>
  <si>
    <t>38 queueempty 519</t>
  </si>
  <si>
    <t>37 start 479</t>
  </si>
  <si>
    <t>38 end 490</t>
  </si>
  <si>
    <t>37 queueempty 469</t>
  </si>
  <si>
    <t>38 end 531</t>
  </si>
  <si>
    <t>37 queueempty 495</t>
  </si>
  <si>
    <t>39 start 478</t>
  </si>
  <si>
    <t>37 end 482</t>
  </si>
  <si>
    <t>39 start 519</t>
  </si>
  <si>
    <t>37 end 508</t>
  </si>
  <si>
    <t>39 queueempty 492</t>
  </si>
  <si>
    <t>38 start 469</t>
  </si>
  <si>
    <t>39 queueempty 537</t>
  </si>
  <si>
    <t>38 start 495</t>
  </si>
  <si>
    <t>39 end 504</t>
  </si>
  <si>
    <t>38 queueempty 483</t>
  </si>
  <si>
    <t>39 end 549</t>
  </si>
  <si>
    <t>38 queueempty 513</t>
  </si>
  <si>
    <t>40 start 492</t>
  </si>
  <si>
    <t>38 end 496</t>
  </si>
  <si>
    <t>40 start 537</t>
  </si>
  <si>
    <t>38 end 526</t>
  </si>
  <si>
    <t>40 queueempty 507</t>
  </si>
  <si>
    <t>39 start 483</t>
  </si>
  <si>
    <t>40 queueempty 555</t>
  </si>
  <si>
    <t>39 start 513</t>
  </si>
  <si>
    <t>40 end 519</t>
  </si>
  <si>
    <t>39 queueempty 498</t>
  </si>
  <si>
    <t>40 end 568</t>
  </si>
  <si>
    <t>39 queueempty 533</t>
  </si>
  <si>
    <t>41 start 507</t>
  </si>
  <si>
    <t>39 end 511</t>
  </si>
  <si>
    <t>41 start 555</t>
  </si>
  <si>
    <t>39 end 548</t>
  </si>
  <si>
    <t>41 queueempty 522</t>
  </si>
  <si>
    <t>40 start 498</t>
  </si>
  <si>
    <t>41 queueempty 573</t>
  </si>
  <si>
    <t>40 start 533</t>
  </si>
  <si>
    <t>41 end 534</t>
  </si>
  <si>
    <t>40 queueempty 514</t>
  </si>
  <si>
    <t>41 end 586</t>
  </si>
  <si>
    <t>40 queueempty 551</t>
  </si>
  <si>
    <t>42 start 522</t>
  </si>
  <si>
    <t>40 end 526</t>
  </si>
  <si>
    <t>42 start 573</t>
  </si>
  <si>
    <t>40 end 562</t>
  </si>
  <si>
    <t>42 queueempty 536</t>
  </si>
  <si>
    <t>41 start 514</t>
  </si>
  <si>
    <t>42 queueempty 593</t>
  </si>
  <si>
    <t>41 start 551</t>
  </si>
  <si>
    <t>42 end 549</t>
  </si>
  <si>
    <t>41 queueempty 529</t>
  </si>
  <si>
    <t>42 end 605</t>
  </si>
  <si>
    <t>41 queueempty 569</t>
  </si>
  <si>
    <t>43 start 536</t>
  </si>
  <si>
    <t>41 end 542</t>
  </si>
  <si>
    <t>43 start 593</t>
  </si>
  <si>
    <t>41 end 581</t>
  </si>
  <si>
    <t>43 queueempty 552</t>
  </si>
  <si>
    <t>42 start 529</t>
  </si>
  <si>
    <t>43 queueempty 609</t>
  </si>
  <si>
    <t>42 start 569</t>
  </si>
  <si>
    <t>43 end 562</t>
  </si>
  <si>
    <t>42 queueempty 545</t>
  </si>
  <si>
    <t>43 end 627</t>
  </si>
  <si>
    <t>42 queueempty 585</t>
  </si>
  <si>
    <t>44 start 552</t>
  </si>
  <si>
    <t>42 end 558</t>
  </si>
  <si>
    <t>44 start 609</t>
  </si>
  <si>
    <t>42 end 599</t>
  </si>
  <si>
    <t>44 queueempty 566</t>
  </si>
  <si>
    <t>43 start 545</t>
  </si>
  <si>
    <t>44 queueempty 634</t>
  </si>
  <si>
    <t>43 start 585</t>
  </si>
  <si>
    <t>44 end 578</t>
  </si>
  <si>
    <t>43 queueempty 561</t>
  </si>
  <si>
    <t>44 end 646</t>
  </si>
  <si>
    <t>43 queueempty 606</t>
  </si>
  <si>
    <t>45 start 566</t>
  </si>
  <si>
    <t>43 end 574</t>
  </si>
  <si>
    <t>45 start 634</t>
  </si>
  <si>
    <t>43 end 618</t>
  </si>
  <si>
    <t>45 queueempty 583</t>
  </si>
  <si>
    <t>44 start 561</t>
  </si>
  <si>
    <t>45 queueempty 657</t>
  </si>
  <si>
    <t>44 start 606</t>
  </si>
  <si>
    <t>45 end 594</t>
  </si>
  <si>
    <t>44 queueempty 578</t>
  </si>
  <si>
    <t>45 end 670</t>
  </si>
  <si>
    <t>44 queueempty 625</t>
  </si>
  <si>
    <t>46 start 583</t>
  </si>
  <si>
    <t>44 end 590</t>
  </si>
  <si>
    <t>46 start 657</t>
  </si>
  <si>
    <t>44 end 638</t>
  </si>
  <si>
    <t>46 queueempty 598</t>
  </si>
  <si>
    <t>45 start 578</t>
  </si>
  <si>
    <t>46 queueempty 676</t>
  </si>
  <si>
    <t>45 start 625</t>
  </si>
  <si>
    <t>46 end 611</t>
  </si>
  <si>
    <t>45 queueempty 594</t>
  </si>
  <si>
    <t>46 end 688</t>
  </si>
  <si>
    <t>45 queueempty 645</t>
  </si>
  <si>
    <t>47 start 598</t>
  </si>
  <si>
    <t>45 end 607</t>
  </si>
  <si>
    <t>47 start 676</t>
  </si>
  <si>
    <t>45 end 658</t>
  </si>
  <si>
    <t>47 queueempty 616</t>
  </si>
  <si>
    <t>46 start 594</t>
  </si>
  <si>
    <t>47 queueempty 694</t>
  </si>
  <si>
    <t>46 start 645</t>
  </si>
  <si>
    <t>47 end 628</t>
  </si>
  <si>
    <t>46 queueempty 612</t>
  </si>
  <si>
    <t>47 end 707</t>
  </si>
  <si>
    <t>46 queueempty 666</t>
  </si>
  <si>
    <t>48 start 616</t>
  </si>
  <si>
    <t>46 end 625</t>
  </si>
  <si>
    <t>48 start 694</t>
  </si>
  <si>
    <t>46 end 679</t>
  </si>
  <si>
    <t>48 queueempty 636</t>
  </si>
  <si>
    <t>47 start 612</t>
  </si>
  <si>
    <t>48 queueempty 714</t>
  </si>
  <si>
    <t>47 start 667</t>
  </si>
  <si>
    <t>48 end 647</t>
  </si>
  <si>
    <t>47 queueempty 632</t>
  </si>
  <si>
    <t>48 end 727</t>
  </si>
  <si>
    <t>47 queueempty 690</t>
  </si>
  <si>
    <t>49 start 636</t>
  </si>
  <si>
    <t>47 end 644</t>
  </si>
  <si>
    <t>49 start 714</t>
  </si>
  <si>
    <t>47 end 702</t>
  </si>
  <si>
    <t>49 queueempty 654</t>
  </si>
  <si>
    <t>48 start 632</t>
  </si>
  <si>
    <t>49 queueempty 736</t>
  </si>
  <si>
    <t>48 start 691</t>
  </si>
  <si>
    <t>49 end 666</t>
  </si>
  <si>
    <t>48 queueempty 652</t>
  </si>
  <si>
    <t>49 end 748</t>
  </si>
  <si>
    <t>48 queueempty 717</t>
  </si>
  <si>
    <t>50 start 654</t>
  </si>
  <si>
    <t>48 end 664</t>
  </si>
  <si>
    <t>50 start 736</t>
  </si>
  <si>
    <t>48 end 730</t>
  </si>
  <si>
    <t>50 queueempty 675</t>
  </si>
  <si>
    <t>49 start 652</t>
  </si>
  <si>
    <t>50 queueempty 758</t>
  </si>
  <si>
    <t>49 start 717</t>
  </si>
  <si>
    <t>50 end 687</t>
  </si>
  <si>
    <t>49 queueempty 674</t>
  </si>
  <si>
    <t>50 end 770</t>
  </si>
  <si>
    <t>49 queueempty 745</t>
  </si>
  <si>
    <t>51 start 675</t>
  </si>
  <si>
    <t>49 end 686</t>
  </si>
  <si>
    <t>51 start 758</t>
  </si>
  <si>
    <t>49 end 756</t>
  </si>
  <si>
    <t>51 queueempty 698</t>
  </si>
  <si>
    <t>50 start 674</t>
  </si>
  <si>
    <t>51 queueempty 784</t>
  </si>
  <si>
    <t>50 start 745</t>
  </si>
  <si>
    <t>51 end 710</t>
  </si>
  <si>
    <t>50 queueempty 698</t>
  </si>
  <si>
    <t>51 end 797</t>
  </si>
  <si>
    <t>50 queueempty 773</t>
  </si>
  <si>
    <t>52 start 698</t>
  </si>
  <si>
    <t>50 end 710</t>
  </si>
  <si>
    <t>52 start 784</t>
  </si>
  <si>
    <t>50 end 785</t>
  </si>
  <si>
    <t>52 queueempty 724</t>
  </si>
  <si>
    <t>51 start 698</t>
  </si>
  <si>
    <t>52 queueempty 816</t>
  </si>
  <si>
    <t>51 start 773</t>
  </si>
  <si>
    <t>52 end 737</t>
  </si>
  <si>
    <t>51 queueempty 726</t>
  </si>
  <si>
    <t>52 end 829</t>
  </si>
  <si>
    <t>51 queueempty 810</t>
  </si>
  <si>
    <t>53 start 724</t>
  </si>
  <si>
    <t>51 end 736</t>
  </si>
  <si>
    <t>53 start 816</t>
  </si>
  <si>
    <t>51 end 822</t>
  </si>
  <si>
    <t>53 queueempty 750</t>
  </si>
  <si>
    <t>52 start 726</t>
  </si>
  <si>
    <t>53 queueempty 846</t>
  </si>
  <si>
    <t>52 start 810</t>
  </si>
  <si>
    <t>53 end 761</t>
  </si>
  <si>
    <t>52 queueempty 755</t>
  </si>
  <si>
    <t>53 end 859</t>
  </si>
  <si>
    <t>52 queueempty 852</t>
  </si>
  <si>
    <t>54 start 750</t>
  </si>
  <si>
    <t>52 end 767</t>
  </si>
  <si>
    <t>54 start 846</t>
  </si>
  <si>
    <t>52 end 865</t>
  </si>
  <si>
    <t>54 queueempty 778</t>
  </si>
  <si>
    <t>53 start 755</t>
  </si>
  <si>
    <t>54 queueempty 882</t>
  </si>
  <si>
    <t>53 start 852</t>
  </si>
  <si>
    <t>54 end 790</t>
  </si>
  <si>
    <t>53 queueempty 787</t>
  </si>
  <si>
    <t>54 end 893</t>
  </si>
  <si>
    <t>53 queueempty 896</t>
  </si>
  <si>
    <t>55 start 778</t>
  </si>
  <si>
    <t>53 end 798</t>
  </si>
  <si>
    <t>55 start 883</t>
  </si>
  <si>
    <t>53 end 909</t>
  </si>
  <si>
    <t>55 queueempty 810</t>
  </si>
  <si>
    <t>54 start 787</t>
  </si>
  <si>
    <t>55 queueempty 918</t>
  </si>
  <si>
    <t>54 start 896</t>
  </si>
  <si>
    <t>55 end 822</t>
  </si>
  <si>
    <t>54 queueempty 820</t>
  </si>
  <si>
    <t>55 end 931</t>
  </si>
  <si>
    <t>54 queueempty 946</t>
  </si>
  <si>
    <t>56 start 810</t>
  </si>
  <si>
    <t>54 end 833</t>
  </si>
  <si>
    <t>56 start 918</t>
  </si>
  <si>
    <t>54 end 957</t>
  </si>
  <si>
    <t>56 queueempty 849</t>
  </si>
  <si>
    <t>55 start 820</t>
  </si>
  <si>
    <t>56 queueempty 968</t>
  </si>
  <si>
    <t>55 start 946</t>
  </si>
  <si>
    <t>56 end 861</t>
  </si>
  <si>
    <t>55 queueempty 861</t>
  </si>
  <si>
    <t>56 end 980</t>
  </si>
  <si>
    <t>55 queueempty 1006</t>
  </si>
  <si>
    <t>57 start 849</t>
  </si>
  <si>
    <t>55 end 873</t>
  </si>
  <si>
    <t>57 start 968</t>
  </si>
  <si>
    <t>55 end 1019</t>
  </si>
  <si>
    <t>57 queueempty 890</t>
  </si>
  <si>
    <t>56 start 861</t>
  </si>
  <si>
    <t>57 queueempty 1024</t>
  </si>
  <si>
    <t>56 start 1006</t>
  </si>
  <si>
    <t>57 end 903</t>
  </si>
  <si>
    <t>56 queueempty 906</t>
  </si>
  <si>
    <t>57 end 1035</t>
  </si>
  <si>
    <t>56 queueempty 1085</t>
  </si>
  <si>
    <t>58 start 890</t>
  </si>
  <si>
    <t>56 end 919</t>
  </si>
  <si>
    <t>58 start 1024</t>
  </si>
  <si>
    <t>56 end 1098</t>
  </si>
  <si>
    <t>58 queueempty 936</t>
  </si>
  <si>
    <t>57 start 906</t>
  </si>
  <si>
    <t>58 queueempty 1087</t>
  </si>
  <si>
    <t>57 start 1085</t>
  </si>
  <si>
    <t>58 end 949</t>
  </si>
  <si>
    <t>57 queueempty 959</t>
  </si>
  <si>
    <t>58 end 1099</t>
  </si>
  <si>
    <t>57 queueempty 1184</t>
  </si>
  <si>
    <t>59 start 936</t>
  </si>
  <si>
    <t>57 end 972</t>
  </si>
  <si>
    <t>59 start 1087</t>
  </si>
  <si>
    <t>57 end 1268</t>
  </si>
  <si>
    <t>59 queueempty 988</t>
  </si>
  <si>
    <t>58 start 959</t>
  </si>
  <si>
    <t>59 queueempty 1153</t>
  </si>
  <si>
    <t>58 start 1184</t>
  </si>
  <si>
    <t>59 end 999</t>
  </si>
  <si>
    <t>58 queueempty 1016</t>
  </si>
  <si>
    <t>59 end 1166</t>
  </si>
  <si>
    <t>58 queueempty 1292</t>
  </si>
  <si>
    <t>60 start 988</t>
  </si>
  <si>
    <t>58 end 1028</t>
  </si>
  <si>
    <t>60 start 1153</t>
  </si>
  <si>
    <t>58 end 1334</t>
  </si>
  <si>
    <t>60 queueempty 1060</t>
  </si>
  <si>
    <t>59 start 1016</t>
  </si>
  <si>
    <t>60 queueempty 1269</t>
  </si>
  <si>
    <t>59 start 1292</t>
  </si>
  <si>
    <t>60 end 1072</t>
  </si>
  <si>
    <t>59 queueempty 1086</t>
  </si>
  <si>
    <t>60 end 1292</t>
  </si>
  <si>
    <t>59 queueempty 1429</t>
  </si>
  <si>
    <t>61 start 1060</t>
  </si>
  <si>
    <t>59 end 1097</t>
  </si>
  <si>
    <t>61 start 1269</t>
  </si>
  <si>
    <t>59 end 1442</t>
  </si>
  <si>
    <t>61 queueempty 1130</t>
  </si>
  <si>
    <t>60 start 1086</t>
  </si>
  <si>
    <t>61 queueempty 1371</t>
  </si>
  <si>
    <t>60 start 1429</t>
  </si>
  <si>
    <t>61 end 1143</t>
  </si>
  <si>
    <t>60 queueempty 1174</t>
  </si>
  <si>
    <t>61 end 1384</t>
  </si>
  <si>
    <t>60 queueempty 1603</t>
  </si>
  <si>
    <t>62 start 1130</t>
  </si>
  <si>
    <t>60 end 1186</t>
  </si>
  <si>
    <t>62 start 1371</t>
  </si>
  <si>
    <t>60 end 1627</t>
  </si>
  <si>
    <t>62 queueempty 1215</t>
  </si>
  <si>
    <t>61 start 1174</t>
  </si>
  <si>
    <t>62 queueempty 1487</t>
  </si>
  <si>
    <t>61 start 1603</t>
  </si>
  <si>
    <t>62 end 1228</t>
  </si>
  <si>
    <t>61 queueempty 1267</t>
  </si>
  <si>
    <t>62 end 1500</t>
  </si>
  <si>
    <t>61 queueempty 1807</t>
  </si>
  <si>
    <t>63 start 1215</t>
  </si>
  <si>
    <t>61 end 1280</t>
  </si>
  <si>
    <t>63 start 1487</t>
  </si>
  <si>
    <t>61 end 1819</t>
  </si>
  <si>
    <t>63 queueempty 1317</t>
  </si>
  <si>
    <t>62 start 1267</t>
  </si>
  <si>
    <t>63 queueempty 1643</t>
  </si>
  <si>
    <t>62 start 1807</t>
  </si>
  <si>
    <t>63 end 1329</t>
  </si>
  <si>
    <t>62 queueempty 1373</t>
  </si>
  <si>
    <t>63 end 1654</t>
  </si>
  <si>
    <t>62 queueempty 2040</t>
  </si>
  <si>
    <t>64 start 1317</t>
  </si>
  <si>
    <t>62 end 1385</t>
  </si>
  <si>
    <t>64 start 1643</t>
  </si>
  <si>
    <t>62 end 2281</t>
  </si>
  <si>
    <t>64 queueempty 1447</t>
  </si>
  <si>
    <t>63 start 1373</t>
  </si>
  <si>
    <t>64 queueempty 1898</t>
  </si>
  <si>
    <t>63 start 2040</t>
  </si>
  <si>
    <t>64 end 1459</t>
  </si>
  <si>
    <t>63 queueempty 1506</t>
  </si>
  <si>
    <t>64 end 1977</t>
  </si>
  <si>
    <t>63 queueempty 2398</t>
  </si>
  <si>
    <t>65 start 1447</t>
  </si>
  <si>
    <t>63 end 1519</t>
  </si>
  <si>
    <t>65 start 1898</t>
  </si>
  <si>
    <t>63 end 2602</t>
  </si>
  <si>
    <t>65 queueempty 1583</t>
  </si>
  <si>
    <t>64 start 1506</t>
  </si>
  <si>
    <t>65 queueempty 2169</t>
  </si>
  <si>
    <t>64 start 2398</t>
  </si>
  <si>
    <t>65 end 1595</t>
  </si>
  <si>
    <t>64 queueempty 1670</t>
  </si>
  <si>
    <t>65 end 2199</t>
  </si>
  <si>
    <t>64 queueempty 2845</t>
  </si>
  <si>
    <t>66 start 1583</t>
  </si>
  <si>
    <t>64 end 1683</t>
  </si>
  <si>
    <t>66 start 2169</t>
  </si>
  <si>
    <t>64 end 3006</t>
  </si>
  <si>
    <t>66 queueempty 1749</t>
  </si>
  <si>
    <t>65 start 1670</t>
  </si>
  <si>
    <t>66 queueempty 2454</t>
  </si>
  <si>
    <t>65 start 2845</t>
  </si>
  <si>
    <t>66 end 1761</t>
  </si>
  <si>
    <t>65 queueempty 1854</t>
  </si>
  <si>
    <t>66 end 2466</t>
  </si>
  <si>
    <t>65 queueempty 3332</t>
  </si>
  <si>
    <t>67 start 1749</t>
  </si>
  <si>
    <t>65 end 1867</t>
  </si>
  <si>
    <t>67 start 2454</t>
  </si>
  <si>
    <t>65 end 3360</t>
  </si>
  <si>
    <t>67 queueempty 1934</t>
  </si>
  <si>
    <t>66 start 1854</t>
  </si>
  <si>
    <t>67 queueempty 2815</t>
  </si>
  <si>
    <t>66 start 3332</t>
  </si>
  <si>
    <t>67 end 1946</t>
  </si>
  <si>
    <t>66 queueempty 2073</t>
  </si>
  <si>
    <t>67 end 2828</t>
  </si>
  <si>
    <t>66 queueempty 3901</t>
  </si>
  <si>
    <t>68 start 1934</t>
  </si>
  <si>
    <t>66 end 2085</t>
  </si>
  <si>
    <t>68 start 2816</t>
  </si>
  <si>
    <t>66 end 3913</t>
  </si>
  <si>
    <t>68 queueempty 2196</t>
  </si>
  <si>
    <t>67 start 2073</t>
  </si>
  <si>
    <t>68 queueempty 3418</t>
  </si>
  <si>
    <t>67 start 3901</t>
  </si>
  <si>
    <t>68 end 2209</t>
  </si>
  <si>
    <t>67 queueempty 2334</t>
  </si>
  <si>
    <t>68 end 3741</t>
  </si>
  <si>
    <t>67 queueempty 4602</t>
  </si>
  <si>
    <t>69 start 2197</t>
  </si>
  <si>
    <t>67 end 2344</t>
  </si>
  <si>
    <t>69 start 3418</t>
  </si>
  <si>
    <t>67 end 4973</t>
  </si>
  <si>
    <t>69 queueempty 2473</t>
  </si>
  <si>
    <t>68 start 2334</t>
  </si>
  <si>
    <t>69 queueempty 3975</t>
  </si>
  <si>
    <t>68 start 4603</t>
  </si>
  <si>
    <t>69 end 2485</t>
  </si>
  <si>
    <t>68 queueempty 2677</t>
  </si>
  <si>
    <t>69 end 3987</t>
  </si>
  <si>
    <t>68 queueempty 5629</t>
  </si>
  <si>
    <t>70 start 2473</t>
  </si>
  <si>
    <t>68 end 2689</t>
  </si>
  <si>
    <t>70 start 3975</t>
  </si>
  <si>
    <t>68 end 6532</t>
  </si>
  <si>
    <t>70 queueempty 2790</t>
  </si>
  <si>
    <t>69 start 2677</t>
  </si>
  <si>
    <t>70 queueempty 4568</t>
  </si>
  <si>
    <t>69 start 5629</t>
  </si>
  <si>
    <t>70 end 2802</t>
  </si>
  <si>
    <t>69 queueempty 3058</t>
  </si>
  <si>
    <t>70 end 4580</t>
  </si>
  <si>
    <t>69 queueempty 6843</t>
  </si>
  <si>
    <t>71 start 2790</t>
  </si>
  <si>
    <t>69 end 3070</t>
  </si>
  <si>
    <t>71 start 4568</t>
  </si>
  <si>
    <t>69 end 6855</t>
  </si>
  <si>
    <t>71 queueempty 3169</t>
  </si>
  <si>
    <t>70 start 3058</t>
  </si>
  <si>
    <t>71 queueempty 5315</t>
  </si>
  <si>
    <t>70 start 6843</t>
  </si>
  <si>
    <t>71 end 3182</t>
  </si>
  <si>
    <t>70 queueempty 3479</t>
  </si>
  <si>
    <t>71 end 5329</t>
  </si>
  <si>
    <t>70 queueempty 8005</t>
  </si>
  <si>
    <t>72 start 3169</t>
  </si>
  <si>
    <t>70 end 3491</t>
  </si>
  <si>
    <t>72 start 5315</t>
  </si>
  <si>
    <t>70 end 8017</t>
  </si>
  <si>
    <t>72 queueempty 3712</t>
  </si>
  <si>
    <t>71 start 3479</t>
  </si>
  <si>
    <t>72 queueempty 6723</t>
  </si>
  <si>
    <t>71 start 8005</t>
  </si>
  <si>
    <t>72 end 3725</t>
  </si>
  <si>
    <t>71 queueempty 4009</t>
  </si>
  <si>
    <t>72 end 7616</t>
  </si>
  <si>
    <t>71 queueempty 9638</t>
  </si>
  <si>
    <t>73 start 3712</t>
  </si>
  <si>
    <t>71 end 4020</t>
  </si>
  <si>
    <t>73 start 6723</t>
  </si>
  <si>
    <t>71 end 9655</t>
  </si>
  <si>
    <t>73 queueempty 4241</t>
  </si>
  <si>
    <t>72 start 4009</t>
  </si>
  <si>
    <t>73 queueempty 7921</t>
  </si>
  <si>
    <t>72 start 9638</t>
  </si>
  <si>
    <t>73 end 4253</t>
  </si>
  <si>
    <t>72 queueempty 4725</t>
  </si>
  <si>
    <t>73 end 7980</t>
  </si>
  <si>
    <t>72 queueempty 11896</t>
  </si>
  <si>
    <t>74 start 4241</t>
  </si>
  <si>
    <t>72 end 4738</t>
  </si>
  <si>
    <t>74 start 7921</t>
  </si>
  <si>
    <t>72 end 13073</t>
  </si>
  <si>
    <t>74 queueempty 4892</t>
  </si>
  <si>
    <t>73 start 4725</t>
  </si>
  <si>
    <t>74 queueempty 9359</t>
  </si>
  <si>
    <t>73 start 11901</t>
  </si>
  <si>
    <t>74 end 4905</t>
  </si>
  <si>
    <t>73 queueempty 5470</t>
  </si>
  <si>
    <t>74 end 9388</t>
  </si>
  <si>
    <t>73 queueempty 14461</t>
  </si>
  <si>
    <t>75 start 4893</t>
  </si>
  <si>
    <t>73 end 5481</t>
  </si>
  <si>
    <t>75 start 9359</t>
  </si>
  <si>
    <t>73 end 17749</t>
  </si>
  <si>
    <t>75 queueempty 5729</t>
  </si>
  <si>
    <t>74 start 5470</t>
  </si>
  <si>
    <t>75 queueempty 11510</t>
  </si>
  <si>
    <t>74 start 14461</t>
  </si>
  <si>
    <t>75 end 5740</t>
  </si>
  <si>
    <t>74 queueempty 6346</t>
  </si>
  <si>
    <t>75 end 11544</t>
  </si>
  <si>
    <t>74 queueempty 17729</t>
  </si>
  <si>
    <t>76 start 5729</t>
  </si>
  <si>
    <t>74 end 6359</t>
  </si>
  <si>
    <t>76 start 11510</t>
  </si>
  <si>
    <t>74 end 18042</t>
  </si>
  <si>
    <t>76 queueempty 6844</t>
  </si>
  <si>
    <t>75 start 6346</t>
  </si>
  <si>
    <t>76 queueempty 14766</t>
  </si>
  <si>
    <t>75 start 17734</t>
  </si>
  <si>
    <t>76 end 6857</t>
  </si>
  <si>
    <t>75 queueempty 7476</t>
  </si>
  <si>
    <t>76 end 17136</t>
  </si>
  <si>
    <t>75 queueempty 21523</t>
  </si>
  <si>
    <t>77 start 6844</t>
  </si>
  <si>
    <t>75 end 7488</t>
  </si>
  <si>
    <t>77 start 14766</t>
  </si>
  <si>
    <t>75 end 21549</t>
  </si>
  <si>
    <t>77 queueempty 7921</t>
  </si>
  <si>
    <t>76 start 7476</t>
  </si>
  <si>
    <t>77 queueempty 17507</t>
  </si>
  <si>
    <t>76 start 21523</t>
  </si>
  <si>
    <t>77 end 7934</t>
  </si>
  <si>
    <t>76 queueempty 8920</t>
  </si>
  <si>
    <t>77 end 17547</t>
  </si>
  <si>
    <t>76 queueempty 26842</t>
  </si>
  <si>
    <t>78 start 7921</t>
  </si>
  <si>
    <t>76 end 8933</t>
  </si>
  <si>
    <t>78 start 17507</t>
  </si>
  <si>
    <t>76 end 29265</t>
  </si>
  <si>
    <t>78 queueempty 9304</t>
  </si>
  <si>
    <t>77 start 8920</t>
  </si>
  <si>
    <t>78 queueempty 20918</t>
  </si>
  <si>
    <t>77 start 26842</t>
  </si>
  <si>
    <t>78 end 9316</t>
  </si>
  <si>
    <t>77 queueempty 10447</t>
  </si>
  <si>
    <t>78 end 21003</t>
  </si>
  <si>
    <t>77 queueempty 33060</t>
  </si>
  <si>
    <t>79 start 9304</t>
  </si>
  <si>
    <t>77 end 10459</t>
  </si>
  <si>
    <t>79 start 20918</t>
  </si>
  <si>
    <t>77 end 36658</t>
  </si>
  <si>
    <t>79 queueempty 10877</t>
  </si>
  <si>
    <t>78 start 10447</t>
  </si>
  <si>
    <t>79 queueempty 24641</t>
  </si>
  <si>
    <t>78 start 33061</t>
  </si>
  <si>
    <t>79 end 10890</t>
  </si>
  <si>
    <t>78 queueempty 12300</t>
  </si>
  <si>
    <t>79 end 24694</t>
  </si>
  <si>
    <t>78 queueempty 40944</t>
  </si>
  <si>
    <t>80 start 10877</t>
  </si>
  <si>
    <t>78 end 12312</t>
  </si>
  <si>
    <t>80 start 24642</t>
  </si>
  <si>
    <t>78 end 53419</t>
  </si>
  <si>
    <t>80 queueempty 13098</t>
  </si>
  <si>
    <t>79 start 12300</t>
  </si>
  <si>
    <t>80 queueempty 31448</t>
  </si>
  <si>
    <t>79 start 40946</t>
  </si>
  <si>
    <t>80 end 13111</t>
  </si>
  <si>
    <t>79 queueempty 14476</t>
  </si>
  <si>
    <t>80 end 38730</t>
  </si>
  <si>
    <t>79 queueempty 51603</t>
  </si>
  <si>
    <t>81 start 13098</t>
  </si>
  <si>
    <t>79 end 14489</t>
  </si>
  <si>
    <t>81 start 31448</t>
  </si>
  <si>
    <t>79 end 51983</t>
  </si>
  <si>
    <t>81 queueempty 15422</t>
  </si>
  <si>
    <t>80 start 14476</t>
  </si>
  <si>
    <t>81 queueempty 39102</t>
  </si>
  <si>
    <t>80 start 51603</t>
  </si>
  <si>
    <t>81 end 15434</t>
  </si>
  <si>
    <t>80 queueempty 17372</t>
  </si>
  <si>
    <t>81 end 39220</t>
  </si>
  <si>
    <t>80 queueempty 63838</t>
  </si>
  <si>
    <t>82 start 15422</t>
  </si>
  <si>
    <t>80 end 17386</t>
  </si>
  <si>
    <t>82 start 39102</t>
  </si>
  <si>
    <t>80 end 69476</t>
  </si>
  <si>
    <t>82 queueempty 18089</t>
  </si>
  <si>
    <t>81 start 17373</t>
  </si>
  <si>
    <t>82 queueempty 47245</t>
  </si>
  <si>
    <t>81 start 63839</t>
  </si>
  <si>
    <t>82 end 18101</t>
  </si>
  <si>
    <t>81 queueempty 20565</t>
  </si>
  <si>
    <t>82 end 47331</t>
  </si>
  <si>
    <t>81 queueempty 78696</t>
  </si>
  <si>
    <t>83 start 18090</t>
  </si>
  <si>
    <t>81 end 20578</t>
  </si>
  <si>
    <t>83 start 47245</t>
  </si>
  <si>
    <t>81 end 85072</t>
  </si>
  <si>
    <t>83 queueempty 21258</t>
  </si>
  <si>
    <t>82 start 20565</t>
  </si>
  <si>
    <t>83 queueempty 55870</t>
  </si>
  <si>
    <t>82 start 78697</t>
  </si>
  <si>
    <t>83 end 21271</t>
  </si>
  <si>
    <t>82 queueempty 24171</t>
  </si>
  <si>
    <t>83 end 56035</t>
  </si>
  <si>
    <t>82 queueempty 95327</t>
  </si>
  <si>
    <t>84 start 21258</t>
  </si>
  <si>
    <t>82 end 24184</t>
  </si>
  <si>
    <t>84 start 55870</t>
  </si>
  <si>
    <t>82 end 105843</t>
  </si>
  <si>
    <t>84 queueempty 25917</t>
  </si>
  <si>
    <t>83 start 24171</t>
  </si>
  <si>
    <t>84 queueempty 74327</t>
  </si>
  <si>
    <t>83 start 95327</t>
  </si>
  <si>
    <t>84 end 25930</t>
  </si>
  <si>
    <t>83 queueempty 28601</t>
  </si>
  <si>
    <t>84 end 88877</t>
  </si>
  <si>
    <t>83 queueempty 117558</t>
  </si>
  <si>
    <t>85 start 25917</t>
  </si>
  <si>
    <t>83 end 28614</t>
  </si>
  <si>
    <t>85 start 74328</t>
  </si>
  <si>
    <t>83 end 157944</t>
  </si>
  <si>
    <t>85 queueempty 30540</t>
  </si>
  <si>
    <t>84 start 28601</t>
  </si>
  <si>
    <t>85 queueempty 88526</t>
  </si>
  <si>
    <t>84 start 117558</t>
  </si>
  <si>
    <t>85 end 30550</t>
  </si>
  <si>
    <t>84 queueempty 34659</t>
  </si>
  <si>
    <t>85 end 88716</t>
  </si>
  <si>
    <t>84 queueempty 155291</t>
  </si>
  <si>
    <t>86 start 30540</t>
  </si>
  <si>
    <t>84 end 34671</t>
  </si>
  <si>
    <t>86 start 88526</t>
  </si>
  <si>
    <t>84 end 170840</t>
  </si>
  <si>
    <t>86 queueempty 35968</t>
  </si>
  <si>
    <t>85 start 34659</t>
  </si>
  <si>
    <t>86 queueempty 102900</t>
  </si>
  <si>
    <t>85 start 155292</t>
  </si>
  <si>
    <t>86 end 35980</t>
  </si>
  <si>
    <t>85 queueempty 41055</t>
  </si>
  <si>
    <t>86 end 103077</t>
  </si>
  <si>
    <t>85 queueempty 187293</t>
  </si>
  <si>
    <t>87 start 35968</t>
  </si>
  <si>
    <t>85 end 41069</t>
  </si>
  <si>
    <t>87 start 102900</t>
  </si>
  <si>
    <t>85 end 193775</t>
  </si>
  <si>
    <t>87 queueempty 42740</t>
  </si>
  <si>
    <t>86 start 41056</t>
  </si>
  <si>
    <t>87 queueempty 125652</t>
  </si>
  <si>
    <t>86 start 187293</t>
  </si>
  <si>
    <t>87 end 42753</t>
  </si>
  <si>
    <t>86 queueempty 48362</t>
  </si>
  <si>
    <t>87 end 127012</t>
  </si>
  <si>
    <t>86 queueempty 219834</t>
  </si>
  <si>
    <t>88 start 42740</t>
  </si>
  <si>
    <t>86 end 48375</t>
  </si>
  <si>
    <t>88 start 125652</t>
  </si>
  <si>
    <t>86 end 236185</t>
  </si>
  <si>
    <t>88 queueempty 51835</t>
  </si>
  <si>
    <t>87 start 48362</t>
  </si>
  <si>
    <t>88 queueempty 165892</t>
  </si>
  <si>
    <t>87 start 219835</t>
  </si>
  <si>
    <t>88 end 51848</t>
  </si>
  <si>
    <t>87 queueempty 57547</t>
  </si>
  <si>
    <t>88 end 200672</t>
  </si>
  <si>
    <t>87 queueempty 264980</t>
  </si>
  <si>
    <t>89 start 51836</t>
  </si>
  <si>
    <t>87 end 57560</t>
  </si>
  <si>
    <t>89 start 165892</t>
  </si>
  <si>
    <t>87 end 286850</t>
  </si>
  <si>
    <t>89 queueempty 60829</t>
  </si>
  <si>
    <t>88 start 57547</t>
  </si>
  <si>
    <t>89 queueempty 198436</t>
  </si>
  <si>
    <t>88 start 264980</t>
  </si>
  <si>
    <t>89 end 60843</t>
  </si>
  <si>
    <t>88 queueempty 69334</t>
  </si>
  <si>
    <t>89 end 198709</t>
  </si>
  <si>
    <t>88 queueempty 346139</t>
  </si>
  <si>
    <t>90 start 60830</t>
  </si>
  <si>
    <t>88 end 69346</t>
  </si>
  <si>
    <t>90 start 198436</t>
  </si>
  <si>
    <t>88 end 452882</t>
  </si>
  <si>
    <t>90 queueempty 72409</t>
  </si>
  <si>
    <t>89 start 69334</t>
  </si>
  <si>
    <t>90 queueempty 243970</t>
  </si>
  <si>
    <t>89 start 346139</t>
  </si>
  <si>
    <t>90 end 72422</t>
  </si>
  <si>
    <t>89 queueempty 81930</t>
  </si>
  <si>
    <t>90 end 244746</t>
  </si>
  <si>
    <t>89 queueempty 421137</t>
  </si>
  <si>
    <t>91 start 72410</t>
  </si>
  <si>
    <t>89 end 81943</t>
  </si>
  <si>
    <t>91 start 243970</t>
  </si>
  <si>
    <t>89 end 454381</t>
  </si>
  <si>
    <t>91 queueempty 84988</t>
  </si>
  <si>
    <t>90 start 81930</t>
  </si>
  <si>
    <t>91 queueempty 284076</t>
  </si>
  <si>
    <t>90 start 421139</t>
  </si>
  <si>
    <t>91 end 85003</t>
  </si>
  <si>
    <t>90 queueempty 97142</t>
  </si>
  <si>
    <t>91 end 284559</t>
  </si>
  <si>
    <t>90 queueempty 515725</t>
  </si>
  <si>
    <t>92 start 84988</t>
  </si>
  <si>
    <t>90 end 97155</t>
  </si>
  <si>
    <t>92 start 284076</t>
  </si>
  <si>
    <t>90 end 544748</t>
  </si>
  <si>
    <t>92 queueempty 103499</t>
  </si>
  <si>
    <t>91 start 97142</t>
  </si>
  <si>
    <t>92 queueempty 374286</t>
  </si>
  <si>
    <t>91 start 515726</t>
  </si>
  <si>
    <t>92 end 103523</t>
  </si>
  <si>
    <t>91 queueempty 114450</t>
  </si>
  <si>
    <t>92 end 455314</t>
  </si>
  <si>
    <t>91 queueempty 614869</t>
  </si>
  <si>
    <t>93 start 103499</t>
  </si>
  <si>
    <t>91 end 114467</t>
  </si>
  <si>
    <t>93 start 374286</t>
  </si>
  <si>
    <t>91 end 689600</t>
  </si>
  <si>
    <t>93 queueempty 122136</t>
  </si>
  <si>
    <t>92 start 114450</t>
  </si>
  <si>
    <t>93 queueempty 450175</t>
  </si>
  <si>
    <t>92 start 614869</t>
  </si>
  <si>
    <t>93 end 122173</t>
  </si>
  <si>
    <t>92 queueempty 138288</t>
  </si>
  <si>
    <t>93 end 450852</t>
  </si>
  <si>
    <t>92 queueempty 779027</t>
  </si>
  <si>
    <t>94 start 122137</t>
  </si>
  <si>
    <t>92 end 138324</t>
  </si>
  <si>
    <t>94 start 450175</t>
  </si>
  <si>
    <t>92 end 856312</t>
  </si>
  <si>
    <t>94 queueempty 143109</t>
  </si>
  <si>
    <t>93 start 138288</t>
  </si>
  <si>
    <t>94 queueempty 519084</t>
  </si>
  <si>
    <t>93 start 779027</t>
  </si>
  <si>
    <t>94 end 143146</t>
  </si>
  <si>
    <t>93 queueempty 163603</t>
  </si>
  <si>
    <t>94 end 519764</t>
  </si>
  <si>
    <t>93 queueempty 940140</t>
  </si>
  <si>
    <t>95 start 143109</t>
  </si>
  <si>
    <t>93 end 163647</t>
  </si>
  <si>
    <t>95 start 519084</t>
  </si>
  <si>
    <t>93 end 1244070</t>
  </si>
  <si>
    <t>95 queueempty 168690</t>
  </si>
  <si>
    <t>94 start 163603</t>
  </si>
  <si>
    <t>95 queueempty 616585</t>
  </si>
  <si>
    <t>94 start 940140</t>
  </si>
  <si>
    <t>95 end 168734</t>
  </si>
  <si>
    <t>94 queueempty 191754</t>
  </si>
  <si>
    <t>95 end 617410</t>
  </si>
  <si>
    <t>94 queueempty 1104157</t>
  </si>
  <si>
    <t>96 start 168690</t>
  </si>
  <si>
    <t>94 end 191796</t>
  </si>
  <si>
    <t>96 start 616586</t>
  </si>
  <si>
    <t>94 end 1225914</t>
  </si>
  <si>
    <t>96 queueempty 204240</t>
  </si>
  <si>
    <t>95 start 191754</t>
  </si>
  <si>
    <t>96 queueempty 779937</t>
  </si>
  <si>
    <t>95 start 1104157</t>
  </si>
  <si>
    <t>96 end 204301</t>
  </si>
  <si>
    <t>95 queueempty 226483</t>
  </si>
  <si>
    <t>96 end 951249</t>
  </si>
  <si>
    <t>95 queueempty 1337730</t>
  </si>
  <si>
    <t>97 start 204240</t>
  </si>
  <si>
    <t>95 end 226525</t>
  </si>
  <si>
    <t>97 start 779937</t>
  </si>
  <si>
    <t>95 end 1391456</t>
  </si>
  <si>
    <t>97 queueempty 238910</t>
  </si>
  <si>
    <t>96 start 226484</t>
  </si>
  <si>
    <t>97 queueempty 922119</t>
  </si>
  <si>
    <t>96 start 1337731</t>
  </si>
  <si>
    <t>97 end 239011</t>
  </si>
  <si>
    <t>96 queueempty 272359</t>
  </si>
  <si>
    <t>97 end 927927</t>
  </si>
  <si>
    <t>96 queueempty 1665229</t>
  </si>
  <si>
    <t>98 start 238910</t>
  </si>
  <si>
    <t>96 end 272420</t>
  </si>
  <si>
    <t>98 start 922120</t>
  </si>
  <si>
    <t>96 end 1841866</t>
  </si>
  <si>
    <t>98 queueempty 279887</t>
  </si>
  <si>
    <t>97 start 272359</t>
  </si>
  <si>
    <t>98 queueempty 1081580</t>
  </si>
  <si>
    <t>97 start 1665230</t>
  </si>
  <si>
    <t>98 end 280051</t>
  </si>
  <si>
    <t>97 queueempty 319997</t>
  </si>
  <si>
    <t>98 end 1088343</t>
  </si>
  <si>
    <t>97 queueempty 2017819</t>
  </si>
  <si>
    <t>99 start 279887</t>
  </si>
  <si>
    <t>97 end 320156</t>
  </si>
  <si>
    <t>99 start 1081580</t>
  </si>
  <si>
    <t>97 end 2166506</t>
  </si>
  <si>
    <t>99 queueempty 330881</t>
  </si>
  <si>
    <t>98 start 319997</t>
  </si>
  <si>
    <t>99 queueempty 1305802</t>
  </si>
  <si>
    <t>98 start 2017819</t>
  </si>
  <si>
    <t>99 end 330946</t>
  </si>
  <si>
    <t>98 queueempty 374624</t>
  </si>
  <si>
    <t>99 end 1307669</t>
  </si>
  <si>
    <t>98 queueempty 2384098</t>
  </si>
  <si>
    <t>100 start 330882</t>
  </si>
  <si>
    <t>98 end 374770</t>
  </si>
  <si>
    <t>100 start 1305803</t>
  </si>
  <si>
    <t>98 end 3833304</t>
  </si>
  <si>
    <t>100 queueempty 401153</t>
  </si>
  <si>
    <t>99 start 374624</t>
  </si>
  <si>
    <t>100 queueempty 1763816</t>
  </si>
  <si>
    <t>99 start 2384098</t>
  </si>
  <si>
    <t>100 end 401209</t>
  </si>
  <si>
    <t>99 queueempty 440251</t>
  </si>
  <si>
    <t>100 end 2086321</t>
  </si>
  <si>
    <t>99 queueempty 2943705</t>
  </si>
  <si>
    <t>99 end 440303</t>
  </si>
  <si>
    <t>99 end 3413768</t>
  </si>
  <si>
    <t>100 start 440251</t>
  </si>
  <si>
    <t>100 start 2943705</t>
  </si>
  <si>
    <t>100 queueempty 528310</t>
  </si>
  <si>
    <t>100 queueempty 4309646</t>
  </si>
  <si>
    <t>100 end 528361</t>
  </si>
  <si>
    <t>100 end 4620649</t>
  </si>
  <si>
    <t>101 start 0</t>
  </si>
  <si>
    <t>101 queueempty 69367</t>
  </si>
  <si>
    <t>101 end 69458</t>
  </si>
  <si>
    <t>102 start 69367</t>
  </si>
  <si>
    <t>102 queueempty 151784</t>
  </si>
  <si>
    <t>102 end 151839</t>
  </si>
  <si>
    <t>R, W: 111, H: 102, ORDER: 17, SET: {2, 3, 4, 5, 6, 7, 10, 12, 16, 19, 22, 24, 27, 28, 38, 47, 64}</t>
  </si>
  <si>
    <t>103 start 151784</t>
  </si>
  <si>
    <t>R, W: 111, H: 104, ORDER: 18, SET: {4, 5, 7, 9, 11, 13, 14, 15, 19, 20, 26, 31, 32, 35, 37, 38, 39, 41}</t>
  </si>
  <si>
    <t>103 queueempty 247326</t>
  </si>
  <si>
    <t>R, W: 111, H: 94, ORDER: 13, SET: {1, 3, 4, 5, 9, 14, 16, 18, 20, 38, 39, 55, 56}</t>
  </si>
  <si>
    <t>103 end 247417</t>
  </si>
  <si>
    <t>R, W: 111, H: 98, ORDER: 10, SET: {3, 4, 7, 11, 15, 26, 41, 44, 54, 57}</t>
  </si>
  <si>
    <t>104 start 247327</t>
  </si>
  <si>
    <t>R, W: 112, H: 109, ORDER: 18, SET: {1, 2, 6, 8, 9, 11, 13, 15, 16, 22, 23, 24, 28, 29, 30, 34, 50, 59}</t>
  </si>
  <si>
    <t>104 queueempty 386046</t>
  </si>
  <si>
    <t>R, W: 112, H: 47, ORDER: 11, SET: {3, 5, 6, 11, 17, 19, 22, 23, 24, 25, 47}</t>
  </si>
  <si>
    <t>104 end 386118</t>
  </si>
  <si>
    <t>R, W: 112, H: 55, ORDER: 11, SET: {2, 3, 8, 11, 13, 15, 17, 25, 27, 30, 55}</t>
  </si>
  <si>
    <t>105 start 386047</t>
  </si>
  <si>
    <t>R, W: 112, H: 57, ORDER: 11, SET: {2, 3, 8, 11, 13, 15, 17, 25, 27, 30, 57}</t>
  </si>
  <si>
    <t>105 queueempty 533300</t>
  </si>
  <si>
    <t>R, W: 112, H: 65, ORDER: 11, SET: {3, 5, 6, 11, 17, 19, 22, 23, 24, 25, 65}</t>
  </si>
  <si>
    <t>105 end 533385</t>
  </si>
  <si>
    <t>R, W: 112, H: 75, ORDER: 13, SET: {3, 5, 9, 11, 14, 19, 20, 24, 31, 33, 36, 39, 42}</t>
  </si>
  <si>
    <t>106 start 533301</t>
  </si>
  <si>
    <t>R, W: 112, H: 79, ORDER: 17, SET: {2, 3, 4, 5, 7, 9, 12, 17, 19, 20, 23, 26, 28, 32, 35, 36, 44}</t>
  </si>
  <si>
    <t>106 queueempty 696376</t>
  </si>
  <si>
    <t>R, W: 112, H: 81, ORDER: 11, SET: {1, 5, 9, 10, 19, 29, 33, 38, 40, 41, 43}</t>
  </si>
  <si>
    <t>106 end 696481</t>
  </si>
  <si>
    <t>R, W: 112, H: 83, ORDER: 13, SET: {1, 3, 8, 11, 12, 13, 14, 27, 31, 39, 41, 42, 44}</t>
  </si>
  <si>
    <t>107 start 696376</t>
  </si>
  <si>
    <t>R, W: 112, H: 85, ORDER: 13, SET: {1, 3, 8, 11, 12, 14, 17, 25, 29, 41, 42, 43, 44}</t>
  </si>
  <si>
    <t>107 queueempty 882078</t>
  </si>
  <si>
    <t>R, W: 112, H: 93, ORDER: 13, SET: {3, 9, 11, 14, 17, 20, 24, 25, 33, 36, 37, 42, 51}</t>
  </si>
  <si>
    <t>107 end 882190</t>
  </si>
  <si>
    <t>R, W: 112, H: 95, ORDER: 17, SET: {2, 3, 7, 8, 9, 10, 11, 13, 16, 18, 27, 28, 30, 33, 38, 46, 49}</t>
  </si>
  <si>
    <t>108 start 882078</t>
  </si>
  <si>
    <t>R, W: 112, H: 99, ORDER: 12, SET: {2, 8, 13, 17, 25, 27, 29, 30, 31, 39, 43, 56}</t>
  </si>
  <si>
    <t>108 queueempty 1147380</t>
  </si>
  <si>
    <t>R, W: 112, H: 99, ORDER: 15, SET: {1, 2, 10, 11, 13, 15, 17, 18, 28, 29, 30, 31, 38, 46, 53}</t>
  </si>
  <si>
    <t>108 end 1147532</t>
  </si>
  <si>
    <t>R, W: 113, H: 101, ORDER: 18, SET: {3, 5, 7, 9, 10, 11, 13, 14, 17, 18, 19, 23, 27, 29, 31, 38, 44, 57}</t>
  </si>
  <si>
    <t>109 start 1147382</t>
  </si>
  <si>
    <t>R, W: 113, H: 85, ORDER: 19, SET: {1, 2, 3, 4, 5, 6, 7, 9, 12, 19, 20, 22, 24, 27, 29, 30, 36, 38, 47}</t>
  </si>
  <si>
    <t>109 queueempty 1393032</t>
  </si>
  <si>
    <t>R, W: 113, H: 95, ORDER: 24, SET: {1, 3, 4, 5, 6, 7, 8, 9, 10, 11, 12, 14, 15, 16, 17, 19, 23, 24, 25, 31, 34, 37, 39, 45}</t>
  </si>
  <si>
    <t>109 end 1393190</t>
  </si>
  <si>
    <t>R, W: 113, H: 98, ORDER: 12, SET: {1, 2, 3, 4, 7, 11, 12, 30, 41, 42, 56, 57}</t>
  </si>
  <si>
    <t>110 start 1393034</t>
  </si>
  <si>
    <t>R, W: 114, H: 110, ORDER: 10, SET: {4, 6, 16, 22, 26, 30, 34, 50, 54, 60}</t>
  </si>
  <si>
    <t>110 queueempty 1682761</t>
  </si>
  <si>
    <t>R, W: 114, H: 90, ORDER: 16, SET: {1, 2, 3, 5, 7, 8, 9, 13, 14, 15, 16, 21, 29, 37, 53, 61}</t>
  </si>
  <si>
    <t>110 end 1682894</t>
  </si>
  <si>
    <t>R, W: 115, H: 104, ORDER: 20, SET: {1, 2, 4, 5, 7, 9, 15, 16, 20, 21, 22, 23, 25, 27, 28, 31, 33, 36, 43, 46}</t>
  </si>
  <si>
    <t>R, W: 115, H: 112, ORDER: 20, SET: {1, 2, 5, 6, 9, 11, 12, 13, 15, 16, 20, 21, 24, 25, 26, 29, 31, 32, 55, 57}</t>
  </si>
  <si>
    <t>R, W: 115, H: 69, ORDER: 17, SET: {2, 3, 4, 6, 8, 9, 12, 13, 14, 16, 19, 21, 29, 30, 36, 39, 40}</t>
  </si>
  <si>
    <t>111 start 0</t>
  </si>
  <si>
    <t>R, W: 115, H: 94, ORDER: 10, SET: {4, 11, 15, 16, 19, 23, 34, 39, 55, 60}</t>
  </si>
  <si>
    <t>111 queueempty 356283</t>
  </si>
  <si>
    <t>R, W: 117, H: 104, ORDER: 19, SET: {1, 3, 4, 5, 6, 7, 8, 9, 12, 13, 16, 19, 21, 22, 25, 29, 41, 54, 63}</t>
  </si>
  <si>
    <t>111 end 356492</t>
  </si>
  <si>
    <t>R, W: 118, H: 103, ORDER: 12, SET: {1, 4, 6, 7, 8, 9, 13, 30, 43, 45, 58, 60}</t>
  </si>
  <si>
    <t>112 start 356284</t>
  </si>
  <si>
    <t>R, W: 118, H: 106, ORDER: 25, SET: {1, 3, 4, 5, 6, 7, 8, 10, 11, 12, 13, 14, 15, 17, 18, 19, 22, 23, 24, 25, 26, 27, 30, 42, 64}</t>
  </si>
  <si>
    <t>112 queueempty 835725</t>
  </si>
  <si>
    <t>R, W: 118, H: 117, ORDER: 18, SET: {2, 6, 7, 8, 9, 12, 15, 17, 18, 24, 25, 27, 29, 30, 31, 33, 55, 62}</t>
  </si>
  <si>
    <t>112 end 836081</t>
  </si>
  <si>
    <t>R, W: 118, H: 69, ORDER: 15, SET: {4, 7, 8, 11, 12, 15, 17, 20, 24, 26, 28, 31, 32, 37, 38}</t>
  </si>
  <si>
    <t>113 start 835725</t>
  </si>
  <si>
    <t>R, W: 119, H: 111, ORDER: 20, SET: {1, 3, 4, 5, 6, 7, 11, 14, 15, 16, 19, 21, 22, 23, 27, 28, 31, 41, 47, 64}</t>
  </si>
  <si>
    <t>113 queueempty 1335287</t>
  </si>
  <si>
    <t>R, W: 119, H: 81, ORDER: 16, SET: {1, 3, 4, 8, 11, 12, 13, 14, 15, 18, 22, 36, 37, 39, 42, 44}</t>
  </si>
  <si>
    <t>113 end 1335515</t>
  </si>
  <si>
    <t>R, W: 119, H: 87, ORDER: 19, SET: {1, 2, 3, 4, 5, 6, 7, 10, 16, 17, 21, 23, 25, 27, 29, 35, 37, 40, 47}</t>
  </si>
  <si>
    <t>114 start 1335289</t>
  </si>
  <si>
    <t>R, W: 119, H: 97, ORDER: 20, SET: {1, 2, 4, 5, 7, 8, 9, 10, 11, 12, 13, 15, 17, 21, 29, 32, 36, 44, 46, 51}</t>
  </si>
  <si>
    <t>114 queueempty 1900515</t>
  </si>
  <si>
    <t>R, W: 120, H: 101, ORDER: 12, SET: {4, 11, 16, 19, 24, 28, 30, 32, 36, 41, 49, 52}</t>
  </si>
  <si>
    <t>114 end 1900833</t>
  </si>
  <si>
    <t>R, W: 120, H: 105, ORDER: 20, SET: {1, 2, 3, 5, 6, 7, 8, 11, 12, 15, 17, 19, 21, 23, 26, 29, 32, 40, 44, 65}</t>
  </si>
  <si>
    <t>115 start 1900516</t>
  </si>
  <si>
    <t>R, W: 120, H: 109, ORDER: 13, SET: {4, 8, 11, 16, 19, 24, 28, 30, 32, 36, 41, 49, 60}</t>
  </si>
  <si>
    <t>115 queueempty 2546671</t>
  </si>
  <si>
    <t>R, W: 120, H: 117, ORDER: 20, SET: {1, 3, 4, 7, 8, 9, 11, 13, 16, 17, 18, 23, 25, 28, 29, 30, 32, 33, 55, 62}</t>
  </si>
  <si>
    <t>115 end 2547026</t>
  </si>
  <si>
    <t>R, W: 120, H: 118, ORDER: 15, SET: {1, 3, 6, 12, 13, 14, 16, 19, 20, 22, 30, 31, 55, 57, 63}</t>
  </si>
  <si>
    <t>116 start 2546671</t>
  </si>
  <si>
    <t>R, W: 120, H: 118, ORDER: 15, SET: {3, 5, 6, 11, 12, 14, 16, 20, 21, 22, 30, 33, 53, 55, 65}</t>
  </si>
  <si>
    <t>116 queueempty 3507774</t>
  </si>
  <si>
    <t>R, W: 120, H: 91, ORDER: 12, SET: {4, 8, 12, 13, 16, 17, 28, 30, 43, 44, 47, 48}</t>
  </si>
  <si>
    <t>116 end 3508147</t>
  </si>
  <si>
    <t>R, W: 120, H: 99, ORDER: 19, SET: {1, 2, 3, 4, 5, 7, 8, 12, 15, 16, 17, 18, 24, 32, 34, 36, 39, 49, 50}</t>
  </si>
  <si>
    <t>117 start 3507775</t>
  </si>
  <si>
    <t>S, W: 112, H: 112, ORDER: 21, SET: {2, 4, 6, 7, 8, 9, 11, 15, 16, 17, 18, 19, 24, 25, 27, 29, 33, 35, 37, 42, 50}</t>
  </si>
  <si>
    <t>117 queueempty 4466278</t>
  </si>
  <si>
    <t>S, W: 120, H: 120, ORDER: 24, SET: {3, 4, 5, 6, 8, 9, 10, 12, 13, 14, 15, 16, 17, 19, 20, 23, 25, 32, 33, 34, 40, 41, 46, 47}</t>
  </si>
  <si>
    <t>117 end 4466751</t>
  </si>
  <si>
    <t>118 start 4466280</t>
  </si>
  <si>
    <t>118 queueempty 5539990</t>
  </si>
  <si>
    <t>118 end 5540532</t>
  </si>
  <si>
    <t>119 start 5539991</t>
  </si>
  <si>
    <t>119 queueempty 6762186</t>
  </si>
  <si>
    <t>119 end 6762901</t>
  </si>
  <si>
    <t>120 start 6762187</t>
  </si>
  <si>
    <t>120 queueempty 8485166</t>
  </si>
  <si>
    <t>120 end 8485831</t>
  </si>
  <si>
    <t>R, W: 121, H: 109, ORDER: 19, SET: {2, 6, 7, 8, 9, 13, 14, 15, 17, 18, 19, 21, 22, 28, 32, 34, 39, 50, 59}</t>
  </si>
  <si>
    <t>121 start 0</t>
  </si>
  <si>
    <t>R, W: 121, H: 117, ORDER: 15, SET: {1, 4, 6, 7, 10, 11, 12, 13, 18, 27, 33, 35, 53, 57, 64}</t>
  </si>
  <si>
    <t>121 queueempty 1764052</t>
  </si>
  <si>
    <t>121 end 1764963</t>
  </si>
  <si>
    <t>R, W: 121, H: 89, ORDER: 19, SET: {1, 2, 5, 6, 7, 12, 13, 14, 16, 17, 18, 20, 25, 26, 29, 30, 41, 43, 48}</t>
  </si>
  <si>
    <t>122 start 1764053</t>
  </si>
  <si>
    <t>R, W: 121, H: 109, ORDER: 19, SET: {1, 2, 3, 8, 10, 11, 12, 13, 14, 18, 19, 21, 26, 27, 34, 35, 38, 48, 61}</t>
  </si>
  <si>
    <t>122 queueempty 3689797</t>
  </si>
  <si>
    <t>122 end 3690789</t>
  </si>
  <si>
    <t>123 start 3689798</t>
  </si>
  <si>
    <t>123 queueempty 6029782</t>
  </si>
  <si>
    <t>123 end 6030843</t>
  </si>
  <si>
    <t>124 start 6029784</t>
  </si>
  <si>
    <t>124 queueempty 9170888</t>
  </si>
  <si>
    <t>124 end 9172140</t>
  </si>
  <si>
    <t>125 start 9170890</t>
  </si>
  <si>
    <t>R, W: 122, H: 98, ORDER: 16, SET: {1, 3, 7, 11, 13, 18, 21, 24, 25, 26, 27, 29, 31, 40, 45, 53}</t>
  </si>
  <si>
    <t>125 queueempty 12263908</t>
  </si>
  <si>
    <t>R, W: 122, H: 84, ORDER: 20, SET: {1, 2, 3, 5, 7, 8, 11, 13, 16, 17, 18, 19, 21, 22, 24, 27, 35, 36, 39, 48}</t>
  </si>
  <si>
    <t>125 end 12264814</t>
  </si>
  <si>
    <t>R, W: 122, H: 107, ORDER: 13, SET: {1, 2, 4, 6, 7, 8, 9, 15, 30, 45, 47, 60, 62}</t>
  </si>
  <si>
    <t>100-110</t>
  </si>
  <si>
    <t>111-120</t>
  </si>
  <si>
    <t>120-125</t>
  </si>
  <si>
    <t>126-130</t>
  </si>
  <si>
    <t>R, W: 123, H: 117, ORDER: 20, SET: {1, 2, 4, 6, 7, 8, 9, 10, 11, 12, 13, 19, 21, 23, 29, 38, 39, 40, 55, 62}</t>
  </si>
  <si>
    <t>R, W: 123, H: 75, ORDER: 20, SET: {1, 2, 3, 5, 6, 7, 8, 9, 11, 12, 14, 16, 18, 20, 23, 25, 32, 34, 41, 50}</t>
  </si>
  <si>
    <t>R, W: 123, H: 79, ORDER: 22, SET: {2, 3, 4, 5, 6, 7, 9, 10, 12, 13, 14, 15, 20, 21, 24, 26, 27, 28, 30, 32, 37, 42}</t>
  </si>
  <si>
    <t>R, W: 123, H: 72, ORDER: 19, SET: {3, 4, 5, 6, 9, 10, 11, 12, 15, 17, 19, 21, 22, 23, 27, 31, 32, 40, 41}</t>
  </si>
  <si>
    <t>149 start 0</t>
  </si>
  <si>
    <t>R, W: 124, H: 110, ORDER: 19, SET: {1, 2, 3, 5, 7, 8, 9, 13, 20, 22, 27, 31, 35, 36, 37, 38, 39, 40, 47}</t>
  </si>
  <si>
    <t>126 start 0</t>
  </si>
  <si>
    <t>126 queueempty 3431085</t>
  </si>
  <si>
    <t>126 end 3432245</t>
  </si>
  <si>
    <t>127 start 3431086</t>
  </si>
  <si>
    <t>R, W: 125, H: 118, ORDER: 23, SET: {1, 2, 3, 4, 6, 7, 8, 9, 10, 11, 13, 14, 15, 16, 17, 18, 20, 22, 23, 32, 50, 57, 68}</t>
  </si>
  <si>
    <t>127 queueempty 7304800</t>
  </si>
  <si>
    <t>R, W: 125, H: 118, ORDER: 17, SET: {1, 2, 5, 6, 8, 11, 12, 14, 17, 18, 20, 28, 30, 36, 47, 54, 71}</t>
  </si>
  <si>
    <t>127 end 7306163</t>
  </si>
  <si>
    <t>R, W: 125, H: 92, ORDER: 20, SET: {1, 4, 5, 6, 7, 8, 9, 13, 17, 18, 19, 20, 23, 28, 30, 33, 34, 39, 41, 45}</t>
  </si>
  <si>
    <t>128 start 7304801</t>
  </si>
  <si>
    <t>R, W: 125, H: 110, ORDER: 19, SET: {3, 4, 5, 6, 7, 10, 11, 12, 13, 17, 23, 28, 29, 34, 36, 40, 41, 48, 51}</t>
  </si>
  <si>
    <t>128 queueempty 12728442</t>
  </si>
  <si>
    <t>128 end 12729998</t>
  </si>
  <si>
    <t>129 start 12728443</t>
  </si>
  <si>
    <t>129 queueempty 18222904</t>
  </si>
  <si>
    <t>129 end 18224784</t>
  </si>
  <si>
    <t>130 start 18222906</t>
  </si>
  <si>
    <t>130 queueempty 24673308</t>
  </si>
  <si>
    <t>130 end 24734414</t>
  </si>
  <si>
    <t>131 start 0</t>
  </si>
  <si>
    <t>131 queueempty 7104071</t>
  </si>
  <si>
    <t>131 end 7106507</t>
  </si>
  <si>
    <t>132 start 7104072</t>
  </si>
  <si>
    <t>132 queueempty 17557923</t>
  </si>
  <si>
    <t>132 end 17560997</t>
  </si>
  <si>
    <t>133 start 17557924</t>
  </si>
  <si>
    <t>133 queueempty 27637350</t>
  </si>
  <si>
    <t>133 end 27640689</t>
  </si>
  <si>
    <t>134 start 27637353</t>
  </si>
  <si>
    <t>134 queueempty 39677718</t>
  </si>
  <si>
    <t>134 end 39681409</t>
  </si>
  <si>
    <t>135 start 39677718</t>
  </si>
  <si>
    <t>135 queueempty 55319886</t>
  </si>
  <si>
    <t>135 end 55323055</t>
  </si>
  <si>
    <t>136 start 0</t>
  </si>
  <si>
    <t>136 queueempty 19022046</t>
  </si>
  <si>
    <t>136 end 19026544</t>
  </si>
  <si>
    <t>137 start 19022047</t>
  </si>
  <si>
    <t>137 queueempty 36523651</t>
  </si>
  <si>
    <t>137 end 36527779</t>
  </si>
  <si>
    <t>138 start 36523652</t>
  </si>
  <si>
    <t>138 queueempty 57649434</t>
  </si>
  <si>
    <t>138 end 57654501</t>
  </si>
  <si>
    <t>139 start 57649435</t>
  </si>
  <si>
    <t>139 queueempty 82101041</t>
  </si>
  <si>
    <t>139 end 82106670</t>
  </si>
  <si>
    <t>140 start 82101043</t>
  </si>
  <si>
    <t>140 queueempty 115848676</t>
  </si>
  <si>
    <t>140 end 115854861</t>
  </si>
  <si>
    <t>141 start 0</t>
  </si>
  <si>
    <t>141 queueempty 33854556</t>
  </si>
  <si>
    <t>141 end 33863247</t>
  </si>
  <si>
    <t>142 start 33854557</t>
  </si>
  <si>
    <t>142 queueempty 70270574</t>
  </si>
  <si>
    <t>142 end 70282236</t>
  </si>
  <si>
    <t>143 start 70270575</t>
  </si>
  <si>
    <t>143 queueempty 116457254</t>
  </si>
  <si>
    <t>143 end 116466469</t>
  </si>
  <si>
    <t>144 start 0</t>
  </si>
  <si>
    <t>144 queueempty 62752465</t>
  </si>
  <si>
    <t>144 end 62764873</t>
  </si>
  <si>
    <t>145 start 62752466</t>
  </si>
  <si>
    <t>145 queueempty 122727926</t>
  </si>
  <si>
    <t>145 end 122738866</t>
  </si>
  <si>
    <t>146 start 0</t>
  </si>
  <si>
    <t>146 queueempty 66573387</t>
  </si>
  <si>
    <t>146 end 66588282</t>
  </si>
  <si>
    <t>147 start 0</t>
  </si>
  <si>
    <t>147 queueempty 79160071</t>
  </si>
  <si>
    <t>147 end 79174905</t>
  </si>
  <si>
    <t>148 start 79160072</t>
  </si>
  <si>
    <t>148 queueempty 188359384</t>
  </si>
  <si>
    <t>148 end 188372926</t>
  </si>
  <si>
    <t>126 to 130 squares 3770676426627</t>
  </si>
  <si>
    <t>to</t>
  </si>
  <si>
    <t>squares</t>
  </si>
  <si>
    <t>131 to 135 squares 7976911538605</t>
  </si>
  <si>
    <t>136 to 140 squares 17160476871322</t>
  </si>
  <si>
    <t>141 to 143 squares 16898946978847</t>
  </si>
  <si>
    <t>144 to 145 squares 17743848754558</t>
  </si>
  <si>
    <t>147 to 148 squares 27776952422558</t>
  </si>
  <si>
    <t>squares placed to reach</t>
  </si>
  <si>
    <t>for run</t>
  </si>
  <si>
    <t>cumulative</t>
  </si>
  <si>
    <t>gambini:</t>
  </si>
  <si>
    <t>111-112</t>
  </si>
  <si>
    <t>113-120</t>
  </si>
  <si>
    <t>me:</t>
  </si>
  <si>
    <t>121-125</t>
  </si>
  <si>
    <t>total:</t>
  </si>
  <si>
    <t>131-135</t>
  </si>
  <si>
    <t>136-140</t>
  </si>
  <si>
    <t>141-143</t>
  </si>
  <si>
    <t>144-145</t>
  </si>
  <si>
    <t>147-148</t>
  </si>
  <si>
    <t>149-150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</si>
</sst>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0"/>
    <numFmt numFmtId="165" formatCode="#,##0.000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b/>
      <color theme="1"/>
      <name val="Arial"/>
    </font>
    <font>
      <b/>
      <color rgb="FF000000"/>
      <name val="&quot;Arial&quot;"/>
    </font>
    <font>
      <b/>
      <color rgb="FFFF0000"/>
      <name val="Arial"/>
    </font>
    <font>
      <b/>
      <color theme="1"/>
      <name val="Arial"/>
      <scheme val="minor"/>
    </font>
    <font>
      <sz val="8.0"/>
      <color rgb="FFD1D5DA"/>
      <name val="Arial"/>
    </font>
    <font>
      <sz val="8.0"/>
      <color rgb="FFD1D5DA"/>
      <name val="System-ui"/>
    </font>
    <font>
      <color rgb="FFFF0000"/>
      <name val="Arial"/>
    </font>
    <font>
      <color rgb="FF000000"/>
      <name val="&quot;Arial&quot;"/>
    </font>
    <font>
      <b/>
      <i/>
      <color theme="1"/>
      <name val="Arial"/>
      <scheme val="minor"/>
    </font>
    <font>
      <i/>
      <color theme="1"/>
      <name val="Arial"/>
      <scheme val="minor"/>
    </font>
    <font>
      <i/>
      <color rgb="FF9900FF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24292E"/>
        <bgColor rgb="FF24292E"/>
      </patternFill>
    </fill>
    <fill>
      <patternFill patternType="solid">
        <fgColor rgb="FFFFF3FF"/>
        <bgColor rgb="FFFFF3FF"/>
      </patternFill>
    </fill>
    <fill>
      <patternFill patternType="solid">
        <fgColor rgb="FFFFDFFF"/>
        <bgColor rgb="FFFFDFFF"/>
      </patternFill>
    </fill>
    <fill>
      <patternFill patternType="solid">
        <fgColor rgb="FFFFE7FF"/>
        <bgColor rgb="FFFFE7FF"/>
      </patternFill>
    </fill>
    <fill>
      <patternFill patternType="solid">
        <fgColor rgb="FFFFEAFF"/>
        <bgColor rgb="FFFFEAFF"/>
      </patternFill>
    </fill>
    <fill>
      <patternFill patternType="solid">
        <fgColor rgb="FFFFDAFF"/>
        <bgColor rgb="FFFFDAFF"/>
      </patternFill>
    </fill>
    <fill>
      <patternFill patternType="solid">
        <fgColor rgb="FFFFA5FF"/>
        <bgColor rgb="FFFFA5FF"/>
      </patternFill>
    </fill>
    <fill>
      <patternFill patternType="solid">
        <fgColor rgb="FFFFC8FF"/>
        <bgColor rgb="FFFFC8FF"/>
      </patternFill>
    </fill>
    <fill>
      <patternFill patternType="solid">
        <fgColor rgb="FFFFC2FF"/>
        <bgColor rgb="FFFFC2FF"/>
      </patternFill>
    </fill>
    <fill>
      <patternFill patternType="solid">
        <fgColor rgb="FFFFC1FF"/>
        <bgColor rgb="FFFFC1FF"/>
      </patternFill>
    </fill>
    <fill>
      <patternFill patternType="solid">
        <fgColor rgb="FFFF94FF"/>
        <bgColor rgb="FFFF94FF"/>
      </patternFill>
    </fill>
    <fill>
      <patternFill patternType="solid">
        <fgColor rgb="FFFFB8FF"/>
        <bgColor rgb="FFFFB8FF"/>
      </patternFill>
    </fill>
    <fill>
      <patternFill patternType="solid">
        <fgColor rgb="FFFFA8FF"/>
        <bgColor rgb="FFFFA8FF"/>
      </patternFill>
    </fill>
    <fill>
      <patternFill patternType="solid">
        <fgColor rgb="FFFF41FF"/>
        <bgColor rgb="FFFF41FF"/>
      </patternFill>
    </fill>
    <fill>
      <patternFill patternType="solid">
        <fgColor rgb="FFFF51FF"/>
        <bgColor rgb="FFFF51FF"/>
      </patternFill>
    </fill>
    <fill>
      <patternFill patternType="solid">
        <fgColor rgb="FFFF53FF"/>
        <bgColor rgb="FFFF53FF"/>
      </patternFill>
    </fill>
    <fill>
      <patternFill patternType="solid">
        <fgColor rgb="FFFF00FF"/>
        <bgColor rgb="FFFF00FF"/>
      </patternFill>
    </fill>
    <fill>
      <patternFill patternType="solid">
        <fgColor rgb="FFFF92FF"/>
        <bgColor rgb="FFFF92FF"/>
      </patternFill>
    </fill>
    <fill>
      <patternFill patternType="solid">
        <fgColor rgb="FFFF35FF"/>
        <bgColor rgb="FFFF35FF"/>
      </patternFill>
    </fill>
    <fill>
      <patternFill patternType="solid">
        <fgColor rgb="FFFF29FF"/>
        <bgColor rgb="FFFF29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horizontal="right"/>
    </xf>
    <xf borderId="0" fillId="0" fontId="1" numFmtId="3" xfId="0" applyFont="1" applyNumberFormat="1"/>
    <xf borderId="0" fillId="0" fontId="2" numFmtId="0" xfId="0" applyFont="1"/>
    <xf borderId="0" fillId="0" fontId="1" numFmtId="2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3" xfId="0" applyAlignment="1" applyFont="1" applyNumberFormat="1">
      <alignment readingOrder="0" vertical="bottom"/>
    </xf>
    <xf borderId="0" fillId="0" fontId="4" numFmtId="46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2" fontId="8" numFmtId="0" xfId="0" applyAlignment="1" applyFill="1" applyFont="1">
      <alignment horizontal="left" readingOrder="0"/>
    </xf>
    <xf borderId="0" fillId="2" fontId="9" numFmtId="3" xfId="0" applyAlignment="1" applyFont="1" applyNumberFormat="1">
      <alignment horizontal="left" readingOrder="0"/>
    </xf>
    <xf borderId="0" fillId="0" fontId="4" numFmtId="49" xfId="0" applyAlignment="1" applyFont="1" applyNumberFormat="1">
      <alignment readingOrder="0" vertical="bottom"/>
    </xf>
    <xf borderId="0" fillId="0" fontId="1" numFmtId="0" xfId="0" applyFont="1"/>
    <xf borderId="0" fillId="0" fontId="3" numFmtId="3" xfId="0" applyAlignment="1" applyFont="1" applyNumberFormat="1">
      <alignment horizontal="right" vertical="bottom"/>
    </xf>
    <xf borderId="0" fillId="0" fontId="10" numFmtId="3" xfId="0" applyAlignment="1" applyFont="1" applyNumberForma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46" xfId="0" applyAlignment="1" applyFont="1" applyNumberFormat="1">
      <alignment readingOrder="0"/>
    </xf>
    <xf borderId="0" fillId="0" fontId="3" numFmtId="21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4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10" numFmtId="3" xfId="0" applyAlignment="1" applyFont="1" applyNumberFormat="1">
      <alignment vertical="bottom"/>
    </xf>
    <xf borderId="0" fillId="0" fontId="3" numFmtId="3" xfId="0" applyAlignment="1" applyFont="1" applyNumberFormat="1">
      <alignment vertical="bottom"/>
    </xf>
    <xf borderId="0" fillId="0" fontId="2" numFmtId="3" xfId="0" applyFont="1" applyNumberFormat="1"/>
    <xf borderId="0" fillId="0" fontId="1" numFmtId="46" xfId="0" applyFont="1" applyNumberFormat="1"/>
    <xf borderId="0" fillId="0" fontId="1" numFmtId="3" xfId="0" applyAlignment="1" applyFont="1" applyNumberFormat="1">
      <alignment readingOrder="0"/>
    </xf>
    <xf borderId="0" fillId="0" fontId="7" numFmtId="3" xfId="0" applyFont="1" applyNumberFormat="1"/>
    <xf borderId="0" fillId="3" fontId="3" numFmtId="3" xfId="0" applyAlignment="1" applyFill="1" applyFont="1" applyNumberFormat="1">
      <alignment horizontal="right" vertical="bottom"/>
    </xf>
    <xf borderId="0" fillId="4" fontId="3" numFmtId="3" xfId="0" applyAlignment="1" applyFill="1" applyFont="1" applyNumberFormat="1">
      <alignment horizontal="right" vertical="bottom"/>
    </xf>
    <xf borderId="0" fillId="5" fontId="3" numFmtId="3" xfId="0" applyAlignment="1" applyFill="1" applyFont="1" applyNumberFormat="1">
      <alignment horizontal="right" vertical="bottom"/>
    </xf>
    <xf borderId="0" fillId="6" fontId="3" numFmtId="3" xfId="0" applyAlignment="1" applyFill="1" applyFont="1" applyNumberFormat="1">
      <alignment horizontal="right" vertical="bottom"/>
    </xf>
    <xf borderId="0" fillId="7" fontId="3" numFmtId="3" xfId="0" applyAlignment="1" applyFill="1" applyFont="1" applyNumberFormat="1">
      <alignment horizontal="right" vertical="bottom"/>
    </xf>
    <xf borderId="0" fillId="8" fontId="3" numFmtId="3" xfId="0" applyAlignment="1" applyFill="1" applyFont="1" applyNumberFormat="1">
      <alignment horizontal="right" vertical="bottom"/>
    </xf>
    <xf borderId="0" fillId="9" fontId="3" numFmtId="3" xfId="0" applyAlignment="1" applyFill="1" applyFont="1" applyNumberFormat="1">
      <alignment horizontal="right" vertical="bottom"/>
    </xf>
    <xf borderId="0" fillId="10" fontId="3" numFmtId="3" xfId="0" applyAlignment="1" applyFill="1" applyFont="1" applyNumberFormat="1">
      <alignment horizontal="right" vertical="bottom"/>
    </xf>
    <xf borderId="0" fillId="11" fontId="3" numFmtId="3" xfId="0" applyAlignment="1" applyFill="1" applyFont="1" applyNumberFormat="1">
      <alignment horizontal="right" vertical="bottom"/>
    </xf>
    <xf borderId="0" fillId="12" fontId="3" numFmtId="3" xfId="0" applyAlignment="1" applyFill="1" applyFont="1" applyNumberFormat="1">
      <alignment horizontal="right" vertical="bottom"/>
    </xf>
    <xf borderId="0" fillId="0" fontId="1" numFmtId="4" xfId="0" applyFont="1" applyNumberFormat="1"/>
    <xf borderId="0" fillId="13" fontId="3" numFmtId="3" xfId="0" applyAlignment="1" applyFill="1" applyFont="1" applyNumberFormat="1">
      <alignment horizontal="right" vertical="bottom"/>
    </xf>
    <xf borderId="0" fillId="14" fontId="3" numFmtId="3" xfId="0" applyAlignment="1" applyFill="1" applyFont="1" applyNumberFormat="1">
      <alignment horizontal="right" vertical="bottom"/>
    </xf>
    <xf borderId="0" fillId="15" fontId="3" numFmtId="3" xfId="0" applyAlignment="1" applyFill="1" applyFont="1" applyNumberFormat="1">
      <alignment horizontal="right" vertical="bottom"/>
    </xf>
    <xf borderId="0" fillId="16" fontId="3" numFmtId="3" xfId="0" applyAlignment="1" applyFill="1" applyFont="1" applyNumberFormat="1">
      <alignment horizontal="right" vertical="bottom"/>
    </xf>
    <xf borderId="0" fillId="17" fontId="3" numFmtId="3" xfId="0" applyAlignment="1" applyFill="1" applyFont="1" applyNumberFormat="1">
      <alignment horizontal="right" vertical="bottom"/>
    </xf>
    <xf borderId="0" fillId="18" fontId="3" numFmtId="3" xfId="0" applyAlignment="1" applyFill="1" applyFont="1" applyNumberFormat="1">
      <alignment horizontal="right" vertical="bottom"/>
    </xf>
    <xf borderId="0" fillId="0" fontId="11" numFmtId="3" xfId="0" applyFont="1" applyNumberFormat="1"/>
    <xf borderId="0" fillId="0" fontId="3" numFmtId="21" xfId="0" applyAlignment="1" applyFont="1" applyNumberFormat="1">
      <alignment readingOrder="0" vertical="bottom"/>
    </xf>
    <xf quotePrefix="1" borderId="0" fillId="0" fontId="4" numFmtId="0" xfId="0" applyAlignment="1" applyFont="1">
      <alignment readingOrder="0" vertical="bottom"/>
    </xf>
    <xf borderId="0" fillId="0" fontId="2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quotePrefix="1" borderId="0" fillId="2" fontId="8" numFmtId="0" xfId="0" applyAlignment="1" applyFont="1">
      <alignment horizontal="left" readingOrder="0"/>
    </xf>
    <xf borderId="0" fillId="2" fontId="8" numFmtId="3" xfId="0" applyAlignment="1" applyFont="1" applyNumberFormat="1">
      <alignment horizontal="left" readingOrder="0"/>
    </xf>
    <xf borderId="0" fillId="19" fontId="3" numFmtId="3" xfId="0" applyAlignment="1" applyFill="1" applyFont="1" applyNumberFormat="1">
      <alignment horizontal="right" vertical="bottom"/>
    </xf>
    <xf borderId="0" fillId="20" fontId="3" numFmtId="3" xfId="0" applyAlignment="1" applyFill="1" applyFont="1" applyNumberFormat="1">
      <alignment horizontal="right" vertical="bottom"/>
    </xf>
    <xf borderId="0" fillId="21" fontId="3" numFmtId="3" xfId="0" applyAlignment="1" applyFill="1" applyFont="1" applyNumberFormat="1">
      <alignment horizontal="right" vertical="bottom"/>
    </xf>
    <xf borderId="0" fillId="0" fontId="1" numFmtId="11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7" numFmtId="46" xfId="0" applyAlignment="1" applyFont="1" applyNumberFormat="1">
      <alignment readingOrder="0"/>
    </xf>
    <xf borderId="0" fillId="0" fontId="13" numFmtId="0" xfId="0" applyAlignment="1" applyFont="1">
      <alignment readingOrder="0"/>
    </xf>
    <xf borderId="0" fillId="0" fontId="7" numFmtId="0" xfId="0" applyFont="1"/>
    <xf borderId="0" fillId="0" fontId="14" numFmtId="0" xfId="0" applyAlignment="1" applyFont="1">
      <alignment readingOrder="0"/>
    </xf>
    <xf borderId="0" fillId="0" fontId="13" numFmtId="0" xfId="0" applyFont="1"/>
    <xf borderId="0" fillId="0" fontId="1" numFmtId="165" xfId="0" applyFont="1" applyNumberFormat="1"/>
    <xf borderId="0" fillId="0" fontId="1" numFmtId="21" xfId="0" applyFont="1" applyNumberFormat="1"/>
    <xf borderId="0" fillId="0" fontId="11" numFmtId="0" xfId="0" applyFont="1"/>
    <xf borderId="0" fillId="22" fontId="1" numFmtId="3" xfId="0" applyFill="1" applyFont="1" applyNumberFormat="1"/>
    <xf borderId="0" fillId="0" fontId="7" numFmtId="3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'Complete Runtime Data'!$Y$6</c:f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dPt>
            <c:idx val="66"/>
            <c:marker>
              <c:symbol val="none"/>
            </c:marker>
          </c:dPt>
          <c:trendline>
            <c:name/>
            <c:spPr>
              <a:ln w="19050">
                <a:solidFill>
                  <a:srgbClr val="FF00FF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Data'!$Y$7:$Y$159</c:f>
              <c:numCache/>
            </c:numRef>
          </c:val>
          <c:smooth val="0"/>
        </c:ser>
        <c:ser>
          <c:idx val="1"/>
          <c:order val="1"/>
          <c:tx>
            <c:strRef>
              <c:f>'Complete Runtime Data'!$X$6</c:f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9900FF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Data'!$X$7:$X$159</c:f>
              <c:numCache/>
            </c:numRef>
          </c:val>
          <c:smooth val="0"/>
        </c:ser>
        <c:ser>
          <c:idx val="2"/>
          <c:order val="2"/>
          <c:tx>
            <c:strRef>
              <c:f>'Complete Runtime Data'!$W$6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FF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Data'!$W$7:$W$159</c:f>
              <c:numCache/>
            </c:numRef>
          </c:val>
          <c:smooth val="0"/>
        </c:ser>
        <c:ser>
          <c:idx val="3"/>
          <c:order val="3"/>
          <c:tx>
            <c:strRef>
              <c:f>'Complete Runtime Data'!$V$6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Data'!$V$7:$V$159</c:f>
              <c:numCache/>
            </c:numRef>
          </c:val>
          <c:smooth val="0"/>
        </c:ser>
        <c:ser>
          <c:idx val="4"/>
          <c:order val="4"/>
          <c:tx>
            <c:strRef>
              <c:f>'Complete Runtime Data'!$U$6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Data'!$U$7:$U$159</c:f>
              <c:numCache/>
            </c:numRef>
          </c:val>
          <c:smooth val="0"/>
        </c:ser>
        <c:ser>
          <c:idx val="5"/>
          <c:order val="5"/>
          <c:tx>
            <c:strRef>
              <c:f>'Complete Runtime Data'!$T$6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6BDC6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Data'!$T$7:$T$159</c:f>
              <c:numCache/>
            </c:numRef>
          </c:val>
          <c:smooth val="0"/>
        </c:ser>
        <c:ser>
          <c:idx val="6"/>
          <c:order val="6"/>
          <c:tx>
            <c:strRef>
              <c:f>'Complete Runtime Data'!$S$6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7BAAF7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Data'!$S$7:$S$159</c:f>
              <c:numCache/>
            </c:numRef>
          </c:val>
          <c:smooth val="0"/>
        </c:ser>
        <c:ser>
          <c:idx val="7"/>
          <c:order val="7"/>
          <c:tx>
            <c:strRef>
              <c:f>'Complete Runtime Data'!$R$6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07B72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Data'!$R$7:$R$159</c:f>
              <c:numCache/>
            </c:numRef>
          </c:val>
          <c:smooth val="0"/>
        </c:ser>
        <c:ser>
          <c:idx val="8"/>
          <c:order val="8"/>
          <c:tx>
            <c:strRef>
              <c:f>'Complete Runtime Data'!$K$6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CD04F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Data'!$K$7:$K$159</c:f>
              <c:numCache/>
            </c:numRef>
          </c:val>
          <c:smooth val="0"/>
        </c:ser>
        <c:ser>
          <c:idx val="9"/>
          <c:order val="9"/>
          <c:tx>
            <c:strRef>
              <c:f>'Complete Runtime Data'!$H$6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71C287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Data'!$H$7:$H$159</c:f>
              <c:numCache/>
            </c:numRef>
          </c:val>
          <c:smooth val="0"/>
        </c:ser>
        <c:ser>
          <c:idx val="10"/>
          <c:order val="10"/>
          <c:tx>
            <c:strRef>
              <c:f>'Complete Runtime Data'!$E$6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994D">
                    <a:alpha val="2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Data'!$E$7:$E$159</c:f>
              <c:numCache/>
            </c:numRef>
          </c:val>
          <c:smooth val="0"/>
        </c:ser>
        <c:ser>
          <c:idx val="11"/>
          <c:order val="11"/>
          <c:tx>
            <c:strRef>
              <c:f>'Complete Runtime Data'!$G$6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'Complete Runtime Data'!$A$7:$A$159</c:f>
            </c:strRef>
          </c:cat>
          <c:val>
            <c:numRef>
              <c:f>'Complete Runtime Data'!$G$7:$G$159</c:f>
              <c:numCache/>
            </c:numRef>
          </c:val>
          <c:smooth val="0"/>
        </c:ser>
        <c:axId val="454589283"/>
        <c:axId val="2082257207"/>
      </c:lineChart>
      <c:catAx>
        <c:axId val="454589283"/>
        <c:scaling>
          <c:orientation val="minMax"/>
          <c:max val="1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257207"/>
      </c:catAx>
      <c:valAx>
        <c:axId val="2082257207"/>
        <c:scaling>
          <c:orientation val="minMax"/>
          <c:max val="2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589283"/>
      </c:valAx>
    </c:plotArea>
    <c:legend>
      <c:legendPos val="r"/>
      <c:layout>
        <c:manualLayout>
          <c:xMode val="edge"/>
          <c:yMode val="edge"/>
          <c:x val="0.8639210974651834"/>
          <c:y val="0.0491126885536823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CPU Usage % vs. Width</a:t>
            </a:r>
          </a:p>
        </c:rich>
      </c:tx>
      <c:overlay val="0"/>
    </c:title>
    <c:plotArea>
      <c:layout>
        <c:manualLayout>
          <c:xMode val="edge"/>
          <c:yMode val="edge"/>
          <c:x val="0.06963579233954934"/>
          <c:y val="0.1534141958670261"/>
          <c:w val="0.9082580983356917"/>
          <c:h val="0.7131626235399819"/>
        </c:manualLayout>
      </c:layout>
      <c:areaChart>
        <c:grouping val="percentStacked"/>
        <c:ser>
          <c:idx val="0"/>
          <c:order val="0"/>
          <c:tx>
            <c:strRef>
              <c:f>'CPU vs time'!$O$1</c:f>
            </c:strRef>
          </c:tx>
          <c:spPr>
            <a:solidFill>
              <a:srgbClr val="58BC8C">
                <a:alpha val="70000"/>
              </a:srgbClr>
            </a:solidFill>
            <a:ln cmpd="sng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time'!$O$2:$O$46</c:f>
              <c:numCache/>
            </c:numRef>
          </c:val>
        </c:ser>
        <c:ser>
          <c:idx val="1"/>
          <c:order val="1"/>
          <c:tx>
            <c:strRef>
              <c:f>'CPU vs time'!$P$1</c:f>
            </c:strRef>
          </c:tx>
          <c:spPr>
            <a:solidFill>
              <a:srgbClr val="FFD966">
                <a:alpha val="7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time'!$P$2:$P$46</c:f>
              <c:numCache/>
            </c:numRef>
          </c:val>
        </c:ser>
        <c:ser>
          <c:idx val="2"/>
          <c:order val="2"/>
          <c:tx>
            <c:strRef>
              <c:f>'CPU vs time'!$W$1</c:f>
            </c:strRef>
          </c:tx>
          <c:spPr>
            <a:solidFill>
              <a:srgbClr val="F6B26B">
                <a:alpha val="70000"/>
              </a:srgbClr>
            </a:solidFill>
            <a:ln cmpd="sng">
              <a:solidFill>
                <a:srgbClr val="F6B26B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time'!$W$2:$W$46</c:f>
              <c:numCache/>
            </c:numRef>
          </c:val>
        </c:ser>
        <c:ser>
          <c:idx val="3"/>
          <c:order val="3"/>
          <c:tx>
            <c:strRef>
              <c:f>'CPU vs time'!$X$1</c:f>
            </c:strRef>
          </c:tx>
          <c:spPr>
            <a:solidFill>
              <a:srgbClr val="E67C73">
                <a:alpha val="70000"/>
              </a:srgbClr>
            </a:solidFill>
            <a:ln cmpd="sng">
              <a:solidFill>
                <a:srgbClr val="E67C73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time'!$X$2:$X$46</c:f>
              <c:numCache/>
            </c:numRef>
          </c:val>
        </c:ser>
        <c:axId val="211795491"/>
        <c:axId val="242849713"/>
      </c:areaChart>
      <c:catAx>
        <c:axId val="211795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Width</a:t>
                </a:r>
              </a:p>
            </c:rich>
          </c:tx>
          <c:layout>
            <c:manualLayout>
              <c:xMode val="edge"/>
              <c:yMode val="edge"/>
              <c:x val="0.06963579233954934"/>
              <c:y val="0.938112425586093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42849713"/>
      </c:catAx>
      <c:valAx>
        <c:axId val="242849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Processing time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11795491"/>
      </c:valAx>
    </c:plotArea>
    <c:legend>
      <c:legendPos val="r"/>
      <c:layout>
        <c:manualLayout>
          <c:xMode val="edge"/>
          <c:yMode val="edge"/>
          <c:x val="0.8459327285527888"/>
          <c:y val="0.0899079530760389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'CPU vs time'!$O$1</c:f>
            </c:strRef>
          </c:tx>
          <c:spPr>
            <a:solidFill>
              <a:srgbClr val="58BC8C">
                <a:alpha val="70000"/>
              </a:srgbClr>
            </a:solidFill>
            <a:ln cmpd="sng" w="19050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time'!$O$2:$O$46</c:f>
              <c:numCache/>
            </c:numRef>
          </c:val>
        </c:ser>
        <c:ser>
          <c:idx val="1"/>
          <c:order val="1"/>
          <c:tx>
            <c:strRef>
              <c:f>'CPU vs time'!$P$1</c:f>
            </c:strRef>
          </c:tx>
          <c:spPr>
            <a:solidFill>
              <a:srgbClr val="80C484">
                <a:alpha val="70000"/>
              </a:srgbClr>
            </a:solidFill>
            <a:ln cmpd="sng">
              <a:solidFill>
                <a:srgbClr val="80C48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time'!$P$2:$P$46</c:f>
              <c:numCache/>
            </c:numRef>
          </c:val>
        </c:ser>
        <c:ser>
          <c:idx val="2"/>
          <c:order val="2"/>
          <c:tx>
            <c:strRef>
              <c:f>'CPU vs time'!$Q$1</c:f>
            </c:strRef>
          </c:tx>
          <c:spPr>
            <a:solidFill>
              <a:srgbClr val="A8C47C">
                <a:alpha val="70000"/>
              </a:srgbClr>
            </a:solidFill>
            <a:ln cmpd="sng">
              <a:solidFill>
                <a:srgbClr val="A8C47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time'!$Q$2:$Q$46</c:f>
              <c:numCache/>
            </c:numRef>
          </c:val>
        </c:ser>
        <c:ser>
          <c:idx val="3"/>
          <c:order val="3"/>
          <c:tx>
            <c:strRef>
              <c:f>'CPU vs time'!$R$1</c:f>
            </c:strRef>
          </c:tx>
          <c:spPr>
            <a:solidFill>
              <a:srgbClr val="C8CC74">
                <a:alpha val="70000"/>
              </a:srgbClr>
            </a:solidFill>
            <a:ln cmpd="sng">
              <a:solidFill>
                <a:srgbClr val="C8CC7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time'!$R$2:$R$46</c:f>
              <c:numCache/>
            </c:numRef>
          </c:val>
        </c:ser>
        <c:ser>
          <c:idx val="4"/>
          <c:order val="4"/>
          <c:tx>
            <c:strRef>
              <c:f>'CPU vs time'!$S$1</c:f>
            </c:strRef>
          </c:tx>
          <c:spPr>
            <a:solidFill>
              <a:srgbClr val="F0D46C">
                <a:alpha val="70000"/>
              </a:srgbClr>
            </a:solidFill>
            <a:ln cmpd="sng">
              <a:solidFill>
                <a:srgbClr val="F0D4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time'!$S$2:$S$46</c:f>
              <c:numCache/>
            </c:numRef>
          </c:val>
        </c:ser>
        <c:ser>
          <c:idx val="5"/>
          <c:order val="5"/>
          <c:tx>
            <c:strRef>
              <c:f>'CPU vs time'!$T$1</c:f>
            </c:strRef>
          </c:tx>
          <c:spPr>
            <a:solidFill>
              <a:srgbClr val="FFCC64">
                <a:alpha val="70000"/>
              </a:srgbClr>
            </a:solidFill>
            <a:ln cmpd="sng">
              <a:solidFill>
                <a:srgbClr val="FFCC6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time'!$T$2:$T$46</c:f>
              <c:numCache/>
            </c:numRef>
          </c:val>
        </c:ser>
        <c:ser>
          <c:idx val="6"/>
          <c:order val="6"/>
          <c:tx>
            <c:strRef>
              <c:f>'CPU vs time'!$U$1</c:f>
            </c:strRef>
          </c:tx>
          <c:spPr>
            <a:solidFill>
              <a:srgbClr val="F8BC6C">
                <a:alpha val="70000"/>
              </a:srgbClr>
            </a:solidFill>
            <a:ln cmpd="sng">
              <a:solidFill>
                <a:srgbClr val="F8BC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time'!$U$2:$U$46</c:f>
              <c:numCache/>
            </c:numRef>
          </c:val>
        </c:ser>
        <c:ser>
          <c:idx val="7"/>
          <c:order val="7"/>
          <c:tx>
            <c:strRef>
              <c:f>'CPU vs time'!$V$1</c:f>
            </c:strRef>
          </c:tx>
          <c:spPr>
            <a:solidFill>
              <a:srgbClr val="F8A46C">
                <a:alpha val="70000"/>
              </a:srgbClr>
            </a:solidFill>
            <a:ln cmpd="sng">
              <a:solidFill>
                <a:srgbClr val="F8A4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time'!$V$2:$V$46</c:f>
              <c:numCache/>
            </c:numRef>
          </c:val>
        </c:ser>
        <c:ser>
          <c:idx val="8"/>
          <c:order val="8"/>
          <c:tx>
            <c:strRef>
              <c:f>'CPU vs time'!$W$1</c:f>
            </c:strRef>
          </c:tx>
          <c:spPr>
            <a:solidFill>
              <a:srgbClr val="F09474">
                <a:alpha val="70000"/>
              </a:srgbClr>
            </a:solidFill>
            <a:ln cmpd="sng">
              <a:solidFill>
                <a:srgbClr val="F0947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time'!$W$2:$W$46</c:f>
              <c:numCache/>
            </c:numRef>
          </c:val>
        </c:ser>
        <c:ser>
          <c:idx val="9"/>
          <c:order val="9"/>
          <c:tx>
            <c:strRef>
              <c:f>'CPU vs time'!$X$1</c:f>
            </c:strRef>
          </c:tx>
          <c:spPr>
            <a:solidFill>
              <a:srgbClr val="E87C74">
                <a:alpha val="70000"/>
              </a:srgbClr>
            </a:solidFill>
            <a:ln cmpd="sng" w="19050">
              <a:solidFill>
                <a:srgbClr val="E87C74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time'!$X$2:$X$46</c:f>
              <c:numCache/>
            </c:numRef>
          </c:val>
        </c:ser>
        <c:axId val="1035380580"/>
        <c:axId val="1096680104"/>
      </c:areaChart>
      <c:catAx>
        <c:axId val="1035380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680104"/>
      </c:catAx>
      <c:valAx>
        <c:axId val="1096680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5380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Runtime: The new algorithm</a:t>
            </a:r>
          </a:p>
        </c:rich>
      </c:tx>
      <c:overlay val="0"/>
    </c:title>
    <c:plotArea>
      <c:layout>
        <c:manualLayout>
          <c:xMode val="edge"/>
          <c:yMode val="edge"/>
          <c:x val="0.1162280701754386"/>
          <c:y val="0.21909254267744827"/>
          <c:w val="0.8566520467836258"/>
          <c:h val="0.6286163522012579"/>
        </c:manualLayout>
      </c:layout>
      <c:lineChart>
        <c:ser>
          <c:idx val="0"/>
          <c:order val="0"/>
          <c:tx>
            <c:v>old algorithm</c:v>
          </c:tx>
          <c:spPr>
            <a:ln cmpd="sng">
              <a:solidFill>
                <a:srgbClr val="C27BA0">
                  <a:alpha val="100000"/>
                </a:srgbClr>
              </a:solidFill>
            </a:ln>
          </c:spPr>
          <c:marker>
            <c:symbol val="none"/>
          </c:marker>
          <c:dPt>
            <c:idx val="29"/>
            <c:marker>
              <c:symbol val="none"/>
            </c:marker>
          </c:dPt>
          <c:cat>
            <c:strRef>
              <c:f>'Graph Production'!$A$262:$A$414</c:f>
            </c:strRef>
          </c:cat>
          <c:val>
            <c:numRef>
              <c:f>'Graph Production'!$C$262:$C$414</c:f>
              <c:numCache/>
            </c:numRef>
          </c:val>
          <c:smooth val="0"/>
        </c:ser>
        <c:ser>
          <c:idx val="1"/>
          <c:order val="1"/>
          <c:tx>
            <c:v>new algorithm</c:v>
          </c:tx>
          <c:spPr>
            <a:ln cmpd="sng">
              <a:solidFill>
                <a:srgbClr val="CC412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'Graph Production'!$A$262:$A$414</c:f>
            </c:strRef>
          </c:cat>
          <c:val>
            <c:numRef>
              <c:f>'Graph Production'!$E$262:$E$414</c:f>
              <c:numCache/>
            </c:numRef>
          </c:val>
          <c:smooth val="0"/>
        </c:ser>
        <c:axId val="634100383"/>
        <c:axId val="149795684"/>
      </c:lineChart>
      <c:catAx>
        <c:axId val="63410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9795684"/>
      </c:catAx>
      <c:valAx>
        <c:axId val="149795684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34100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93016344725112"/>
          <c:y val="0.1318508535489668"/>
          <c:w val="0.7340267459138187"/>
          <c:h val="0.7049415992812218"/>
        </c:manualLayout>
      </c:layout>
      <c:barChart>
        <c:barDir val="col"/>
        <c:ser>
          <c:idx val="0"/>
          <c:order val="0"/>
          <c:tx>
            <c:v>Cumulative Speedup</c:v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Production'!$G$34:$M$34</c:f>
            </c:strRef>
          </c:cat>
          <c:val>
            <c:numRef>
              <c:f>'Graph Production'!$G$33:$M$33</c:f>
              <c:numCache/>
            </c:numRef>
          </c:val>
        </c:ser>
        <c:axId val="930645404"/>
        <c:axId val="1888388700"/>
      </c:barChart>
      <c:catAx>
        <c:axId val="930645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888388700"/>
      </c:catAx>
      <c:valAx>
        <c:axId val="1888388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30645404"/>
      </c:valAx>
      <c:lineChart>
        <c:varyColors val="0"/>
        <c:ser>
          <c:idx val="1"/>
          <c:order val="1"/>
          <c:tx>
            <c:v>Stepwise Speedup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'Graph Production'!$G$34:$M$34</c:f>
            </c:strRef>
          </c:cat>
          <c:val>
            <c:numRef>
              <c:f>'Graph Production'!$G$32:$M$32</c:f>
              <c:numCache/>
            </c:numRef>
          </c:val>
          <c:smooth val="0"/>
        </c:ser>
        <c:axId val="2091701308"/>
        <c:axId val="1581112028"/>
      </c:lineChart>
      <c:catAx>
        <c:axId val="20917013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81112028"/>
      </c:catAx>
      <c:valAx>
        <c:axId val="158111202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91701308"/>
        <c:crosses val="max"/>
      </c:valAx>
    </c:plotArea>
    <c:legend>
      <c:legendPos val="r"/>
      <c:layout>
        <c:manualLayout>
          <c:xMode val="edge"/>
          <c:yMode val="edge"/>
          <c:x val="0.29388888994852713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Relative Speedup*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'Graph Production'!$C$413:$E$413</c:f>
              <c:numCache/>
            </c:numRef>
          </c:val>
        </c:ser>
        <c:axId val="939188719"/>
        <c:axId val="2033007512"/>
      </c:barChart>
      <c:catAx>
        <c:axId val="939188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33007512"/>
      </c:catAx>
      <c:valAx>
        <c:axId val="2033007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Stepwise 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39188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9411011523687583"/>
          <c:y val="0.18192488262910797"/>
          <c:w val="0.8194622279129321"/>
          <c:h val="0.6548675702010807"/>
        </c:manualLayout>
      </c:layout>
      <c:lineChart>
        <c:varyColors val="0"/>
        <c:ser>
          <c:idx val="0"/>
          <c:order val="0"/>
          <c:tx>
            <c:v>Cumulative Speedup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'Graph Production'!$G$34:$M$34</c:f>
            </c:strRef>
          </c:cat>
          <c:val>
            <c:numRef>
              <c:f>'Graph Production'!$G$33:$M$33</c:f>
              <c:numCache/>
            </c:numRef>
          </c:val>
          <c:smooth val="0"/>
        </c:ser>
        <c:axId val="1290086102"/>
        <c:axId val="84667355"/>
      </c:lineChart>
      <c:catAx>
        <c:axId val="1290086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4667355"/>
      </c:catAx>
      <c:valAx>
        <c:axId val="84667355"/>
        <c:scaling>
          <c:orientation val="minMax"/>
          <c:max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290086102"/>
      </c:valAx>
      <c:barChart>
        <c:barDir val="col"/>
        <c:ser>
          <c:idx val="1"/>
          <c:order val="1"/>
          <c:tx>
            <c:v>Stepwise Speedup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Production'!$G$34:$M$34</c:f>
            </c:strRef>
          </c:cat>
          <c:val>
            <c:numRef>
              <c:f>'Graph Production'!$G$32:$M$32</c:f>
              <c:numCache/>
            </c:numRef>
          </c:val>
        </c:ser>
        <c:axId val="699623413"/>
        <c:axId val="1639486541"/>
      </c:barChart>
      <c:catAx>
        <c:axId val="69962341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39486541"/>
      </c:catAx>
      <c:valAx>
        <c:axId val="163948654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99623413"/>
        <c:crosses val="max"/>
      </c:valAx>
    </c:plotArea>
    <c:legend>
      <c:legendPos val="r"/>
      <c:layout>
        <c:manualLayout>
          <c:xMode val="edge"/>
          <c:yMode val="edge"/>
          <c:x val="0.6147168330274405"/>
          <c:y val="0.128752546011147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93016344725112"/>
          <c:y val="0.1318508535489668"/>
          <c:w val="0.7340267459138187"/>
          <c:h val="0.7049415992812218"/>
        </c:manualLayout>
      </c:layout>
      <c:lineChart>
        <c:varyColors val="0"/>
        <c:ser>
          <c:idx val="0"/>
          <c:order val="0"/>
          <c:tx>
            <c:v>Cumulative Speedup</c:v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'Graph Production'!$G$34:$M$34</c:f>
            </c:strRef>
          </c:cat>
          <c:val>
            <c:numRef>
              <c:f>'Graph Production'!$G$33:$M$33</c:f>
              <c:numCache/>
            </c:numRef>
          </c:val>
          <c:smooth val="0"/>
        </c:ser>
        <c:axId val="476873997"/>
        <c:axId val="2107396038"/>
      </c:lineChart>
      <c:catAx>
        <c:axId val="476873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107396038"/>
      </c:catAx>
      <c:valAx>
        <c:axId val="2107396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476873997"/>
      </c:valAx>
      <c:barChart>
        <c:barDir val="col"/>
        <c:ser>
          <c:idx val="1"/>
          <c:order val="1"/>
          <c:tx>
            <c:v>Stepwise Speedup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Production'!$G$34:$M$34</c:f>
            </c:strRef>
          </c:cat>
          <c:val>
            <c:numRef>
              <c:f>'Graph Production'!$G$32:$M$32</c:f>
              <c:numCache/>
            </c:numRef>
          </c:val>
        </c:ser>
        <c:axId val="93258839"/>
        <c:axId val="231688486"/>
      </c:barChart>
      <c:catAx>
        <c:axId val="93258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31688486"/>
      </c:catAx>
      <c:valAx>
        <c:axId val="23168848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3258839"/>
        <c:crosses val="max"/>
      </c:valAx>
    </c:plotArea>
    <c:legend>
      <c:legendPos val="r"/>
      <c:layout>
        <c:manualLayout>
          <c:xMode val="edge"/>
          <c:yMode val="edge"/>
          <c:x val="0.29388888994852713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893016344725112"/>
          <c:y val="0.1318508535489668"/>
          <c:w val="0.7340267459138187"/>
          <c:h val="0.7049415992812218"/>
        </c:manualLayout>
      </c:layout>
      <c:barChart>
        <c:barDir val="col"/>
        <c:ser>
          <c:idx val="0"/>
          <c:order val="0"/>
          <c:tx>
            <c:v>Cumulative Speedup</c:v>
          </c:tx>
          <c:spPr>
            <a:solidFill>
              <a:schemeClr val="accent1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A64D79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Production'!$G$34:$M$34</c:f>
            </c:strRef>
          </c:cat>
          <c:val>
            <c:numRef>
              <c:f>'Graph Production'!$G$33:$M$33</c:f>
              <c:numCache/>
            </c:numRef>
          </c:val>
        </c:ser>
        <c:axId val="1410656389"/>
        <c:axId val="335982579"/>
      </c:barChart>
      <c:catAx>
        <c:axId val="1410656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335982579"/>
      </c:catAx>
      <c:valAx>
        <c:axId val="335982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10656389"/>
      </c:valAx>
      <c:lineChart>
        <c:varyColors val="0"/>
        <c:ser>
          <c:idx val="1"/>
          <c:order val="1"/>
          <c:tx>
            <c:v>Stepwise Speedup</c:v>
          </c:tx>
          <c:spPr>
            <a:ln cmpd="sng">
              <a:solidFill>
                <a:srgbClr val="000000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Pt>
            <c:idx val="6"/>
            <c:marker>
              <c:symbol val="none"/>
            </c:marker>
          </c:dPt>
          <c:cat>
            <c:strRef>
              <c:f>'Graph Production'!$G$34:$M$34</c:f>
            </c:strRef>
          </c:cat>
          <c:val>
            <c:numRef>
              <c:f>'Graph Production'!$G$32:$M$32</c:f>
              <c:numCache/>
            </c:numRef>
          </c:val>
          <c:smooth val="0"/>
        </c:ser>
        <c:axId val="832143773"/>
        <c:axId val="2056998743"/>
      </c:lineChart>
      <c:catAx>
        <c:axId val="8321437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56998743"/>
      </c:catAx>
      <c:valAx>
        <c:axId val="205699874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832143773"/>
        <c:crosses val="max"/>
      </c:valAx>
    </c:plotArea>
    <c:legend>
      <c:legendPos val="r"/>
      <c:layout>
        <c:manualLayout>
          <c:xMode val="edge"/>
          <c:yMode val="edge"/>
          <c:x val="0.29388888994852713"/>
          <c:y val="0.0473045822102425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'CPU vs time'!$O$1</c:f>
            </c:strRef>
          </c:tx>
          <c:spPr>
            <a:solidFill>
              <a:srgbClr val="58BC8C">
                <a:alpha val="70000"/>
              </a:srgbClr>
            </a:solidFill>
            <a:ln cmpd="sng" w="19050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time'!$O$2:$O$46</c:f>
              <c:numCache/>
            </c:numRef>
          </c:val>
        </c:ser>
        <c:ser>
          <c:idx val="1"/>
          <c:order val="1"/>
          <c:tx>
            <c:strRef>
              <c:f>'CPU vs time'!$P$1</c:f>
            </c:strRef>
          </c:tx>
          <c:spPr>
            <a:solidFill>
              <a:srgbClr val="80C484">
                <a:alpha val="70000"/>
              </a:srgbClr>
            </a:solidFill>
            <a:ln cmpd="sng">
              <a:solidFill>
                <a:srgbClr val="80C48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time'!$P$2:$P$46</c:f>
              <c:numCache/>
            </c:numRef>
          </c:val>
        </c:ser>
        <c:ser>
          <c:idx val="2"/>
          <c:order val="2"/>
          <c:tx>
            <c:strRef>
              <c:f>'CPU vs time'!$Q$1</c:f>
            </c:strRef>
          </c:tx>
          <c:spPr>
            <a:solidFill>
              <a:srgbClr val="A8C47C">
                <a:alpha val="70000"/>
              </a:srgbClr>
            </a:solidFill>
            <a:ln cmpd="sng">
              <a:solidFill>
                <a:srgbClr val="A8C47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time'!$Q$2:$Q$46</c:f>
              <c:numCache/>
            </c:numRef>
          </c:val>
        </c:ser>
        <c:ser>
          <c:idx val="3"/>
          <c:order val="3"/>
          <c:tx>
            <c:strRef>
              <c:f>'CPU vs time'!$R$1</c:f>
            </c:strRef>
          </c:tx>
          <c:spPr>
            <a:solidFill>
              <a:srgbClr val="C8CC74">
                <a:alpha val="70000"/>
              </a:srgbClr>
            </a:solidFill>
            <a:ln cmpd="sng">
              <a:solidFill>
                <a:srgbClr val="C8CC7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time'!$R$2:$R$46</c:f>
              <c:numCache/>
            </c:numRef>
          </c:val>
        </c:ser>
        <c:ser>
          <c:idx val="4"/>
          <c:order val="4"/>
          <c:tx>
            <c:strRef>
              <c:f>'CPU vs time'!$S$1</c:f>
            </c:strRef>
          </c:tx>
          <c:spPr>
            <a:solidFill>
              <a:srgbClr val="F0D46C">
                <a:alpha val="70000"/>
              </a:srgbClr>
            </a:solidFill>
            <a:ln cmpd="sng">
              <a:solidFill>
                <a:srgbClr val="F0D4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time'!$S$2:$S$46</c:f>
              <c:numCache/>
            </c:numRef>
          </c:val>
        </c:ser>
        <c:ser>
          <c:idx val="5"/>
          <c:order val="5"/>
          <c:tx>
            <c:strRef>
              <c:f>'CPU vs time'!$T$1</c:f>
            </c:strRef>
          </c:tx>
          <c:spPr>
            <a:solidFill>
              <a:srgbClr val="FFCC64">
                <a:alpha val="70000"/>
              </a:srgbClr>
            </a:solidFill>
            <a:ln cmpd="sng">
              <a:solidFill>
                <a:srgbClr val="FFCC6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time'!$T$2:$T$46</c:f>
              <c:numCache/>
            </c:numRef>
          </c:val>
        </c:ser>
        <c:ser>
          <c:idx val="6"/>
          <c:order val="6"/>
          <c:tx>
            <c:strRef>
              <c:f>'CPU vs time'!$U$1</c:f>
            </c:strRef>
          </c:tx>
          <c:spPr>
            <a:solidFill>
              <a:srgbClr val="F8BC6C">
                <a:alpha val="70000"/>
              </a:srgbClr>
            </a:solidFill>
            <a:ln cmpd="sng">
              <a:solidFill>
                <a:srgbClr val="F8BC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time'!$U$2:$U$46</c:f>
              <c:numCache/>
            </c:numRef>
          </c:val>
        </c:ser>
        <c:ser>
          <c:idx val="7"/>
          <c:order val="7"/>
          <c:tx>
            <c:strRef>
              <c:f>'CPU vs time'!$V$1</c:f>
            </c:strRef>
          </c:tx>
          <c:spPr>
            <a:solidFill>
              <a:srgbClr val="F8A46C">
                <a:alpha val="70000"/>
              </a:srgbClr>
            </a:solidFill>
            <a:ln cmpd="sng">
              <a:solidFill>
                <a:srgbClr val="F8A46C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time'!$V$2:$V$46</c:f>
              <c:numCache/>
            </c:numRef>
          </c:val>
        </c:ser>
        <c:ser>
          <c:idx val="8"/>
          <c:order val="8"/>
          <c:tx>
            <c:strRef>
              <c:f>'CPU vs time'!$W$1</c:f>
            </c:strRef>
          </c:tx>
          <c:spPr>
            <a:solidFill>
              <a:srgbClr val="F09474">
                <a:alpha val="70000"/>
              </a:srgbClr>
            </a:solidFill>
            <a:ln cmpd="sng">
              <a:solidFill>
                <a:srgbClr val="F09474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time'!$W$2:$W$46</c:f>
              <c:numCache/>
            </c:numRef>
          </c:val>
        </c:ser>
        <c:ser>
          <c:idx val="9"/>
          <c:order val="9"/>
          <c:tx>
            <c:strRef>
              <c:f>'CPU vs time'!$X$1</c:f>
            </c:strRef>
          </c:tx>
          <c:spPr>
            <a:solidFill>
              <a:srgbClr val="E87C74">
                <a:alpha val="70000"/>
              </a:srgbClr>
            </a:solidFill>
            <a:ln cmpd="sng" w="19050">
              <a:solidFill>
                <a:srgbClr val="E87C74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time'!$X$2:$X$46</c:f>
              <c:numCache/>
            </c:numRef>
          </c:val>
        </c:ser>
        <c:axId val="2068140436"/>
        <c:axId val="1641740848"/>
      </c:areaChart>
      <c:catAx>
        <c:axId val="2068140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1740848"/>
      </c:catAx>
      <c:valAx>
        <c:axId val="164174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8140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</a:t>
            </a:r>
          </a:p>
        </c:rich>
      </c:tx>
      <c:overlay val="0"/>
    </c:title>
    <c:plotArea>
      <c:layout>
        <c:manualLayout>
          <c:xMode val="edge"/>
          <c:yMode val="edge"/>
          <c:x val="0.06963579233954931"/>
          <c:y val="0.15341419586702607"/>
          <c:w val="0.8180276063532611"/>
          <c:h val="0.5957518232784998"/>
        </c:manualLayout>
      </c:layout>
      <c:areaChart>
        <c:grouping val="percentStacked"/>
        <c:ser>
          <c:idx val="0"/>
          <c:order val="0"/>
          <c:tx>
            <c:strRef>
              <c:f>'CPU vs time'!$O$1</c:f>
            </c:strRef>
          </c:tx>
          <c:spPr>
            <a:solidFill>
              <a:srgbClr val="58BC8C">
                <a:alpha val="70000"/>
              </a:srgbClr>
            </a:solidFill>
            <a:ln cmpd="sng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time'!$O$2:$O$46</c:f>
              <c:numCache/>
            </c:numRef>
          </c:val>
        </c:ser>
        <c:ser>
          <c:idx val="1"/>
          <c:order val="1"/>
          <c:tx>
            <c:strRef>
              <c:f>'CPU vs time'!$P$1</c:f>
            </c:strRef>
          </c:tx>
          <c:spPr>
            <a:solidFill>
              <a:srgbClr val="EA9999">
                <a:alpha val="70000"/>
              </a:srgbClr>
            </a:solidFill>
            <a:ln cmpd="sng">
              <a:solidFill>
                <a:srgbClr val="EA9999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time'!$P$2:$P$46</c:f>
              <c:numCache/>
            </c:numRef>
          </c:val>
        </c:ser>
        <c:ser>
          <c:idx val="2"/>
          <c:order val="2"/>
          <c:tx>
            <c:strRef>
              <c:f>'CPU vs time'!$Q$1</c:f>
            </c:strRef>
          </c:tx>
          <c:spPr>
            <a:solidFill>
              <a:srgbClr val="3C78D8">
                <a:alpha val="70000"/>
              </a:srgbClr>
            </a:solidFill>
            <a:ln cmpd="sng">
              <a:solidFill>
                <a:srgbClr val="3C78D8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time'!$Q$2:$Q$46</c:f>
              <c:numCache/>
            </c:numRef>
          </c:val>
        </c:ser>
        <c:ser>
          <c:idx val="3"/>
          <c:order val="3"/>
          <c:tx>
            <c:strRef>
              <c:f>'CPU vs time'!$R$1</c:f>
            </c:strRef>
          </c:tx>
          <c:spPr>
            <a:solidFill>
              <a:srgbClr val="E69138">
                <a:alpha val="70000"/>
              </a:srgbClr>
            </a:solidFill>
            <a:ln cmpd="sng">
              <a:solidFill>
                <a:srgbClr val="E69138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time'!$R$2:$R$46</c:f>
              <c:numCache/>
            </c:numRef>
          </c:val>
        </c:ser>
        <c:ser>
          <c:idx val="4"/>
          <c:order val="4"/>
          <c:tx>
            <c:strRef>
              <c:f>'CPU vs time'!$S$1</c:f>
            </c:strRef>
          </c:tx>
          <c:spPr>
            <a:solidFill>
              <a:srgbClr val="8E7CC3">
                <a:alpha val="70000"/>
              </a:srgbClr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time'!$S$2:$S$46</c:f>
              <c:numCache/>
            </c:numRef>
          </c:val>
        </c:ser>
        <c:ser>
          <c:idx val="5"/>
          <c:order val="5"/>
          <c:tx>
            <c:strRef>
              <c:f>'CPU vs time'!$T$1</c:f>
            </c:strRef>
          </c:tx>
          <c:spPr>
            <a:solidFill>
              <a:srgbClr val="46BDC6">
                <a:alpha val="70000"/>
              </a:srgbClr>
            </a:solidFill>
            <a:ln cmpd="sng">
              <a:solidFill>
                <a:srgbClr val="46BDC6"/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time'!$T$2:$T$46</c:f>
              <c:numCache/>
            </c:numRef>
          </c:val>
        </c:ser>
        <c:ser>
          <c:idx val="6"/>
          <c:order val="6"/>
          <c:tx>
            <c:strRef>
              <c:f>'CPU vs time'!$U$1</c:f>
            </c:strRef>
          </c:tx>
          <c:spPr>
            <a:solidFill>
              <a:srgbClr val="C27BA0">
                <a:alpha val="70000"/>
              </a:srgbClr>
            </a:solidFill>
            <a:ln cmpd="sng">
              <a:solidFill>
                <a:srgbClr val="C27BA0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time'!$U$2:$U$46</c:f>
              <c:numCache/>
            </c:numRef>
          </c:val>
        </c:ser>
        <c:ser>
          <c:idx val="7"/>
          <c:order val="7"/>
          <c:tx>
            <c:strRef>
              <c:f>'CPU vs time'!$V$1</c:f>
            </c:strRef>
          </c:tx>
          <c:spPr>
            <a:solidFill>
              <a:srgbClr val="674EA7">
                <a:alpha val="70000"/>
              </a:srgbClr>
            </a:solidFill>
            <a:ln cmpd="sng">
              <a:solidFill>
                <a:srgbClr val="674EA7">
                  <a:alpha val="100000"/>
                </a:srgbClr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time'!$V$2:$V$46</c:f>
              <c:numCache/>
            </c:numRef>
          </c:val>
        </c:ser>
        <c:ser>
          <c:idx val="8"/>
          <c:order val="8"/>
          <c:tx>
            <c:strRef>
              <c:f>'CPU vs time'!$W$1</c:f>
            </c:strRef>
          </c:tx>
          <c:spPr>
            <a:solidFill>
              <a:srgbClr val="FCD04F">
                <a:alpha val="70000"/>
              </a:srgbClr>
            </a:solidFill>
            <a:ln cmpd="sng">
              <a:solidFill>
                <a:srgbClr val="FCD04F"/>
              </a:solidFill>
            </a:ln>
          </c:spPr>
          <c:cat>
            <c:strRef>
              <c:f>'CPU vs time'!$B$2:$B$46</c:f>
            </c:strRef>
          </c:cat>
          <c:val>
            <c:numRef>
              <c:f>'CPU vs time'!$W$2:$W$46</c:f>
              <c:numCache/>
            </c:numRef>
          </c:val>
        </c:ser>
        <c:ser>
          <c:idx val="9"/>
          <c:order val="9"/>
          <c:tx>
            <c:strRef>
              <c:f>'CPU vs time'!$X$1</c:f>
            </c:strRef>
          </c:tx>
          <c:spPr>
            <a:solidFill>
              <a:srgbClr val="E67C73">
                <a:alpha val="70000"/>
              </a:srgbClr>
            </a:solidFill>
            <a:ln cmpd="sng" w="19050">
              <a:solidFill>
                <a:srgbClr val="E67C73">
                  <a:alpha val="100000"/>
                </a:srgbClr>
              </a:solidFill>
              <a:prstDash val="solid"/>
            </a:ln>
          </c:spPr>
          <c:cat>
            <c:strRef>
              <c:f>'CPU vs time'!$B$2:$B$46</c:f>
            </c:strRef>
          </c:cat>
          <c:val>
            <c:numRef>
              <c:f>'CPU vs time'!$X$2:$X$46</c:f>
              <c:numCache/>
            </c:numRef>
          </c:val>
        </c:ser>
        <c:axId val="1083310717"/>
        <c:axId val="1522678267"/>
      </c:areaChart>
      <c:catAx>
        <c:axId val="1083310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678267"/>
      </c:catAx>
      <c:valAx>
        <c:axId val="152267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310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Runtime: Baseline vs Parallel</a:t>
            </a:r>
          </a:p>
        </c:rich>
      </c:tx>
      <c:overlay val="0"/>
    </c:title>
    <c:plotArea>
      <c:layout>
        <c:manualLayout>
          <c:xMode val="edge"/>
          <c:yMode val="edge"/>
          <c:x val="0.12583333333333332"/>
          <c:y val="0.21909254267744827"/>
          <c:w val="0.84325"/>
          <c:h val="0.6205300988319857"/>
        </c:manualLayout>
      </c:layout>
      <c:lineChart>
        <c:ser>
          <c:idx val="0"/>
          <c:order val="0"/>
          <c:tx>
            <c:strRef>
              <c:f>'Graph Production'!$B$1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20"/>
            <c:marker>
              <c:symbol val="none"/>
            </c:marker>
          </c:dPt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'Graph Production'!$A$2:$A$44</c:f>
            </c:strRef>
          </c:cat>
          <c:val>
            <c:numRef>
              <c:f>'Graph Production'!$B$2:$B$44</c:f>
              <c:numCache/>
            </c:numRef>
          </c:val>
          <c:smooth val="0"/>
        </c:ser>
        <c:ser>
          <c:idx val="1"/>
          <c:order val="1"/>
          <c:tx>
            <c:strRef>
              <c:f>'Graph Production'!$C$1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'Graph Production'!$A$2:$A$44</c:f>
            </c:strRef>
          </c:cat>
          <c:val>
            <c:numRef>
              <c:f>'Graph Production'!$C$2:$C$44</c:f>
              <c:numCache/>
            </c:numRef>
          </c:val>
          <c:smooth val="0"/>
        </c:ser>
        <c:ser>
          <c:idx val="2"/>
          <c:order val="2"/>
          <c:tx>
            <c:strRef>
              <c:f>'Graph Production'!$D$1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'Graph Production'!$A$2:$A$44</c:f>
            </c:strRef>
          </c:cat>
          <c:val>
            <c:numRef>
              <c:f>'Graph Production'!$D$2:$D$44</c:f>
              <c:numCache/>
            </c:numRef>
          </c:val>
          <c:smooth val="0"/>
        </c:ser>
        <c:axId val="55490204"/>
        <c:axId val="1068209788"/>
      </c:lineChart>
      <c:catAx>
        <c:axId val="55490204"/>
        <c:scaling>
          <c:orientation val="minMax"/>
          <c:max val="76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068209788"/>
      </c:catAx>
      <c:valAx>
        <c:axId val="106820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5490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762719599405926"/>
          <c:y val="0.1318508535489668"/>
          <c:w val="0.8614561373392743"/>
          <c:h val="0.7320305480682838"/>
        </c:manualLayout>
      </c:layout>
      <c:lineChart>
        <c:ser>
          <c:idx val="0"/>
          <c:order val="0"/>
          <c:tx>
            <c:strRef>
              <c:f>'CPU vs time'!$Z$1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'CPU vs time'!$B$2:$B$40</c:f>
            </c:strRef>
          </c:cat>
          <c:val>
            <c:numRef>
              <c:f>'CPU vs time'!$Z$2:$Z$40</c:f>
              <c:numCache/>
            </c:numRef>
          </c:val>
          <c:smooth val="0"/>
        </c:ser>
        <c:ser>
          <c:idx val="1"/>
          <c:order val="1"/>
          <c:tx>
            <c:strRef>
              <c:f>'CPU vs time'!$AL$1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'CPU vs time'!$B$2:$B$40</c:f>
            </c:strRef>
          </c:cat>
          <c:val>
            <c:numRef>
              <c:f>'CPU vs time'!$AL$2:$AL$40</c:f>
              <c:numCache/>
            </c:numRef>
          </c:val>
          <c:smooth val="0"/>
        </c:ser>
        <c:axId val="1166801942"/>
        <c:axId val="1707107297"/>
      </c:lineChart>
      <c:catAx>
        <c:axId val="1166801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07297"/>
      </c:catAx>
      <c:valAx>
        <c:axId val="1707107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8019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 (logged)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'CPU vs time'!$D$1</c:f>
            </c:strRef>
          </c:tx>
          <c:spPr>
            <a:ln cmpd="sng" w="76200">
              <a:solidFill>
                <a:srgbClr val="58BC8C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time'!$D$2:$D$46</c:f>
              <c:numCache/>
            </c:numRef>
          </c:val>
          <c:smooth val="0"/>
        </c:ser>
        <c:ser>
          <c:idx val="1"/>
          <c:order val="1"/>
          <c:tx>
            <c:strRef>
              <c:f>'CPU vs time'!$E$1</c:f>
            </c:strRef>
          </c:tx>
          <c:spPr>
            <a:ln cmpd="sng" w="19050">
              <a:solidFill>
                <a:srgbClr val="80C4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time'!$E$2:$E$46</c:f>
              <c:numCache/>
            </c:numRef>
          </c:val>
          <c:smooth val="0"/>
        </c:ser>
        <c:ser>
          <c:idx val="2"/>
          <c:order val="2"/>
          <c:tx>
            <c:strRef>
              <c:f>'CPU vs time'!$F$1</c:f>
            </c:strRef>
          </c:tx>
          <c:spPr>
            <a:ln cmpd="sng" w="19050">
              <a:solidFill>
                <a:srgbClr val="A8C47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time'!$F$2:$F$46</c:f>
              <c:numCache/>
            </c:numRef>
          </c:val>
          <c:smooth val="0"/>
        </c:ser>
        <c:ser>
          <c:idx val="3"/>
          <c:order val="3"/>
          <c:tx>
            <c:strRef>
              <c:f>'CPU vs time'!$G$1</c:f>
            </c:strRef>
          </c:tx>
          <c:spPr>
            <a:ln cmpd="sng" w="19050">
              <a:solidFill>
                <a:srgbClr val="C8CC7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time'!$G$2:$G$46</c:f>
              <c:numCache/>
            </c:numRef>
          </c:val>
          <c:smooth val="0"/>
        </c:ser>
        <c:ser>
          <c:idx val="4"/>
          <c:order val="4"/>
          <c:tx>
            <c:strRef>
              <c:f>'CPU vs time'!$H$1</c:f>
            </c:strRef>
          </c:tx>
          <c:spPr>
            <a:ln cmpd="sng" w="19050">
              <a:solidFill>
                <a:srgbClr val="F0D46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time'!$H$2:$H$46</c:f>
              <c:numCache/>
            </c:numRef>
          </c:val>
          <c:smooth val="0"/>
        </c:ser>
        <c:ser>
          <c:idx val="5"/>
          <c:order val="5"/>
          <c:tx>
            <c:strRef>
              <c:f>'CPU vs time'!$I$1</c:f>
            </c:strRef>
          </c:tx>
          <c:spPr>
            <a:ln cmpd="sng" w="19050">
              <a:solidFill>
                <a:srgbClr val="FFCC6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time'!$I$2:$I$46</c:f>
              <c:numCache/>
            </c:numRef>
          </c:val>
          <c:smooth val="0"/>
        </c:ser>
        <c:ser>
          <c:idx val="6"/>
          <c:order val="6"/>
          <c:tx>
            <c:strRef>
              <c:f>'CPU vs time'!$J$1</c:f>
            </c:strRef>
          </c:tx>
          <c:spPr>
            <a:ln cmpd="sng" w="19050">
              <a:solidFill>
                <a:srgbClr val="F8BC6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time'!$J$2:$J$46</c:f>
              <c:numCache/>
            </c:numRef>
          </c:val>
          <c:smooth val="0"/>
        </c:ser>
        <c:ser>
          <c:idx val="7"/>
          <c:order val="7"/>
          <c:tx>
            <c:strRef>
              <c:f>'CPU vs time'!$K$1</c:f>
            </c:strRef>
          </c:tx>
          <c:spPr>
            <a:ln cmpd="sng" w="19050">
              <a:solidFill>
                <a:srgbClr val="F8A46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time'!$K$2:$K$46</c:f>
              <c:numCache/>
            </c:numRef>
          </c:val>
          <c:smooth val="0"/>
        </c:ser>
        <c:ser>
          <c:idx val="8"/>
          <c:order val="8"/>
          <c:tx>
            <c:strRef>
              <c:f>'CPU vs time'!$L$1</c:f>
            </c:strRef>
          </c:tx>
          <c:spPr>
            <a:ln cmpd="sng" w="19050">
              <a:solidFill>
                <a:srgbClr val="F0947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time'!$L$2:$L$46</c:f>
              <c:numCache/>
            </c:numRef>
          </c:val>
          <c:smooth val="0"/>
        </c:ser>
        <c:ser>
          <c:idx val="9"/>
          <c:order val="9"/>
          <c:tx>
            <c:strRef>
              <c:f>'CPU vs time'!$M$1</c:f>
            </c:strRef>
          </c:tx>
          <c:spPr>
            <a:ln cmpd="sng" w="38100">
              <a:solidFill>
                <a:srgbClr val="E87C74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'CPU vs time'!$B$2:$B$46</c:f>
            </c:strRef>
          </c:cat>
          <c:val>
            <c:numRef>
              <c:f>'CPU vs time'!$M$2:$M$46</c:f>
              <c:numCache/>
            </c:numRef>
          </c:val>
          <c:smooth val="0"/>
        </c:ser>
        <c:axId val="665401903"/>
        <c:axId val="1629447251"/>
      </c:lineChart>
      <c:catAx>
        <c:axId val="66540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447251"/>
      </c:catAx>
      <c:valAx>
        <c:axId val="162944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401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'CPU vs. time extended'!$P$1</c:f>
            </c:strRef>
          </c:tx>
          <c:spPr>
            <a:solidFill>
              <a:srgbClr val="58BC8C">
                <a:alpha val="70000"/>
              </a:srgbClr>
            </a:solidFill>
            <a:ln cmpd="sng" w="19050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vs. time extended'!$B$2:$B$105</c:f>
            </c:strRef>
          </c:cat>
          <c:val>
            <c:numRef>
              <c:f>'CPU vs. time extended'!$P$2:$P$105</c:f>
              <c:numCache/>
            </c:numRef>
          </c:val>
        </c:ser>
        <c:ser>
          <c:idx val="1"/>
          <c:order val="1"/>
          <c:tx>
            <c:strRef>
              <c:f>'CPU vs. time extended'!$Q$1</c:f>
            </c:strRef>
          </c:tx>
          <c:spPr>
            <a:solidFill>
              <a:srgbClr val="80C484">
                <a:alpha val="70000"/>
              </a:srgbClr>
            </a:solidFill>
            <a:ln cmpd="sng">
              <a:solidFill>
                <a:srgbClr val="80C48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extended'!$Q$2:$Q$105</c:f>
              <c:numCache/>
            </c:numRef>
          </c:val>
        </c:ser>
        <c:ser>
          <c:idx val="2"/>
          <c:order val="2"/>
          <c:tx>
            <c:strRef>
              <c:f>'CPU vs. time extended'!$R$1</c:f>
            </c:strRef>
          </c:tx>
          <c:spPr>
            <a:solidFill>
              <a:srgbClr val="A8C47C">
                <a:alpha val="70000"/>
              </a:srgbClr>
            </a:solidFill>
            <a:ln cmpd="sng">
              <a:solidFill>
                <a:srgbClr val="A8C47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extended'!$R$2:$R$105</c:f>
              <c:numCache/>
            </c:numRef>
          </c:val>
        </c:ser>
        <c:ser>
          <c:idx val="3"/>
          <c:order val="3"/>
          <c:tx>
            <c:strRef>
              <c:f>'CPU vs. time extended'!$S$1</c:f>
            </c:strRef>
          </c:tx>
          <c:spPr>
            <a:solidFill>
              <a:srgbClr val="C8CC74">
                <a:alpha val="70000"/>
              </a:srgbClr>
            </a:solidFill>
            <a:ln cmpd="sng">
              <a:solidFill>
                <a:srgbClr val="C8CC7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extended'!$S$2:$S$105</c:f>
              <c:numCache/>
            </c:numRef>
          </c:val>
        </c:ser>
        <c:ser>
          <c:idx val="4"/>
          <c:order val="4"/>
          <c:tx>
            <c:strRef>
              <c:f>'CPU vs. time extended'!$T$1</c:f>
            </c:strRef>
          </c:tx>
          <c:spPr>
            <a:solidFill>
              <a:srgbClr val="F0D46C">
                <a:alpha val="70000"/>
              </a:srgbClr>
            </a:solidFill>
            <a:ln cmpd="sng">
              <a:solidFill>
                <a:srgbClr val="F0D4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extended'!$T$2:$T$105</c:f>
              <c:numCache/>
            </c:numRef>
          </c:val>
        </c:ser>
        <c:ser>
          <c:idx val="5"/>
          <c:order val="5"/>
          <c:tx>
            <c:strRef>
              <c:f>'CPU vs. time extended'!$U$1</c:f>
            </c:strRef>
          </c:tx>
          <c:spPr>
            <a:solidFill>
              <a:srgbClr val="FFCC64">
                <a:alpha val="70000"/>
              </a:srgbClr>
            </a:solidFill>
            <a:ln cmpd="sng">
              <a:solidFill>
                <a:srgbClr val="FFCC6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extended'!$U$2:$U$105</c:f>
              <c:numCache/>
            </c:numRef>
          </c:val>
        </c:ser>
        <c:ser>
          <c:idx val="6"/>
          <c:order val="6"/>
          <c:tx>
            <c:strRef>
              <c:f>'CPU vs. time extended'!$V$1</c:f>
            </c:strRef>
          </c:tx>
          <c:spPr>
            <a:solidFill>
              <a:srgbClr val="F8BC6C">
                <a:alpha val="70000"/>
              </a:srgbClr>
            </a:solidFill>
            <a:ln cmpd="sng">
              <a:solidFill>
                <a:srgbClr val="F8BC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extended'!$V$2:$V$105</c:f>
              <c:numCache/>
            </c:numRef>
          </c:val>
        </c:ser>
        <c:ser>
          <c:idx val="7"/>
          <c:order val="7"/>
          <c:tx>
            <c:strRef>
              <c:f>'CPU vs. time extended'!$W$1</c:f>
            </c:strRef>
          </c:tx>
          <c:spPr>
            <a:solidFill>
              <a:srgbClr val="F8A46C">
                <a:alpha val="70000"/>
              </a:srgbClr>
            </a:solidFill>
            <a:ln cmpd="sng" w="9525">
              <a:solidFill>
                <a:srgbClr val="F8A4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extended'!$W$2:$W$105</c:f>
              <c:numCache/>
            </c:numRef>
          </c:val>
        </c:ser>
        <c:ser>
          <c:idx val="8"/>
          <c:order val="8"/>
          <c:tx>
            <c:strRef>
              <c:f>'CPU vs. time extended'!$X$1</c:f>
            </c:strRef>
          </c:tx>
          <c:spPr>
            <a:solidFill>
              <a:srgbClr val="F09474">
                <a:alpha val="70000"/>
              </a:srgbClr>
            </a:solidFill>
            <a:ln cmpd="sng" w="9525">
              <a:solidFill>
                <a:srgbClr val="F0947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extended'!$X$2:$X$105</c:f>
              <c:numCache/>
            </c:numRef>
          </c:val>
        </c:ser>
        <c:ser>
          <c:idx val="9"/>
          <c:order val="9"/>
          <c:tx>
            <c:strRef>
              <c:f>'CPU vs. time extended'!$Y$1</c:f>
            </c:strRef>
          </c:tx>
          <c:spPr>
            <a:solidFill>
              <a:srgbClr val="E87C74">
                <a:alpha val="70000"/>
              </a:srgbClr>
            </a:solidFill>
            <a:ln cmpd="sng" w="19050">
              <a:solidFill>
                <a:srgbClr val="E87C74">
                  <a:alpha val="100000"/>
                </a:srgbClr>
              </a:solidFill>
              <a:prstDash val="solid"/>
            </a:ln>
          </c:spPr>
          <c:cat>
            <c:strRef>
              <c:f>'CPU vs. time extended'!$B$2:$B$105</c:f>
            </c:strRef>
          </c:cat>
          <c:val>
            <c:numRef>
              <c:f>'CPU vs. time extended'!$Y$2:$Y$105</c:f>
              <c:numCache/>
            </c:numRef>
          </c:val>
        </c:ser>
        <c:axId val="661560652"/>
        <c:axId val="369444808"/>
      </c:areaChart>
      <c:catAx>
        <c:axId val="661560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444808"/>
      </c:catAx>
      <c:valAx>
        <c:axId val="369444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spent on X CPUs in a single run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1560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762719599405926"/>
          <c:y val="0.1318508535489668"/>
          <c:w val="0.8614561373392743"/>
          <c:h val="0.7320305480682838"/>
        </c:manualLayout>
      </c:layout>
      <c:lineChart>
        <c:ser>
          <c:idx val="0"/>
          <c:order val="0"/>
          <c:tx>
            <c:strRef>
              <c:f>'CPU vs. time extended'!$Z$1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'CPU vs. time extended'!$B$2:$B$105</c:f>
            </c:strRef>
          </c:cat>
          <c:val>
            <c:numRef>
              <c:f>'CPU vs. time extended'!$Z$2:$Z$105</c:f>
              <c:numCache/>
            </c:numRef>
          </c:val>
          <c:smooth val="0"/>
        </c:ser>
        <c:ser>
          <c:idx val="1"/>
          <c:order val="1"/>
          <c:tx>
            <c:strRef>
              <c:f>'CPU vs. time extended'!$AL$1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'CPU vs. time extended'!$B$2:$B$105</c:f>
            </c:strRef>
          </c:cat>
          <c:val>
            <c:numRef>
              <c:f>'CPU vs. time extended'!$AL$2:$AL$105</c:f>
              <c:numCache/>
            </c:numRef>
          </c:val>
          <c:smooth val="0"/>
        </c:ser>
        <c:axId val="1900405944"/>
        <c:axId val="1584473739"/>
      </c:lineChart>
      <c:catAx>
        <c:axId val="190040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473739"/>
      </c:catAx>
      <c:valAx>
        <c:axId val="1584473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405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 (logged)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'CPU vs. time extended'!$D$1</c:f>
            </c:strRef>
          </c:tx>
          <c:spPr>
            <a:ln cmpd="sng" w="76200">
              <a:solidFill>
                <a:srgbClr val="58BC8C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extended'!$D$2:$D$105</c:f>
              <c:numCache/>
            </c:numRef>
          </c:val>
          <c:smooth val="0"/>
        </c:ser>
        <c:ser>
          <c:idx val="1"/>
          <c:order val="1"/>
          <c:tx>
            <c:strRef>
              <c:f>'CPU vs. time extended'!$E$1</c:f>
            </c:strRef>
          </c:tx>
          <c:spPr>
            <a:ln cmpd="sng" w="19050">
              <a:solidFill>
                <a:srgbClr val="80C484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extended'!$E$2:$E$105</c:f>
              <c:numCache/>
            </c:numRef>
          </c:val>
          <c:smooth val="0"/>
        </c:ser>
        <c:ser>
          <c:idx val="2"/>
          <c:order val="2"/>
          <c:tx>
            <c:strRef>
              <c:f>'CPU vs. time extended'!$F$1</c:f>
            </c:strRef>
          </c:tx>
          <c:spPr>
            <a:ln cmpd="sng" w="19050">
              <a:solidFill>
                <a:srgbClr val="A8C47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extended'!$F$2:$F$105</c:f>
              <c:numCache/>
            </c:numRef>
          </c:val>
          <c:smooth val="0"/>
        </c:ser>
        <c:ser>
          <c:idx val="3"/>
          <c:order val="3"/>
          <c:tx>
            <c:strRef>
              <c:f>'CPU vs. time extended'!$G$1</c:f>
            </c:strRef>
          </c:tx>
          <c:spPr>
            <a:ln cmpd="sng" w="19050">
              <a:solidFill>
                <a:srgbClr val="C8CC74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extended'!$G$2:$G$105</c:f>
              <c:numCache/>
            </c:numRef>
          </c:val>
          <c:smooth val="0"/>
        </c:ser>
        <c:ser>
          <c:idx val="4"/>
          <c:order val="4"/>
          <c:tx>
            <c:strRef>
              <c:f>'CPU vs. time extended'!$H$1</c:f>
            </c:strRef>
          </c:tx>
          <c:spPr>
            <a:ln cmpd="sng" w="19050">
              <a:solidFill>
                <a:srgbClr val="F0D46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extended'!$H$2:$H$105</c:f>
              <c:numCache/>
            </c:numRef>
          </c:val>
          <c:smooth val="0"/>
        </c:ser>
        <c:ser>
          <c:idx val="5"/>
          <c:order val="5"/>
          <c:tx>
            <c:strRef>
              <c:f>'CPU vs. time extended'!$I$1</c:f>
            </c:strRef>
          </c:tx>
          <c:spPr>
            <a:ln cmpd="sng" w="19050">
              <a:solidFill>
                <a:srgbClr val="FFCC64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extended'!$I$2:$I$105</c:f>
              <c:numCache/>
            </c:numRef>
          </c:val>
          <c:smooth val="0"/>
        </c:ser>
        <c:ser>
          <c:idx val="6"/>
          <c:order val="6"/>
          <c:tx>
            <c:strRef>
              <c:f>'CPU vs. time extended'!$J$1</c:f>
            </c:strRef>
          </c:tx>
          <c:spPr>
            <a:ln cmpd="sng" w="19050">
              <a:solidFill>
                <a:srgbClr val="F8BC6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extended'!$J$2:$J$105</c:f>
              <c:numCache/>
            </c:numRef>
          </c:val>
          <c:smooth val="0"/>
        </c:ser>
        <c:ser>
          <c:idx val="7"/>
          <c:order val="7"/>
          <c:tx>
            <c:strRef>
              <c:f>'CPU vs. time extended'!$K$1</c:f>
            </c:strRef>
          </c:tx>
          <c:spPr>
            <a:ln cmpd="sng" w="19050">
              <a:solidFill>
                <a:srgbClr val="F8A46C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extended'!$K$2:$K$105</c:f>
              <c:numCache/>
            </c:numRef>
          </c:val>
          <c:smooth val="0"/>
        </c:ser>
        <c:ser>
          <c:idx val="8"/>
          <c:order val="8"/>
          <c:tx>
            <c:strRef>
              <c:f>'CPU vs. time extended'!$L$1</c:f>
            </c:strRef>
          </c:tx>
          <c:spPr>
            <a:ln cmpd="sng" w="19050">
              <a:solidFill>
                <a:srgbClr val="F09474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extended'!$L$2:$L$105</c:f>
              <c:numCache/>
            </c:numRef>
          </c:val>
          <c:smooth val="0"/>
        </c:ser>
        <c:ser>
          <c:idx val="9"/>
          <c:order val="9"/>
          <c:tx>
            <c:strRef>
              <c:f>'CPU vs. time extended'!$M$1</c:f>
            </c:strRef>
          </c:tx>
          <c:spPr>
            <a:ln cmpd="sng" w="38100">
              <a:solidFill>
                <a:srgbClr val="E87C74">
                  <a:alpha val="100000"/>
                </a:srgbClr>
              </a:solidFill>
              <a:prstDash val="solid"/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'CPU vs. time extended'!$B$2:$B$105</c:f>
            </c:strRef>
          </c:cat>
          <c:val>
            <c:numRef>
              <c:f>'CPU vs. time extended'!$M$2:$M$105</c:f>
              <c:numCache/>
            </c:numRef>
          </c:val>
          <c:smooth val="0"/>
        </c:ser>
        <c:axId val="1048502915"/>
        <c:axId val="509413458"/>
      </c:lineChart>
      <c:catAx>
        <c:axId val="1048502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413458"/>
      </c:catAx>
      <c:valAx>
        <c:axId val="509413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502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CPU usage, Time vs. Size</a:t>
            </a:r>
          </a:p>
        </c:rich>
      </c:tx>
      <c:overlay val="0"/>
    </c:title>
    <c:plotArea>
      <c:layout/>
      <c:areaChart>
        <c:grouping val="percentStacked"/>
        <c:ser>
          <c:idx val="0"/>
          <c:order val="0"/>
          <c:tx>
            <c:strRef>
              <c:f>'CPU vs. time extended'!$O$1</c:f>
            </c:strRef>
          </c:tx>
          <c:spPr>
            <a:solidFill>
              <a:srgbClr val="58BC8C">
                <a:alpha val="70000"/>
              </a:srgbClr>
            </a:solidFill>
            <a:ln cmpd="sng" w="19050">
              <a:solidFill>
                <a:srgbClr val="58BC8C">
                  <a:alpha val="100000"/>
                </a:srgbClr>
              </a:solidFill>
              <a:prstDash val="solid"/>
            </a:ln>
          </c:spPr>
          <c:cat>
            <c:strRef>
              <c:f>'CPU vs. time extended'!$B$2:$B$105</c:f>
            </c:strRef>
          </c:cat>
          <c:val>
            <c:numRef>
              <c:f>'CPU vs. time extended'!$O$2:$O$105</c:f>
              <c:numCache/>
            </c:numRef>
          </c:val>
        </c:ser>
        <c:ser>
          <c:idx val="1"/>
          <c:order val="1"/>
          <c:tx>
            <c:strRef>
              <c:f>'CPU vs. time extended'!$P$1</c:f>
            </c:strRef>
          </c:tx>
          <c:spPr>
            <a:solidFill>
              <a:srgbClr val="80C484">
                <a:alpha val="70000"/>
              </a:srgbClr>
            </a:solidFill>
            <a:ln cmpd="sng">
              <a:solidFill>
                <a:srgbClr val="80C48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extended'!$P$2:$P$105</c:f>
              <c:numCache/>
            </c:numRef>
          </c:val>
        </c:ser>
        <c:ser>
          <c:idx val="2"/>
          <c:order val="2"/>
          <c:tx>
            <c:strRef>
              <c:f>'CPU vs. time extended'!$Q$1</c:f>
            </c:strRef>
          </c:tx>
          <c:spPr>
            <a:solidFill>
              <a:srgbClr val="A8C47C">
                <a:alpha val="70000"/>
              </a:srgbClr>
            </a:solidFill>
            <a:ln cmpd="sng">
              <a:solidFill>
                <a:srgbClr val="A8C47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extended'!$Q$2:$Q$105</c:f>
              <c:numCache/>
            </c:numRef>
          </c:val>
        </c:ser>
        <c:ser>
          <c:idx val="3"/>
          <c:order val="3"/>
          <c:tx>
            <c:strRef>
              <c:f>'CPU vs. time extended'!$R$1</c:f>
            </c:strRef>
          </c:tx>
          <c:spPr>
            <a:solidFill>
              <a:srgbClr val="C8CC74">
                <a:alpha val="70000"/>
              </a:srgbClr>
            </a:solidFill>
            <a:ln cmpd="sng">
              <a:solidFill>
                <a:srgbClr val="C8CC7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extended'!$R$2:$R$105</c:f>
              <c:numCache/>
            </c:numRef>
          </c:val>
        </c:ser>
        <c:ser>
          <c:idx val="4"/>
          <c:order val="4"/>
          <c:tx>
            <c:strRef>
              <c:f>'CPU vs. time extended'!$S$1</c:f>
            </c:strRef>
          </c:tx>
          <c:spPr>
            <a:solidFill>
              <a:srgbClr val="F0D46C">
                <a:alpha val="70000"/>
              </a:srgbClr>
            </a:solidFill>
            <a:ln cmpd="sng">
              <a:solidFill>
                <a:srgbClr val="F0D4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extended'!$S$2:$S$105</c:f>
              <c:numCache/>
            </c:numRef>
          </c:val>
        </c:ser>
        <c:ser>
          <c:idx val="5"/>
          <c:order val="5"/>
          <c:tx>
            <c:strRef>
              <c:f>'CPU vs. time extended'!$T$1</c:f>
            </c:strRef>
          </c:tx>
          <c:spPr>
            <a:solidFill>
              <a:srgbClr val="FFCC64">
                <a:alpha val="70000"/>
              </a:srgbClr>
            </a:solidFill>
            <a:ln cmpd="sng">
              <a:solidFill>
                <a:srgbClr val="FFCC6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extended'!$T$2:$T$105</c:f>
              <c:numCache/>
            </c:numRef>
          </c:val>
        </c:ser>
        <c:ser>
          <c:idx val="6"/>
          <c:order val="6"/>
          <c:tx>
            <c:strRef>
              <c:f>'CPU vs. time extended'!$U$1</c:f>
            </c:strRef>
          </c:tx>
          <c:spPr>
            <a:solidFill>
              <a:srgbClr val="F8BC6C">
                <a:alpha val="70000"/>
              </a:srgbClr>
            </a:solidFill>
            <a:ln cmpd="sng">
              <a:solidFill>
                <a:srgbClr val="F8BC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extended'!$U$2:$U$105</c:f>
              <c:numCache/>
            </c:numRef>
          </c:val>
        </c:ser>
        <c:ser>
          <c:idx val="7"/>
          <c:order val="7"/>
          <c:tx>
            <c:strRef>
              <c:f>'CPU vs. time extended'!$V$1</c:f>
            </c:strRef>
          </c:tx>
          <c:spPr>
            <a:solidFill>
              <a:srgbClr val="F8A46C">
                <a:alpha val="70000"/>
              </a:srgbClr>
            </a:solidFill>
            <a:ln cmpd="sng">
              <a:solidFill>
                <a:srgbClr val="F8A46C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extended'!$V$2:$V$105</c:f>
              <c:numCache/>
            </c:numRef>
          </c:val>
        </c:ser>
        <c:ser>
          <c:idx val="8"/>
          <c:order val="8"/>
          <c:tx>
            <c:strRef>
              <c:f>'CPU vs. time extended'!$W$1</c:f>
            </c:strRef>
          </c:tx>
          <c:spPr>
            <a:solidFill>
              <a:srgbClr val="F09474">
                <a:alpha val="70000"/>
              </a:srgbClr>
            </a:solidFill>
            <a:ln cmpd="sng">
              <a:solidFill>
                <a:srgbClr val="F09474">
                  <a:alpha val="100000"/>
                </a:srgbClr>
              </a:solidFill>
            </a:ln>
          </c:spPr>
          <c:cat>
            <c:strRef>
              <c:f>'CPU vs. time extended'!$B$2:$B$105</c:f>
            </c:strRef>
          </c:cat>
          <c:val>
            <c:numRef>
              <c:f>'CPU vs. time extended'!$W$2:$W$105</c:f>
              <c:numCache/>
            </c:numRef>
          </c:val>
        </c:ser>
        <c:ser>
          <c:idx val="9"/>
          <c:order val="9"/>
          <c:tx>
            <c:strRef>
              <c:f>'CPU vs. time extended'!$X$1</c:f>
            </c:strRef>
          </c:tx>
          <c:spPr>
            <a:solidFill>
              <a:srgbClr val="E87C74">
                <a:alpha val="70000"/>
              </a:srgbClr>
            </a:solidFill>
            <a:ln cmpd="sng" w="19050">
              <a:solidFill>
                <a:srgbClr val="E87C74">
                  <a:alpha val="100000"/>
                </a:srgbClr>
              </a:solidFill>
              <a:prstDash val="solid"/>
            </a:ln>
          </c:spPr>
          <c:cat>
            <c:strRef>
              <c:f>'CPU vs. time extended'!$B$2:$B$105</c:f>
            </c:strRef>
          </c:cat>
          <c:val>
            <c:numRef>
              <c:f>'CPU vs. time extended'!$X$2:$X$105</c:f>
              <c:numCache/>
            </c:numRef>
          </c:val>
        </c:ser>
        <c:axId val="650262465"/>
        <c:axId val="1039058583"/>
      </c:areaChart>
      <c:catAx>
        <c:axId val="650262465"/>
        <c:scaling>
          <c:orientation val="minMax"/>
          <c:min val="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058583"/>
      </c:catAx>
      <c:valAx>
        <c:axId val="1039058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spent on X CPUs during single run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262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and 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'Total Squares'!$B$2:$B$14</c:f>
            </c:strRef>
          </c:cat>
          <c:val>
            <c:numRef>
              <c:f>'Total Squares'!$D$2:$D$14</c:f>
              <c:numCache/>
            </c:numRef>
          </c:val>
        </c:ser>
        <c:axId val="1645740930"/>
        <c:axId val="245053547"/>
      </c:areaChart>
      <c:catAx>
        <c:axId val="1645740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053547"/>
      </c:catAx>
      <c:valAx>
        <c:axId val="24505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.0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740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Relative Speedup</a:t>
            </a:r>
          </a:p>
        </c:rich>
      </c:tx>
      <c:overlay val="0"/>
    </c:title>
    <c:plotArea>
      <c:layout>
        <c:manualLayout>
          <c:xMode val="edge"/>
          <c:yMode val="edge"/>
          <c:x val="0.2523148148148149"/>
          <c:y val="0.2169811320754717"/>
          <c:w val="0.6976851851851853"/>
          <c:h val="0.6226415094339622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Production'!$B$1:$D$1</c:f>
            </c:strRef>
          </c:cat>
          <c:val>
            <c:numRef>
              <c:f>'Graph Production'!$B$44:$D$44</c:f>
              <c:numCache/>
            </c:numRef>
          </c:val>
        </c:ser>
        <c:axId val="662541281"/>
        <c:axId val="2019648674"/>
      </c:barChart>
      <c:catAx>
        <c:axId val="66254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19648674"/>
      </c:catAx>
      <c:valAx>
        <c:axId val="2019648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66254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Runtime: Corner Squares</a:t>
            </a:r>
          </a:p>
        </c:rich>
      </c:tx>
      <c:overlay val="0"/>
    </c:title>
    <c:plotArea>
      <c:layout>
        <c:manualLayout>
          <c:xMode val="edge"/>
          <c:yMode val="edge"/>
          <c:x val="0.13083333333333333"/>
          <c:y val="0.21909254267744827"/>
          <c:w val="0.83825"/>
          <c:h val="0.6015274034141957"/>
        </c:manualLayout>
      </c:layout>
      <c:lineChart>
        <c:ser>
          <c:idx val="0"/>
          <c:order val="0"/>
          <c:tx>
            <c:strRef>
              <c:f>'Graph Production'!$B$49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trendline>
            <c:name/>
            <c:spPr>
              <a:ln w="19050">
                <a:solidFill>
                  <a:srgbClr val="FBBC04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'Graph Production'!$A$50:$A$102</c:f>
            </c:strRef>
          </c:cat>
          <c:val>
            <c:numRef>
              <c:f>'Graph Production'!$B$50:$B$102</c:f>
              <c:numCache/>
            </c:numRef>
          </c:val>
          <c:smooth val="0"/>
        </c:ser>
        <c:ser>
          <c:idx val="1"/>
          <c:order val="1"/>
          <c:tx>
            <c:v>10 cores + minimum first square: 9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dPt>
            <c:idx val="23"/>
            <c:marker>
              <c:symbol val="none"/>
            </c:marker>
          </c:dPt>
          <c:dPt>
            <c:idx val="24"/>
            <c:marker>
              <c:symbol val="none"/>
            </c:marker>
          </c:dPt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'Graph Production'!$A$50:$A$102</c:f>
            </c:strRef>
          </c:cat>
          <c:val>
            <c:numRef>
              <c:f>'Graph Production'!$C$50:$C$102</c:f>
              <c:numCache/>
            </c:numRef>
          </c:val>
          <c:smooth val="0"/>
        </c:ser>
        <c:axId val="1475693831"/>
        <c:axId val="1951698795"/>
      </c:lineChart>
      <c:catAx>
        <c:axId val="147569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Width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51698795"/>
      </c:catAx>
      <c:valAx>
        <c:axId val="1951698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75693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Relative Speedup</a:t>
            </a:r>
          </a:p>
        </c:rich>
      </c:tx>
      <c:layout>
        <c:manualLayout>
          <c:xMode val="edge"/>
          <c:yMode val="edge"/>
          <c:x val="0.03593148710304366"/>
          <c:y val="0.05471698113207547"/>
        </c:manualLayout>
      </c:layout>
      <c:overlay val="0"/>
    </c:title>
    <c:plotArea>
      <c:layout>
        <c:manualLayout>
          <c:xMode val="edge"/>
          <c:yMode val="edge"/>
          <c:x val="0.1747787610619469"/>
          <c:y val="0.15768194070080863"/>
          <c:w val="0.7752212389380531"/>
          <c:h val="0.7142857142857143"/>
        </c:manualLayout>
      </c:layout>
      <c:barChart>
        <c:barDir val="col"/>
        <c:ser>
          <c:idx val="0"/>
          <c:order val="0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Production'!$B$49:$C$49</c:f>
            </c:strRef>
          </c:cat>
          <c:val>
            <c:numRef>
              <c:f>'Graph Production'!$B$102:$C$102</c:f>
              <c:numCache/>
            </c:numRef>
          </c:val>
        </c:ser>
        <c:axId val="52387031"/>
        <c:axId val="1956193261"/>
      </c:barChart>
      <c:catAx>
        <c:axId val="52387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956193261"/>
      </c:catAx>
      <c:valAx>
        <c:axId val="195619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Stepwise Speedup</a:t>
                </a:r>
              </a:p>
            </c:rich>
          </c:tx>
          <c:layout>
            <c:manualLayout>
              <c:xMode val="edge"/>
              <c:yMode val="edge"/>
              <c:x val="0.050217777162351"/>
              <c:y val="0.120844564240790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52387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Runtime: Limiting squares to 5 on the lower and side boundaries.</a:t>
            </a:r>
          </a:p>
        </c:rich>
      </c:tx>
      <c:layout>
        <c:manualLayout>
          <c:xMode val="edge"/>
          <c:yMode val="edge"/>
          <c:x val="0.03405923344947735"/>
          <c:y val="0.04999999999999998"/>
        </c:manualLayout>
      </c:layout>
      <c:overlay val="0"/>
    </c:title>
    <c:plotArea>
      <c:layout>
        <c:manualLayout>
          <c:xMode val="edge"/>
          <c:yMode val="edge"/>
          <c:x val="0.12025316455696203"/>
          <c:y val="0.3161275831087151"/>
          <c:w val="0.8474297622723064"/>
          <c:h val="0.5288858939802337"/>
        </c:manualLayout>
      </c:layout>
      <c:lineChart>
        <c:ser>
          <c:idx val="0"/>
          <c:order val="0"/>
          <c:tx>
            <c:v>minimum first square: 9</c:v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'Graph Production'!$A$112:$A$176</c:f>
            </c:strRef>
          </c:cat>
          <c:val>
            <c:numRef>
              <c:f>'Graph Production'!$B$112:$B$176</c:f>
              <c:numCache/>
            </c:numRef>
          </c:val>
          <c:smooth val="0"/>
        </c:ser>
        <c:ser>
          <c:idx val="1"/>
          <c:order val="1"/>
          <c:tx>
            <c:v>+ minimum base squares: 5 (5 cores)</c:v>
          </c:tx>
          <c:spPr>
            <a:ln cmpd="sng">
              <a:solidFill>
                <a:srgbClr val="A4C2F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'Graph Production'!$A$112:$A$176</c:f>
            </c:strRef>
          </c:cat>
          <c:val>
            <c:numRef>
              <c:f>'Graph Production'!$C$112:$C$176</c:f>
              <c:numCache/>
            </c:numRef>
          </c:val>
          <c:smooth val="0"/>
        </c:ser>
        <c:ser>
          <c:idx val="2"/>
          <c:order val="2"/>
          <c:tx>
            <c:v>+ minimum base squares: 5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'Graph Production'!$A$112:$A$176</c:f>
            </c:strRef>
          </c:cat>
          <c:val>
            <c:numRef>
              <c:f>'Graph Production'!$D$112:$D$176</c:f>
              <c:numCache/>
            </c:numRef>
          </c:val>
          <c:smooth val="0"/>
        </c:ser>
        <c:ser>
          <c:idx val="3"/>
          <c:order val="3"/>
          <c:tx>
            <c:v>+ minimum side squares: 5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'Graph Production'!$A$112:$A$176</c:f>
            </c:strRef>
          </c:cat>
          <c:val>
            <c:numRef>
              <c:f>'Graph Production'!$E$112:$E$176</c:f>
              <c:numCache/>
            </c:numRef>
          </c:val>
          <c:smooth val="0"/>
        </c:ser>
        <c:axId val="1492098083"/>
        <c:axId val="1500298083"/>
      </c:lineChart>
      <c:catAx>
        <c:axId val="1492098083"/>
        <c:scaling>
          <c:orientation val="minMax"/>
          <c:max val="89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500298083"/>
      </c:catAx>
      <c:valAx>
        <c:axId val="1500298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9209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Relative Speedup</a:t>
            </a:r>
          </a:p>
        </c:rich>
      </c:tx>
      <c:layout>
        <c:manualLayout>
          <c:xMode val="edge"/>
          <c:yMode val="edge"/>
          <c:x val="0.05"/>
          <c:y val="0.04892183288409703"/>
        </c:manualLayout>
      </c:layout>
      <c:overlay val="0"/>
    </c:title>
    <c:plotArea>
      <c:layout>
        <c:manualLayout>
          <c:xMode val="edge"/>
          <c:yMode val="edge"/>
          <c:x val="0.23764258555133097"/>
          <c:y val="0.24123989218328842"/>
          <c:w val="0.7123574144486693"/>
          <c:h val="0.6388140161725068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Production'!$B$111:$E$111</c:f>
            </c:strRef>
          </c:cat>
          <c:val>
            <c:numRef>
              <c:f>'Graph Production'!$B$179:$E$179</c:f>
              <c:numCache/>
            </c:numRef>
          </c:val>
        </c:ser>
        <c:axId val="2007273980"/>
        <c:axId val="539580061"/>
      </c:barChart>
      <c:catAx>
        <c:axId val="2007273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11997084548104958"/>
              <c:y val="0.9337823746294347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FFFFFF"/>
                </a:solidFill>
                <a:latin typeface="serif"/>
              </a:defRPr>
            </a:pPr>
          </a:p>
        </c:txPr>
        <c:crossAx val="539580061"/>
      </c:catAx>
      <c:valAx>
        <c:axId val="53958006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07273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serif"/>
              </a:defRPr>
            </a:pPr>
            <a:r>
              <a:rPr b="0">
                <a:solidFill>
                  <a:srgbClr val="434343"/>
                </a:solidFill>
                <a:latin typeface="serif"/>
              </a:rPr>
              <a:t>Eliminating 2 square bottoms</a:t>
            </a:r>
          </a:p>
        </c:rich>
      </c:tx>
      <c:overlay val="0"/>
    </c:title>
    <c:plotArea>
      <c:layout>
        <c:manualLayout>
          <c:xMode val="edge"/>
          <c:yMode val="edge"/>
          <c:x val="0.13349514563106796"/>
          <c:y val="0.21909254267744827"/>
          <c:w val="0.8364886731391586"/>
          <c:h val="0.6393980233602876"/>
        </c:manualLayout>
      </c:layout>
      <c:lineChart>
        <c:ser>
          <c:idx val="0"/>
          <c:order val="0"/>
          <c:tx>
            <c:strRef>
              <c:f>'Graph Production'!$B$188</c:f>
            </c:strRef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'Graph Production'!$A$189:$A$224</c:f>
            </c:strRef>
          </c:cat>
          <c:val>
            <c:numRef>
              <c:f>'Graph Production'!$B$189:$B$224</c:f>
              <c:numCache/>
            </c:numRef>
          </c:val>
          <c:smooth val="0"/>
        </c:ser>
        <c:ser>
          <c:idx val="1"/>
          <c:order val="1"/>
          <c:tx>
            <c:strRef>
              <c:f>'Graph Production'!$C$188</c:f>
            </c:strRef>
          </c:tx>
          <c:spPr>
            <a:ln cmpd="sng">
              <a:solidFill>
                <a:srgbClr val="C27B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'Graph Production'!$A$189:$A$224</c:f>
            </c:strRef>
          </c:cat>
          <c:val>
            <c:numRef>
              <c:f>'Graph Production'!$C$189:$C$224</c:f>
              <c:numCache/>
            </c:numRef>
          </c:val>
          <c:smooth val="0"/>
        </c:ser>
        <c:axId val="1626869736"/>
        <c:axId val="1881571966"/>
      </c:lineChart>
      <c:catAx>
        <c:axId val="162686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881571966"/>
      </c:catAx>
      <c:valAx>
        <c:axId val="18815719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0E+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26869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Relative Speedup</a:t>
            </a:r>
          </a:p>
        </c:rich>
      </c:tx>
      <c:layout>
        <c:manualLayout>
          <c:xMode val="edge"/>
          <c:yMode val="edge"/>
          <c:x val="0.05"/>
          <c:y val="0.04919137466307277"/>
        </c:manualLayout>
      </c:layout>
      <c:overlay val="0"/>
    </c:title>
    <c:plotArea>
      <c:layout>
        <c:manualLayout>
          <c:xMode val="edge"/>
          <c:yMode val="edge"/>
          <c:x val="0.30306122448979594"/>
          <c:y val="0.18463611859838275"/>
          <c:w val="0.6469387755102041"/>
          <c:h val="0.6576819407008087"/>
        </c:manualLayout>
      </c:layout>
      <c:barChart>
        <c:barDir val="col"/>
        <c:ser>
          <c:idx val="0"/>
          <c:order val="0"/>
          <c:tx>
            <c:strRef>
              <c:f>'Graph Production'!$A$231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E7CC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27BA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'Graph Production'!$B$188:$C$188</c:f>
            </c:strRef>
          </c:cat>
          <c:val>
            <c:numRef>
              <c:f>'Graph Production'!$B$231:$C$231</c:f>
              <c:numCache/>
            </c:numRef>
          </c:val>
        </c:ser>
        <c:axId val="1134473710"/>
        <c:axId val="284843248"/>
      </c:barChart>
      <c:catAx>
        <c:axId val="113447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84843248"/>
      </c:catAx>
      <c:valAx>
        <c:axId val="284843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Stepwise Speedup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34473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2.xml"/><Relationship Id="rId10" Type="http://schemas.openxmlformats.org/officeDocument/2006/relationships/chart" Target="../charts/chart11.xml"/><Relationship Id="rId13" Type="http://schemas.openxmlformats.org/officeDocument/2006/relationships/chart" Target="../charts/chart14.xml"/><Relationship Id="rId12" Type="http://schemas.openxmlformats.org/officeDocument/2006/relationships/chart" Target="../charts/chart13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5" Type="http://schemas.openxmlformats.org/officeDocument/2006/relationships/chart" Target="../charts/chart16.xml"/><Relationship Id="rId14" Type="http://schemas.openxmlformats.org/officeDocument/2006/relationships/chart" Target="../charts/chart15.xml"/><Relationship Id="rId16" Type="http://schemas.openxmlformats.org/officeDocument/2006/relationships/chart" Target="../charts/chart17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81</xdr:row>
      <xdr:rowOff>133350</xdr:rowOff>
    </xdr:from>
    <xdr:ext cx="19716750" cy="1073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600075</xdr:colOff>
      <xdr:row>5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47625</xdr:colOff>
      <xdr:row>5</xdr:row>
      <xdr:rowOff>133350</xdr:rowOff>
    </xdr:from>
    <xdr:ext cx="22193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600075</xdr:colOff>
      <xdr:row>35</xdr:row>
      <xdr:rowOff>104775</xdr:rowOff>
    </xdr:from>
    <xdr:ext cx="58864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123825</xdr:colOff>
      <xdr:row>35</xdr:row>
      <xdr:rowOff>104775</xdr:rowOff>
    </xdr:from>
    <xdr:ext cx="21526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161925</xdr:colOff>
      <xdr:row>37</xdr:row>
      <xdr:rowOff>95250</xdr:rowOff>
    </xdr:from>
    <xdr:ext cx="677227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276225</xdr:colOff>
      <xdr:row>37</xdr:row>
      <xdr:rowOff>95250</xdr:rowOff>
    </xdr:from>
    <xdr:ext cx="25050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600075</xdr:colOff>
      <xdr:row>73</xdr:row>
      <xdr:rowOff>19050</xdr:rowOff>
    </xdr:from>
    <xdr:ext cx="58864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9</xdr:col>
      <xdr:colOff>123825</xdr:colOff>
      <xdr:row>73</xdr:row>
      <xdr:rowOff>19050</xdr:rowOff>
    </xdr:from>
    <xdr:ext cx="23336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581025</xdr:colOff>
      <xdr:row>213</xdr:row>
      <xdr:rowOff>104775</xdr:rowOff>
    </xdr:from>
    <xdr:ext cx="11849100" cy="3124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771525</xdr:colOff>
      <xdr:row>190</xdr:row>
      <xdr:rowOff>152400</xdr:rowOff>
    </xdr:from>
    <xdr:ext cx="116586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</xdr:col>
      <xdr:colOff>866775</xdr:colOff>
      <xdr:row>325</xdr:row>
      <xdr:rowOff>47625</xdr:rowOff>
    </xdr:from>
    <xdr:ext cx="65151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17</xdr:col>
      <xdr:colOff>180975</xdr:colOff>
      <xdr:row>74</xdr:row>
      <xdr:rowOff>123825</xdr:rowOff>
    </xdr:from>
    <xdr:ext cx="7877175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</xdr:col>
      <xdr:colOff>752475</xdr:colOff>
      <xdr:row>325</xdr:row>
      <xdr:rowOff>47625</xdr:rowOff>
    </xdr:from>
    <xdr:ext cx="2333625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11</xdr:col>
      <xdr:colOff>257175</xdr:colOff>
      <xdr:row>72</xdr:row>
      <xdr:rowOff>142875</xdr:rowOff>
    </xdr:from>
    <xdr:ext cx="7362825" cy="40576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15</xdr:col>
      <xdr:colOff>342900</xdr:colOff>
      <xdr:row>141</xdr:row>
      <xdr:rowOff>123825</xdr:rowOff>
    </xdr:from>
    <xdr:ext cx="7877175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17</xdr:col>
      <xdr:colOff>180975</xdr:colOff>
      <xdr:row>93</xdr:row>
      <xdr:rowOff>95250</xdr:rowOff>
    </xdr:from>
    <xdr:ext cx="7877175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17</xdr:col>
      <xdr:colOff>923925</xdr:colOff>
      <xdr:row>237</xdr:row>
      <xdr:rowOff>9525</xdr:rowOff>
    </xdr:from>
    <xdr:ext cx="314325" cy="1257300"/>
    <xdr:sp>
      <xdr:nvSpPr>
        <xdr:cNvPr id="3" name="Shape 3"/>
        <xdr:cNvSpPr txBox="1"/>
      </xdr:nvSpPr>
      <xdr:spPr>
        <a:xfrm rot="-5400000">
          <a:off x="2290950" y="1458775"/>
          <a:ext cx="16743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Serif Pro"/>
              <a:ea typeface="Source Serif Pro"/>
              <a:cs typeface="Source Serif Pro"/>
              <a:sym typeface="Source Serif Pro"/>
            </a:rPr>
            <a:t>Stepwise Speedup</a:t>
          </a:r>
          <a:endParaRPr sz="1400">
            <a:latin typeface="Source Serif Pro"/>
            <a:ea typeface="Source Serif Pro"/>
            <a:cs typeface="Source Serif Pro"/>
            <a:sym typeface="Source Serif Pro"/>
          </a:endParaRPr>
        </a:p>
      </xdr:txBody>
    </xdr:sp>
    <xdr:clientData fLocksWithSheet="0"/>
  </xdr:oneCellAnchor>
  <xdr:oneCellAnchor>
    <xdr:from>
      <xdr:col>13</xdr:col>
      <xdr:colOff>295275</xdr:colOff>
      <xdr:row>238</xdr:row>
      <xdr:rowOff>57150</xdr:rowOff>
    </xdr:from>
    <xdr:ext cx="314325" cy="1381125"/>
    <xdr:sp>
      <xdr:nvSpPr>
        <xdr:cNvPr id="4" name="Shape 4"/>
        <xdr:cNvSpPr txBox="1"/>
      </xdr:nvSpPr>
      <xdr:spPr>
        <a:xfrm rot="-5400000">
          <a:off x="4064300" y="2162175"/>
          <a:ext cx="1941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Serif Pro"/>
              <a:ea typeface="Source Serif Pro"/>
              <a:cs typeface="Source Serif Pro"/>
              <a:sym typeface="Source Serif Pro"/>
            </a:rPr>
            <a:t>Processing time </a:t>
          </a:r>
          <a:r>
            <a:rPr lang="en-US" sz="1400">
              <a:latin typeface="Source Serif Pro"/>
              <a:ea typeface="Source Serif Pro"/>
              <a:cs typeface="Source Serif Pro"/>
              <a:sym typeface="Source Serif Pro"/>
            </a:rPr>
            <a:t> (ms)</a:t>
          </a:r>
          <a:endParaRPr sz="1400">
            <a:latin typeface="Source Serif Pro"/>
            <a:ea typeface="Source Serif Pro"/>
            <a:cs typeface="Source Serif Pro"/>
            <a:sym typeface="Source Serif Pro"/>
          </a:endParaRPr>
        </a:p>
      </xdr:txBody>
    </xdr:sp>
    <xdr:clientData fLocksWithSheet="0"/>
  </xdr:oneCellAnchor>
  <xdr:oneCellAnchor>
    <xdr:from>
      <xdr:col>9</xdr:col>
      <xdr:colOff>933450</xdr:colOff>
      <xdr:row>67</xdr:row>
      <xdr:rowOff>57150</xdr:rowOff>
    </xdr:from>
    <xdr:ext cx="542925" cy="304800"/>
    <xdr:sp>
      <xdr:nvSpPr>
        <xdr:cNvPr id="5" name="Shape 5"/>
        <xdr:cNvSpPr txBox="1"/>
      </xdr:nvSpPr>
      <xdr:spPr>
        <a:xfrm>
          <a:off x="3390625" y="2290975"/>
          <a:ext cx="6657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Serif Pro"/>
              <a:ea typeface="Source Serif Pro"/>
              <a:cs typeface="Source Serif Pro"/>
              <a:sym typeface="Source Serif Pro"/>
            </a:rPr>
            <a:t>Cores</a:t>
          </a:r>
          <a:endParaRPr sz="1400">
            <a:latin typeface="Source Serif Pro"/>
            <a:ea typeface="Source Serif Pro"/>
            <a:cs typeface="Source Serif Pro"/>
            <a:sym typeface="Source Serif Pro"/>
          </a:endParaRPr>
        </a:p>
      </xdr:txBody>
    </xdr:sp>
    <xdr:clientData fLocksWithSheet="0"/>
  </xdr:oneCellAnchor>
  <xdr:oneCellAnchor>
    <xdr:from>
      <xdr:col>11</xdr:col>
      <xdr:colOff>257175</xdr:colOff>
      <xdr:row>213</xdr:row>
      <xdr:rowOff>104775</xdr:rowOff>
    </xdr:from>
    <xdr:ext cx="1171575" cy="304800"/>
    <xdr:sp>
      <xdr:nvSpPr>
        <xdr:cNvPr id="6" name="Shape 6"/>
        <xdr:cNvSpPr txBox="1"/>
      </xdr:nvSpPr>
      <xdr:spPr>
        <a:xfrm>
          <a:off x="4591325" y="3243975"/>
          <a:ext cx="14556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Source Serif Pro"/>
              <a:ea typeface="Source Serif Pro"/>
              <a:cs typeface="Source Serif Pro"/>
              <a:sym typeface="Source Serif Pro"/>
            </a:rPr>
            <a:t>Active threads:</a:t>
          </a:r>
          <a:endParaRPr sz="1400">
            <a:latin typeface="Source Serif Pro"/>
            <a:ea typeface="Source Serif Pro"/>
            <a:cs typeface="Source Serif Pro"/>
            <a:sym typeface="Source Serif Pro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428625</xdr:colOff>
      <xdr:row>16</xdr:row>
      <xdr:rowOff>133350</xdr:rowOff>
    </xdr:from>
    <xdr:ext cx="116586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495300</xdr:colOff>
      <xdr:row>34</xdr:row>
      <xdr:rowOff>142875</xdr:rowOff>
    </xdr:from>
    <xdr:ext cx="116586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428625</xdr:colOff>
      <xdr:row>54</xdr:row>
      <xdr:rowOff>123825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895350</xdr:colOff>
      <xdr:row>54</xdr:row>
      <xdr:rowOff>123825</xdr:rowOff>
    </xdr:from>
    <xdr:ext cx="54102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113</xdr:row>
      <xdr:rowOff>9525</xdr:rowOff>
    </xdr:from>
    <xdr:ext cx="116586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122</xdr:row>
      <xdr:rowOff>85725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76200</xdr:colOff>
      <xdr:row>122</xdr:row>
      <xdr:rowOff>85725</xdr:rowOff>
    </xdr:from>
    <xdr:ext cx="5629275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101</xdr:row>
      <xdr:rowOff>114300</xdr:rowOff>
    </xdr:from>
    <xdr:ext cx="116586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hidden="1" min="4" max="4" width="21.63"/>
    <col customWidth="1" min="5" max="5" width="17.75"/>
    <col customWidth="1" hidden="1" min="6" max="6" width="20.38"/>
    <col customWidth="1" min="7" max="9" width="20.38"/>
    <col customWidth="1" min="10" max="10" width="28.88"/>
    <col customWidth="1" min="11" max="11" width="20.38"/>
    <col customWidth="1" hidden="1" min="12" max="14" width="20.38"/>
    <col customWidth="1" hidden="1" min="15" max="15" width="28.75"/>
    <col hidden="1" min="16" max="16" width="12.63"/>
    <col customWidth="1" hidden="1" min="17" max="17" width="33.88"/>
    <col customWidth="1" min="18" max="18" width="34.25"/>
    <col customWidth="1" min="19" max="19" width="22.25"/>
    <col customWidth="1" min="20" max="20" width="30.0"/>
    <col customWidth="1" min="21" max="21" width="28.75"/>
    <col customWidth="1" min="22" max="22" width="21.88"/>
    <col customWidth="1" min="32" max="32" width="14.88"/>
  </cols>
  <sheetData>
    <row r="1">
      <c r="A1" s="1"/>
      <c r="B1" s="2"/>
      <c r="C1" s="3"/>
      <c r="G1" s="4"/>
      <c r="V1" s="5"/>
    </row>
    <row r="2">
      <c r="A2" s="1"/>
      <c r="B2" s="2"/>
      <c r="C2" s="3"/>
      <c r="G2" s="4"/>
      <c r="V2" s="5"/>
      <c r="Z2" s="6"/>
    </row>
    <row r="3">
      <c r="A3" s="1"/>
      <c r="B3" s="2"/>
      <c r="C3" s="3"/>
      <c r="G3" s="4"/>
      <c r="V3" s="5"/>
      <c r="AC3" s="7" t="s">
        <v>0</v>
      </c>
      <c r="AD3" s="7"/>
      <c r="AE3" s="7" t="s">
        <v>1</v>
      </c>
    </row>
    <row r="4">
      <c r="A4" s="8"/>
      <c r="B4" s="9"/>
      <c r="C4" s="10"/>
      <c r="D4" s="11" t="s">
        <v>2</v>
      </c>
      <c r="E4" s="11" t="s">
        <v>2</v>
      </c>
      <c r="F4" s="11" t="s">
        <v>2</v>
      </c>
      <c r="G4" s="12" t="s">
        <v>2</v>
      </c>
      <c r="H4" s="11"/>
      <c r="I4" s="11"/>
      <c r="J4" s="11"/>
      <c r="K4" s="11"/>
      <c r="L4" s="11"/>
      <c r="M4" s="11" t="s">
        <v>3</v>
      </c>
      <c r="N4" s="11" t="s">
        <v>4</v>
      </c>
      <c r="O4" s="11" t="s">
        <v>5</v>
      </c>
      <c r="P4" s="13"/>
      <c r="Q4" s="11" t="s">
        <v>6</v>
      </c>
      <c r="R4" s="11" t="s">
        <v>7</v>
      </c>
      <c r="S4" s="14" t="s">
        <v>7</v>
      </c>
      <c r="T4" s="11" t="s">
        <v>7</v>
      </c>
      <c r="U4" s="11" t="s">
        <v>8</v>
      </c>
      <c r="V4" s="15" t="s">
        <v>9</v>
      </c>
      <c r="W4" s="11" t="s">
        <v>10</v>
      </c>
      <c r="X4" s="14" t="s">
        <v>10</v>
      </c>
      <c r="Y4" s="16"/>
      <c r="Z4" s="16"/>
      <c r="AA4" s="16"/>
      <c r="AB4" s="17" t="s">
        <v>11</v>
      </c>
      <c r="AC4" s="7" t="s">
        <v>12</v>
      </c>
      <c r="AD4" s="7"/>
      <c r="AE4" s="7" t="s">
        <v>13</v>
      </c>
      <c r="AH4" s="7" t="s">
        <v>14</v>
      </c>
    </row>
    <row r="5">
      <c r="A5" s="8"/>
      <c r="B5" s="9"/>
      <c r="C5" s="10" t="s">
        <v>15</v>
      </c>
      <c r="D5" s="11"/>
      <c r="E5" s="11"/>
      <c r="F5" s="11"/>
      <c r="G5" s="12"/>
      <c r="H5" s="11"/>
      <c r="I5" s="11"/>
      <c r="J5" s="11"/>
      <c r="K5" s="11"/>
      <c r="L5" s="11" t="s">
        <v>16</v>
      </c>
      <c r="M5" s="11" t="s">
        <v>17</v>
      </c>
      <c r="N5" s="11" t="s">
        <v>18</v>
      </c>
      <c r="O5" s="11" t="s">
        <v>19</v>
      </c>
      <c r="P5" s="11" t="s">
        <v>20</v>
      </c>
      <c r="Q5" s="11" t="s">
        <v>21</v>
      </c>
      <c r="R5" s="11" t="s">
        <v>22</v>
      </c>
      <c r="S5" s="11" t="s">
        <v>22</v>
      </c>
      <c r="T5" s="11" t="s">
        <v>23</v>
      </c>
      <c r="U5" s="11" t="s">
        <v>24</v>
      </c>
      <c r="V5" s="18" t="s">
        <v>25</v>
      </c>
      <c r="W5" s="19" t="s">
        <v>26</v>
      </c>
      <c r="X5" s="19" t="s">
        <v>27</v>
      </c>
      <c r="Y5" s="17" t="s">
        <v>28</v>
      </c>
      <c r="Z5" s="16"/>
      <c r="AA5" s="16"/>
      <c r="AB5" s="16"/>
      <c r="AC5" s="7" t="s">
        <v>29</v>
      </c>
      <c r="AH5" s="7" t="s">
        <v>30</v>
      </c>
    </row>
    <row r="6" ht="69.0" customHeight="1">
      <c r="A6" s="20"/>
      <c r="B6" s="21"/>
      <c r="C6" s="10" t="s">
        <v>15</v>
      </c>
      <c r="D6" s="22" t="s">
        <v>31</v>
      </c>
      <c r="E6" s="22" t="s">
        <v>32</v>
      </c>
      <c r="F6" s="22" t="s">
        <v>33</v>
      </c>
      <c r="G6" s="23" t="s">
        <v>34</v>
      </c>
      <c r="H6" s="11" t="s">
        <v>35</v>
      </c>
      <c r="I6" s="11" t="s">
        <v>36</v>
      </c>
      <c r="J6" s="11" t="s">
        <v>37</v>
      </c>
      <c r="K6" s="11" t="s">
        <v>38</v>
      </c>
      <c r="L6" s="11" t="s">
        <v>39</v>
      </c>
      <c r="M6" s="11" t="s">
        <v>40</v>
      </c>
      <c r="N6" s="11" t="s">
        <v>41</v>
      </c>
      <c r="O6" s="11" t="s">
        <v>42</v>
      </c>
      <c r="P6" s="11" t="s">
        <v>20</v>
      </c>
      <c r="Q6" s="11" t="s">
        <v>43</v>
      </c>
      <c r="R6" s="11" t="s">
        <v>44</v>
      </c>
      <c r="S6" s="11" t="s">
        <v>44</v>
      </c>
      <c r="T6" s="11" t="s">
        <v>45</v>
      </c>
      <c r="U6" s="11" t="s">
        <v>46</v>
      </c>
      <c r="V6" s="15" t="s">
        <v>47</v>
      </c>
      <c r="W6" s="11" t="s">
        <v>48</v>
      </c>
      <c r="X6" s="11" t="s">
        <v>49</v>
      </c>
      <c r="Y6" s="17" t="s">
        <v>28</v>
      </c>
      <c r="Z6" s="16"/>
      <c r="AA6" s="16"/>
      <c r="AB6" s="16"/>
      <c r="AC6" s="7" t="s">
        <v>50</v>
      </c>
      <c r="AD6" s="7"/>
      <c r="AE6" s="7" t="s">
        <v>51</v>
      </c>
    </row>
    <row r="7" ht="30.75" customHeight="1">
      <c r="A7" s="11">
        <v>0.0</v>
      </c>
      <c r="B7" s="24"/>
      <c r="C7" s="25">
        <v>0.0</v>
      </c>
      <c r="D7" s="4">
        <v>12.0</v>
      </c>
      <c r="E7" s="4">
        <v>12.0</v>
      </c>
      <c r="F7" s="4">
        <v>12.0</v>
      </c>
      <c r="G7" s="4">
        <v>11.0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/>
      <c r="W7" s="26"/>
      <c r="X7" s="26"/>
      <c r="Y7" s="4"/>
    </row>
    <row r="8" ht="1.5" customHeight="1">
      <c r="A8" s="11">
        <v>1.0</v>
      </c>
      <c r="B8" s="24"/>
      <c r="C8" s="25">
        <v>1.0</v>
      </c>
      <c r="D8" s="4">
        <v>12.0</v>
      </c>
      <c r="E8" s="4">
        <v>12.0</v>
      </c>
      <c r="F8" s="4">
        <v>10.0</v>
      </c>
      <c r="G8" s="4">
        <v>13.0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7"/>
      <c r="W8" s="26"/>
      <c r="X8" s="26"/>
      <c r="Y8" s="4"/>
    </row>
    <row r="9" ht="24.0" customHeight="1">
      <c r="A9" s="11">
        <v>2.0</v>
      </c>
      <c r="B9" s="24"/>
      <c r="C9" s="25">
        <v>2.0</v>
      </c>
      <c r="D9" s="4">
        <v>12.0</v>
      </c>
      <c r="E9" s="4">
        <v>12.0</v>
      </c>
      <c r="F9" s="4">
        <v>11.0</v>
      </c>
      <c r="G9" s="4">
        <v>12.0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7"/>
      <c r="W9" s="26"/>
      <c r="X9" s="26"/>
      <c r="Y9" s="4"/>
    </row>
    <row r="10" ht="1.5" customHeight="1">
      <c r="A10" s="11">
        <v>3.0</v>
      </c>
      <c r="B10" s="24"/>
      <c r="C10" s="25">
        <v>3.0</v>
      </c>
      <c r="D10" s="4">
        <v>13.0</v>
      </c>
      <c r="E10" s="4">
        <v>12.0</v>
      </c>
      <c r="F10" s="4">
        <v>11.0</v>
      </c>
      <c r="G10" s="4">
        <v>12.0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6"/>
      <c r="X10" s="26"/>
      <c r="Y10" s="4"/>
    </row>
    <row r="11" ht="1.5" customHeight="1">
      <c r="A11" s="11">
        <v>4.0</v>
      </c>
      <c r="B11" s="24"/>
      <c r="C11" s="25">
        <v>4.0</v>
      </c>
      <c r="D11" s="4">
        <v>12.0</v>
      </c>
      <c r="E11" s="4">
        <v>13.0</v>
      </c>
      <c r="F11" s="4">
        <v>12.0</v>
      </c>
      <c r="G11" s="4">
        <v>11.0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7"/>
      <c r="W11" s="26"/>
      <c r="X11" s="26"/>
      <c r="Y11" s="4"/>
    </row>
    <row r="12" ht="1.5" customHeight="1">
      <c r="A12" s="11">
        <v>5.0</v>
      </c>
      <c r="B12" s="24"/>
      <c r="C12" s="25">
        <v>5.0</v>
      </c>
      <c r="D12" s="4">
        <v>12.0</v>
      </c>
      <c r="E12" s="4">
        <v>12.0</v>
      </c>
      <c r="F12" s="4">
        <v>12.0</v>
      </c>
      <c r="G12" s="4">
        <v>12.0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7"/>
      <c r="W12" s="26"/>
      <c r="X12" s="26"/>
      <c r="Y12" s="4"/>
    </row>
    <row r="13" ht="1.5" customHeight="1">
      <c r="A13" s="11">
        <v>6.0</v>
      </c>
      <c r="B13" s="24"/>
      <c r="C13" s="25">
        <v>6.0</v>
      </c>
      <c r="D13" s="4">
        <v>11.0</v>
      </c>
      <c r="E13" s="4">
        <v>12.0</v>
      </c>
      <c r="F13" s="4">
        <v>12.0</v>
      </c>
      <c r="G13" s="4">
        <v>12.0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7"/>
      <c r="W13" s="26"/>
      <c r="X13" s="26"/>
      <c r="Y13" s="4"/>
    </row>
    <row r="14" ht="1.5" customHeight="1">
      <c r="A14" s="11">
        <v>7.0</v>
      </c>
      <c r="B14" s="24"/>
      <c r="C14" s="25">
        <v>7.0</v>
      </c>
      <c r="D14" s="4">
        <v>12.0</v>
      </c>
      <c r="E14" s="4">
        <v>13.0</v>
      </c>
      <c r="F14" s="4">
        <v>13.0</v>
      </c>
      <c r="G14" s="4">
        <v>10.0</v>
      </c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7"/>
      <c r="W14" s="26"/>
      <c r="X14" s="26"/>
      <c r="Y14" s="4"/>
    </row>
    <row r="15" ht="1.5" customHeight="1">
      <c r="A15" s="11">
        <v>8.0</v>
      </c>
      <c r="B15" s="24"/>
      <c r="C15" s="25">
        <v>8.0</v>
      </c>
      <c r="D15" s="4">
        <v>12.0</v>
      </c>
      <c r="E15" s="4">
        <v>11.0</v>
      </c>
      <c r="F15" s="4">
        <v>11.0</v>
      </c>
      <c r="G15" s="4">
        <v>10.0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7"/>
      <c r="W15" s="26"/>
      <c r="X15" s="26"/>
      <c r="Y15" s="4"/>
    </row>
    <row r="16" ht="1.5" customHeight="1">
      <c r="A16" s="11">
        <v>9.0</v>
      </c>
      <c r="B16" s="24"/>
      <c r="C16" s="25">
        <v>9.0</v>
      </c>
      <c r="D16" s="4">
        <v>12.0</v>
      </c>
      <c r="E16" s="4">
        <v>11.0</v>
      </c>
      <c r="F16" s="4">
        <v>10.0</v>
      </c>
      <c r="G16" s="4">
        <v>12.0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7"/>
      <c r="W16" s="26"/>
      <c r="X16" s="26"/>
      <c r="Y16" s="4"/>
    </row>
    <row r="17" ht="1.5" customHeight="1">
      <c r="A17" s="11">
        <v>10.0</v>
      </c>
      <c r="B17" s="24"/>
      <c r="C17" s="25">
        <v>10.0</v>
      </c>
      <c r="D17" s="4">
        <v>11.0</v>
      </c>
      <c r="E17" s="4">
        <v>13.0</v>
      </c>
      <c r="F17" s="4">
        <v>12.0</v>
      </c>
      <c r="G17" s="4">
        <v>12.0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7"/>
      <c r="W17" s="26"/>
      <c r="X17" s="26"/>
      <c r="Y17" s="4"/>
    </row>
    <row r="18" ht="1.5" customHeight="1">
      <c r="A18" s="11">
        <v>11.0</v>
      </c>
      <c r="B18" s="24"/>
      <c r="C18" s="25">
        <v>11.0</v>
      </c>
      <c r="D18" s="4">
        <v>10.0</v>
      </c>
      <c r="E18" s="4">
        <v>13.0</v>
      </c>
      <c r="F18" s="4">
        <v>13.0</v>
      </c>
      <c r="G18" s="4">
        <v>13.0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7"/>
      <c r="W18" s="26"/>
      <c r="X18" s="26"/>
      <c r="Y18" s="4"/>
    </row>
    <row r="19" ht="1.5" customHeight="1">
      <c r="A19" s="11">
        <v>12.0</v>
      </c>
      <c r="B19" s="24"/>
      <c r="C19" s="25">
        <v>12.0</v>
      </c>
      <c r="D19" s="4">
        <v>11.0</v>
      </c>
      <c r="E19" s="4">
        <v>12.0</v>
      </c>
      <c r="F19" s="4">
        <v>12.0</v>
      </c>
      <c r="G19" s="4">
        <v>12.0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7"/>
      <c r="W19" s="26"/>
      <c r="X19" s="26"/>
      <c r="Y19" s="4"/>
    </row>
    <row r="20" ht="69.0" customHeight="1">
      <c r="A20" s="11">
        <v>13.0</v>
      </c>
      <c r="B20" s="24"/>
      <c r="C20" s="25">
        <v>13.0</v>
      </c>
      <c r="D20" s="4">
        <v>11.0</v>
      </c>
      <c r="E20" s="4">
        <v>11.0</v>
      </c>
      <c r="F20" s="4">
        <v>13.0</v>
      </c>
      <c r="G20" s="4">
        <v>12.0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7"/>
      <c r="W20" s="26"/>
      <c r="X20" s="26"/>
      <c r="Y20" s="4"/>
    </row>
    <row r="21" ht="1.5" customHeight="1">
      <c r="A21" s="11">
        <v>14.0</v>
      </c>
      <c r="B21" s="24"/>
      <c r="C21" s="25">
        <v>14.0</v>
      </c>
      <c r="D21" s="4">
        <v>13.0</v>
      </c>
      <c r="E21" s="4">
        <v>13.0</v>
      </c>
      <c r="F21" s="4">
        <v>11.0</v>
      </c>
      <c r="G21" s="4">
        <v>13.0</v>
      </c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7"/>
      <c r="W21" s="26"/>
      <c r="X21" s="26"/>
      <c r="Y21" s="4"/>
    </row>
    <row r="22" ht="1.5" customHeight="1">
      <c r="A22" s="11">
        <v>15.0</v>
      </c>
      <c r="B22" s="24"/>
      <c r="C22" s="25">
        <v>15.0</v>
      </c>
      <c r="D22" s="4">
        <v>12.0</v>
      </c>
      <c r="E22" s="4">
        <v>12.0</v>
      </c>
      <c r="F22" s="4">
        <v>11.0</v>
      </c>
      <c r="G22" s="4">
        <v>10.0</v>
      </c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7"/>
      <c r="W22" s="26"/>
      <c r="X22" s="26"/>
      <c r="Y22" s="4"/>
    </row>
    <row r="23" ht="1.5" customHeight="1">
      <c r="A23" s="11">
        <v>16.0</v>
      </c>
      <c r="B23" s="24"/>
      <c r="C23" s="25">
        <v>16.0</v>
      </c>
      <c r="D23" s="4">
        <v>13.0</v>
      </c>
      <c r="E23" s="4">
        <v>12.0</v>
      </c>
      <c r="F23" s="4">
        <v>11.0</v>
      </c>
      <c r="G23" s="4">
        <v>12.0</v>
      </c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7"/>
      <c r="W23" s="26"/>
      <c r="X23" s="26"/>
      <c r="Y23" s="4"/>
    </row>
    <row r="24" ht="1.5" customHeight="1">
      <c r="A24" s="11">
        <v>17.0</v>
      </c>
      <c r="B24" s="24"/>
      <c r="C24" s="25">
        <v>17.0</v>
      </c>
      <c r="D24" s="4">
        <v>12.0</v>
      </c>
      <c r="E24" s="4">
        <v>13.0</v>
      </c>
      <c r="F24" s="4">
        <v>13.0</v>
      </c>
      <c r="G24" s="4">
        <v>13.0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7"/>
      <c r="W24" s="26"/>
      <c r="X24" s="26"/>
      <c r="Y24" s="4"/>
    </row>
    <row r="25" ht="1.5" customHeight="1">
      <c r="A25" s="11">
        <v>18.0</v>
      </c>
      <c r="B25" s="24"/>
      <c r="C25" s="25">
        <v>18.0</v>
      </c>
      <c r="D25" s="4">
        <v>13.0</v>
      </c>
      <c r="E25" s="4">
        <v>13.0</v>
      </c>
      <c r="F25" s="4">
        <v>12.0</v>
      </c>
      <c r="G25" s="4">
        <v>12.0</v>
      </c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7"/>
      <c r="W25" s="26"/>
      <c r="X25" s="26"/>
      <c r="Y25" s="4"/>
    </row>
    <row r="26" ht="1.5" customHeight="1">
      <c r="A26" s="11">
        <v>19.0</v>
      </c>
      <c r="B26" s="24"/>
      <c r="C26" s="25">
        <v>19.0</v>
      </c>
      <c r="D26" s="4">
        <v>25.0</v>
      </c>
      <c r="E26" s="4">
        <v>13.0</v>
      </c>
      <c r="F26" s="4">
        <v>25.0</v>
      </c>
      <c r="G26" s="4">
        <v>12.0</v>
      </c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7"/>
      <c r="W26" s="26"/>
      <c r="X26" s="26"/>
      <c r="Y26" s="4"/>
    </row>
    <row r="27" ht="1.5" customHeight="1">
      <c r="A27" s="11">
        <v>20.0</v>
      </c>
      <c r="B27" s="24"/>
      <c r="C27" s="25">
        <v>20.0</v>
      </c>
      <c r="D27" s="4">
        <v>24.0</v>
      </c>
      <c r="E27" s="4">
        <v>11.0</v>
      </c>
      <c r="F27" s="4">
        <v>25.0</v>
      </c>
      <c r="G27" s="4">
        <v>13.0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7"/>
      <c r="W27" s="26"/>
      <c r="X27" s="26"/>
      <c r="Y27" s="4"/>
    </row>
    <row r="28" ht="1.5" customHeight="1">
      <c r="A28" s="11">
        <v>21.0</v>
      </c>
      <c r="B28" s="24"/>
      <c r="C28" s="25">
        <v>21.0</v>
      </c>
      <c r="D28" s="4">
        <v>25.0</v>
      </c>
      <c r="E28" s="4">
        <v>13.0</v>
      </c>
      <c r="F28" s="4">
        <v>25.0</v>
      </c>
      <c r="G28" s="4">
        <v>12.0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7"/>
      <c r="W28" s="26"/>
      <c r="X28" s="26"/>
      <c r="Y28" s="4"/>
    </row>
    <row r="29" ht="1.5" customHeight="1">
      <c r="A29" s="11">
        <v>22.0</v>
      </c>
      <c r="B29" s="24"/>
      <c r="C29" s="25">
        <v>22.0</v>
      </c>
      <c r="D29" s="4">
        <v>23.0</v>
      </c>
      <c r="E29" s="4">
        <v>11.0</v>
      </c>
      <c r="F29" s="4">
        <v>26.0</v>
      </c>
      <c r="G29" s="4">
        <v>13.0</v>
      </c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7"/>
      <c r="W29" s="26"/>
      <c r="X29" s="26"/>
      <c r="Y29" s="4"/>
    </row>
    <row r="30" ht="1.5" customHeight="1">
      <c r="A30" s="11">
        <v>23.0</v>
      </c>
      <c r="B30" s="24"/>
      <c r="C30" s="25">
        <v>23.0</v>
      </c>
      <c r="D30" s="4">
        <v>22.0</v>
      </c>
      <c r="E30" s="4">
        <v>24.0</v>
      </c>
      <c r="F30" s="4">
        <v>24.0</v>
      </c>
      <c r="G30" s="4">
        <v>23.0</v>
      </c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7"/>
      <c r="W30" s="26"/>
      <c r="X30" s="26"/>
      <c r="Y30" s="4"/>
    </row>
    <row r="31" ht="1.5" customHeight="1">
      <c r="A31" s="11">
        <v>24.0</v>
      </c>
      <c r="B31" s="24"/>
      <c r="C31" s="25">
        <v>24.0</v>
      </c>
      <c r="D31" s="4">
        <v>23.0</v>
      </c>
      <c r="E31" s="4">
        <v>23.0</v>
      </c>
      <c r="F31" s="4">
        <v>23.0</v>
      </c>
      <c r="G31" s="4">
        <v>23.0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7"/>
      <c r="W31" s="26"/>
      <c r="X31" s="26"/>
      <c r="Y31" s="4"/>
    </row>
    <row r="32" ht="1.5" customHeight="1">
      <c r="A32" s="11">
        <v>25.0</v>
      </c>
      <c r="B32" s="24"/>
      <c r="C32" s="25">
        <v>25.0</v>
      </c>
      <c r="D32" s="4">
        <v>25.0</v>
      </c>
      <c r="E32" s="4">
        <v>25.0</v>
      </c>
      <c r="F32" s="4">
        <v>25.0</v>
      </c>
      <c r="G32" s="4">
        <v>23.0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7"/>
      <c r="W32" s="26"/>
      <c r="X32" s="26"/>
      <c r="Y32" s="4"/>
    </row>
    <row r="33" ht="1.5" customHeight="1">
      <c r="A33" s="11">
        <v>26.0</v>
      </c>
      <c r="B33" s="24"/>
      <c r="C33" s="25">
        <v>26.0</v>
      </c>
      <c r="D33" s="4">
        <v>25.0</v>
      </c>
      <c r="E33" s="4">
        <v>27.0</v>
      </c>
      <c r="F33" s="4">
        <v>25.0</v>
      </c>
      <c r="G33" s="4">
        <v>24.0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7"/>
      <c r="W33" s="26"/>
      <c r="X33" s="26"/>
      <c r="Y33" s="4"/>
    </row>
    <row r="34" ht="1.5" customHeight="1">
      <c r="A34" s="11">
        <v>27.0</v>
      </c>
      <c r="B34" s="24"/>
      <c r="C34" s="25">
        <v>27.0</v>
      </c>
      <c r="D34" s="4">
        <v>26.0</v>
      </c>
      <c r="E34" s="4">
        <v>27.0</v>
      </c>
      <c r="F34" s="4">
        <v>26.0</v>
      </c>
      <c r="G34" s="4">
        <v>23.0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7"/>
      <c r="W34" s="26"/>
      <c r="X34" s="26"/>
      <c r="Y34" s="4"/>
    </row>
    <row r="35" ht="1.5" customHeight="1">
      <c r="A35" s="11">
        <v>28.0</v>
      </c>
      <c r="B35" s="24"/>
      <c r="C35" s="25">
        <v>28.0</v>
      </c>
      <c r="D35" s="4">
        <v>28.0</v>
      </c>
      <c r="E35" s="4">
        <v>24.0</v>
      </c>
      <c r="F35" s="4">
        <v>25.0</v>
      </c>
      <c r="G35" s="4">
        <v>24.0</v>
      </c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7"/>
      <c r="W35" s="26"/>
      <c r="X35" s="26"/>
      <c r="Y35" s="4"/>
    </row>
    <row r="36" ht="1.5" customHeight="1">
      <c r="A36" s="11">
        <v>29.0</v>
      </c>
      <c r="B36" s="24"/>
      <c r="C36" s="25">
        <v>29.0</v>
      </c>
      <c r="D36" s="4">
        <v>24.0</v>
      </c>
      <c r="E36" s="4">
        <v>25.0</v>
      </c>
      <c r="F36" s="4">
        <v>25.0</v>
      </c>
      <c r="G36" s="4">
        <v>26.0</v>
      </c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7"/>
      <c r="W36" s="26"/>
      <c r="X36" s="26"/>
      <c r="Y36" s="4"/>
    </row>
    <row r="37" ht="1.5" customHeight="1">
      <c r="A37" s="11">
        <v>30.0</v>
      </c>
      <c r="B37" s="24"/>
      <c r="C37" s="25">
        <v>30.0</v>
      </c>
      <c r="D37" s="4">
        <v>24.0</v>
      </c>
      <c r="E37" s="4">
        <v>25.0</v>
      </c>
      <c r="F37" s="4">
        <v>26.0</v>
      </c>
      <c r="G37" s="4">
        <v>24.0</v>
      </c>
      <c r="H37" s="26"/>
      <c r="I37" s="26"/>
      <c r="J37" s="26"/>
      <c r="K37" s="26"/>
      <c r="L37" s="26"/>
      <c r="M37" s="26"/>
      <c r="N37" s="26"/>
      <c r="O37" s="26"/>
      <c r="P37" s="26"/>
      <c r="Q37" s="26">
        <v>0.0</v>
      </c>
      <c r="R37" s="26"/>
      <c r="S37" s="26">
        <v>0.0</v>
      </c>
      <c r="T37" s="26">
        <v>0.0</v>
      </c>
      <c r="U37" s="26">
        <v>5.0</v>
      </c>
      <c r="V37" s="27">
        <v>1.0</v>
      </c>
      <c r="W37" s="26">
        <v>1.0</v>
      </c>
      <c r="X37" s="26">
        <v>1.0</v>
      </c>
      <c r="Y37" s="4"/>
      <c r="Z37" s="25">
        <f t="shared" ref="Z37:Z87" si="1">if(Y37, 1, 0)</f>
        <v>0</v>
      </c>
      <c r="AA37" s="25" t="str">
        <f t="shared" ref="AA37:AA66" si="2">if(Y37, K37/Y37, "")</f>
        <v/>
      </c>
    </row>
    <row r="38" ht="1.5" customHeight="1">
      <c r="A38" s="11">
        <v>31.0</v>
      </c>
      <c r="B38" s="24"/>
      <c r="C38" s="25">
        <v>31.0</v>
      </c>
      <c r="D38" s="4">
        <v>26.0</v>
      </c>
      <c r="E38" s="4">
        <v>24.0</v>
      </c>
      <c r="F38" s="4">
        <v>26.0</v>
      </c>
      <c r="G38" s="4">
        <v>24.0</v>
      </c>
      <c r="H38" s="26"/>
      <c r="I38" s="26"/>
      <c r="J38" s="26"/>
      <c r="K38" s="26"/>
      <c r="L38" s="26"/>
      <c r="M38" s="26"/>
      <c r="N38" s="26"/>
      <c r="O38" s="26"/>
      <c r="P38" s="26"/>
      <c r="Q38" s="26">
        <v>0.0</v>
      </c>
      <c r="R38" s="26"/>
      <c r="S38" s="26">
        <v>0.0</v>
      </c>
      <c r="T38" s="26">
        <v>0.0</v>
      </c>
      <c r="U38" s="26">
        <v>4.0</v>
      </c>
      <c r="V38" s="27">
        <v>1.0</v>
      </c>
      <c r="W38" s="26">
        <v>1.0</v>
      </c>
      <c r="X38" s="26">
        <v>2.0</v>
      </c>
      <c r="Y38" s="4"/>
      <c r="Z38" s="25">
        <f t="shared" si="1"/>
        <v>0</v>
      </c>
      <c r="AA38" s="25" t="str">
        <f t="shared" si="2"/>
        <v/>
      </c>
    </row>
    <row r="39" ht="1.5" customHeight="1">
      <c r="A39" s="11">
        <v>32.0</v>
      </c>
      <c r="B39" s="24"/>
      <c r="C39" s="25">
        <v>32.0</v>
      </c>
      <c r="D39" s="4">
        <v>28.0</v>
      </c>
      <c r="E39" s="4">
        <v>25.0</v>
      </c>
      <c r="F39" s="4">
        <v>25.0</v>
      </c>
      <c r="G39" s="4">
        <v>26.0</v>
      </c>
      <c r="H39" s="26">
        <v>16.0</v>
      </c>
      <c r="I39" s="26"/>
      <c r="J39" s="26"/>
      <c r="K39" s="26"/>
      <c r="L39" s="26"/>
      <c r="M39" s="26"/>
      <c r="N39" s="26"/>
      <c r="O39" s="26"/>
      <c r="P39" s="26"/>
      <c r="Q39" s="26">
        <v>0.0</v>
      </c>
      <c r="R39" s="26"/>
      <c r="S39" s="26">
        <v>0.0</v>
      </c>
      <c r="T39" s="26">
        <v>0.0</v>
      </c>
      <c r="U39" s="26">
        <v>3.0</v>
      </c>
      <c r="V39" s="27">
        <v>1.0</v>
      </c>
      <c r="W39" s="26">
        <v>2.0</v>
      </c>
      <c r="X39" s="26">
        <v>2.0</v>
      </c>
      <c r="Y39" s="4"/>
      <c r="Z39" s="25">
        <f t="shared" si="1"/>
        <v>0</v>
      </c>
      <c r="AA39" s="25" t="str">
        <f t="shared" si="2"/>
        <v/>
      </c>
    </row>
    <row r="40" ht="1.5" customHeight="1">
      <c r="A40" s="11">
        <v>33.0</v>
      </c>
      <c r="B40" s="24"/>
      <c r="C40" s="25">
        <v>33.0</v>
      </c>
      <c r="D40" s="4">
        <v>29.0</v>
      </c>
      <c r="E40" s="4">
        <v>27.0</v>
      </c>
      <c r="F40" s="4">
        <v>26.0</v>
      </c>
      <c r="G40" s="4">
        <v>25.0</v>
      </c>
      <c r="H40" s="26">
        <v>18.0</v>
      </c>
      <c r="I40" s="26"/>
      <c r="J40" s="26"/>
      <c r="K40" s="26"/>
      <c r="L40" s="26"/>
      <c r="M40" s="26"/>
      <c r="N40" s="26"/>
      <c r="O40" s="26"/>
      <c r="P40" s="26"/>
      <c r="Q40" s="26">
        <v>0.0</v>
      </c>
      <c r="R40" s="26"/>
      <c r="S40" s="26">
        <v>0.0</v>
      </c>
      <c r="T40" s="26">
        <v>1.0</v>
      </c>
      <c r="U40" s="26">
        <v>7.0</v>
      </c>
      <c r="V40" s="27">
        <v>10.0</v>
      </c>
      <c r="W40" s="26">
        <v>2.0</v>
      </c>
      <c r="X40" s="26">
        <v>2.0</v>
      </c>
      <c r="Y40" s="4"/>
      <c r="Z40" s="25">
        <f t="shared" si="1"/>
        <v>0</v>
      </c>
      <c r="AA40" s="25" t="str">
        <f t="shared" si="2"/>
        <v/>
      </c>
    </row>
    <row r="41" ht="1.5" customHeight="1">
      <c r="A41" s="11">
        <v>34.0</v>
      </c>
      <c r="B41" s="24"/>
      <c r="C41" s="25">
        <v>34.0</v>
      </c>
      <c r="D41" s="4">
        <v>30.0</v>
      </c>
      <c r="E41" s="4">
        <v>28.0</v>
      </c>
      <c r="F41" s="4">
        <v>26.0</v>
      </c>
      <c r="G41" s="4">
        <v>26.0</v>
      </c>
      <c r="H41" s="26">
        <v>17.0</v>
      </c>
      <c r="I41" s="26"/>
      <c r="J41" s="26"/>
      <c r="K41" s="26"/>
      <c r="L41" s="26"/>
      <c r="M41" s="26"/>
      <c r="N41" s="26"/>
      <c r="O41" s="26"/>
      <c r="P41" s="26"/>
      <c r="Q41" s="26">
        <v>0.0</v>
      </c>
      <c r="R41" s="26"/>
      <c r="S41" s="26">
        <v>0.0</v>
      </c>
      <c r="T41" s="26">
        <v>0.0</v>
      </c>
      <c r="U41" s="26">
        <v>2.0</v>
      </c>
      <c r="V41" s="27">
        <v>2.0</v>
      </c>
      <c r="W41" s="26">
        <v>2.0</v>
      </c>
      <c r="X41" s="26">
        <v>3.0</v>
      </c>
      <c r="Y41" s="4"/>
      <c r="Z41" s="25">
        <f t="shared" si="1"/>
        <v>0</v>
      </c>
      <c r="AA41" s="25" t="str">
        <f t="shared" si="2"/>
        <v/>
      </c>
    </row>
    <row r="42" ht="1.5" customHeight="1">
      <c r="A42" s="11">
        <v>35.0</v>
      </c>
      <c r="B42" s="24"/>
      <c r="C42" s="25">
        <v>35.0</v>
      </c>
      <c r="D42" s="4">
        <v>30.0</v>
      </c>
      <c r="E42" s="4">
        <v>30.0</v>
      </c>
      <c r="F42" s="4">
        <v>26.0</v>
      </c>
      <c r="G42" s="4">
        <v>25.0</v>
      </c>
      <c r="H42" s="26">
        <v>18.0</v>
      </c>
      <c r="I42" s="26"/>
      <c r="J42" s="26"/>
      <c r="K42" s="26"/>
      <c r="L42" s="26"/>
      <c r="M42" s="26"/>
      <c r="N42" s="26"/>
      <c r="O42" s="26"/>
      <c r="P42" s="26"/>
      <c r="Q42" s="26">
        <v>0.0</v>
      </c>
      <c r="R42" s="26"/>
      <c r="S42" s="26">
        <v>1.0</v>
      </c>
      <c r="T42" s="26">
        <v>1.0</v>
      </c>
      <c r="U42" s="26">
        <v>3.0</v>
      </c>
      <c r="V42" s="27">
        <v>2.0</v>
      </c>
      <c r="W42" s="26">
        <v>2.0</v>
      </c>
      <c r="X42" s="26">
        <v>3.0</v>
      </c>
      <c r="Y42" s="4"/>
      <c r="Z42" s="25">
        <f t="shared" si="1"/>
        <v>0</v>
      </c>
      <c r="AA42" s="25" t="str">
        <f t="shared" si="2"/>
        <v/>
      </c>
    </row>
    <row r="43" ht="1.5" customHeight="1">
      <c r="A43" s="11">
        <v>36.0</v>
      </c>
      <c r="B43" s="24"/>
      <c r="C43" s="25">
        <v>36.0</v>
      </c>
      <c r="D43" s="4">
        <v>29.0</v>
      </c>
      <c r="E43" s="4">
        <v>29.0</v>
      </c>
      <c r="F43" s="4">
        <v>26.0</v>
      </c>
      <c r="G43" s="4">
        <v>25.0</v>
      </c>
      <c r="H43" s="26">
        <v>18.0</v>
      </c>
      <c r="I43" s="26"/>
      <c r="J43" s="26"/>
      <c r="K43" s="26"/>
      <c r="L43" s="26"/>
      <c r="M43" s="26"/>
      <c r="N43" s="26"/>
      <c r="O43" s="26"/>
      <c r="P43" s="26"/>
      <c r="Q43" s="26">
        <v>0.0</v>
      </c>
      <c r="R43" s="26"/>
      <c r="S43" s="26">
        <v>1.0</v>
      </c>
      <c r="T43" s="26">
        <v>1.0</v>
      </c>
      <c r="U43" s="26">
        <v>3.0</v>
      </c>
      <c r="V43" s="27">
        <v>12.0</v>
      </c>
      <c r="W43" s="26">
        <v>3.0</v>
      </c>
      <c r="X43" s="26">
        <v>4.0</v>
      </c>
      <c r="Y43" s="4"/>
      <c r="Z43" s="25">
        <f t="shared" si="1"/>
        <v>0</v>
      </c>
      <c r="AA43" s="25" t="str">
        <f t="shared" si="2"/>
        <v/>
      </c>
    </row>
    <row r="44" ht="1.5" customHeight="1">
      <c r="A44" s="11">
        <v>37.0</v>
      </c>
      <c r="B44" s="24"/>
      <c r="C44" s="25">
        <v>37.0</v>
      </c>
      <c r="D44" s="4">
        <v>29.0</v>
      </c>
      <c r="E44" s="4">
        <v>29.0</v>
      </c>
      <c r="F44" s="4">
        <v>27.0</v>
      </c>
      <c r="G44" s="4">
        <v>26.0</v>
      </c>
      <c r="H44" s="26">
        <v>21.0</v>
      </c>
      <c r="I44" s="26"/>
      <c r="J44" s="26"/>
      <c r="K44" s="26"/>
      <c r="L44" s="26"/>
      <c r="M44" s="26"/>
      <c r="N44" s="26"/>
      <c r="O44" s="26"/>
      <c r="P44" s="26"/>
      <c r="Q44" s="26">
        <v>0.0</v>
      </c>
      <c r="R44" s="26"/>
      <c r="S44" s="26">
        <v>2.0</v>
      </c>
      <c r="T44" s="26">
        <v>1.0</v>
      </c>
      <c r="U44" s="26">
        <v>4.0</v>
      </c>
      <c r="V44" s="27">
        <v>13.0</v>
      </c>
      <c r="W44" s="26">
        <v>14.0</v>
      </c>
      <c r="X44" s="26">
        <v>10.0</v>
      </c>
      <c r="Y44" s="4"/>
      <c r="Z44" s="25">
        <f t="shared" si="1"/>
        <v>0</v>
      </c>
      <c r="AA44" s="25" t="str">
        <f t="shared" si="2"/>
        <v/>
      </c>
    </row>
    <row r="45" ht="1.5" customHeight="1">
      <c r="A45" s="11">
        <v>38.0</v>
      </c>
      <c r="B45" s="24"/>
      <c r="C45" s="25">
        <v>38.0</v>
      </c>
      <c r="D45" s="4">
        <v>31.0</v>
      </c>
      <c r="E45" s="4">
        <v>34.0</v>
      </c>
      <c r="F45" s="4">
        <v>27.0</v>
      </c>
      <c r="G45" s="4">
        <v>26.0</v>
      </c>
      <c r="H45" s="26">
        <v>16.0</v>
      </c>
      <c r="I45" s="26"/>
      <c r="J45" s="26"/>
      <c r="K45" s="26"/>
      <c r="L45" s="26"/>
      <c r="M45" s="26"/>
      <c r="N45" s="26"/>
      <c r="O45" s="26"/>
      <c r="P45" s="26"/>
      <c r="Q45" s="26">
        <v>0.0</v>
      </c>
      <c r="R45" s="26"/>
      <c r="S45" s="26">
        <v>1.0</v>
      </c>
      <c r="T45" s="26">
        <v>2.0</v>
      </c>
      <c r="U45" s="26">
        <v>4.0</v>
      </c>
      <c r="V45" s="27">
        <v>4.0</v>
      </c>
      <c r="W45" s="26">
        <v>15.0</v>
      </c>
      <c r="X45" s="26">
        <v>8.0</v>
      </c>
      <c r="Y45" s="4"/>
      <c r="Z45" s="25">
        <f t="shared" si="1"/>
        <v>0</v>
      </c>
      <c r="AA45" s="25" t="str">
        <f t="shared" si="2"/>
        <v/>
      </c>
    </row>
    <row r="46" ht="1.5" customHeight="1">
      <c r="A46" s="11">
        <v>39.0</v>
      </c>
      <c r="B46" s="24"/>
      <c r="C46" s="25">
        <v>39.0</v>
      </c>
      <c r="D46" s="4">
        <v>35.0</v>
      </c>
      <c r="E46" s="4">
        <v>30.0</v>
      </c>
      <c r="F46" s="4">
        <v>28.0</v>
      </c>
      <c r="G46" s="4">
        <v>26.0</v>
      </c>
      <c r="H46" s="26">
        <v>17.0</v>
      </c>
      <c r="I46" s="26"/>
      <c r="J46" s="26"/>
      <c r="K46" s="26"/>
      <c r="L46" s="26"/>
      <c r="M46" s="26"/>
      <c r="N46" s="26"/>
      <c r="O46" s="26"/>
      <c r="P46" s="26"/>
      <c r="Q46" s="26">
        <v>1.0</v>
      </c>
      <c r="R46" s="26"/>
      <c r="S46" s="26">
        <v>3.0</v>
      </c>
      <c r="T46" s="26">
        <v>2.0</v>
      </c>
      <c r="U46" s="26">
        <v>6.0</v>
      </c>
      <c r="V46" s="27">
        <v>12.0</v>
      </c>
      <c r="W46" s="26">
        <v>10.0</v>
      </c>
      <c r="X46" s="26">
        <v>10.0</v>
      </c>
      <c r="Y46" s="4"/>
      <c r="Z46" s="25">
        <f t="shared" si="1"/>
        <v>0</v>
      </c>
      <c r="AA46" s="25" t="str">
        <f t="shared" si="2"/>
        <v/>
      </c>
    </row>
    <row r="47" ht="1.5" customHeight="1">
      <c r="A47" s="11">
        <v>40.0</v>
      </c>
      <c r="B47" s="24"/>
      <c r="C47" s="25">
        <v>40.0</v>
      </c>
      <c r="D47" s="4">
        <v>29.0</v>
      </c>
      <c r="E47" s="4">
        <v>31.0</v>
      </c>
      <c r="F47" s="4">
        <v>28.0</v>
      </c>
      <c r="G47" s="4">
        <v>27.0</v>
      </c>
      <c r="H47" s="26">
        <v>20.0</v>
      </c>
      <c r="I47" s="26"/>
      <c r="J47" s="26"/>
      <c r="K47" s="26"/>
      <c r="L47" s="26"/>
      <c r="M47" s="26"/>
      <c r="N47" s="26"/>
      <c r="O47" s="26"/>
      <c r="P47" s="26"/>
      <c r="Q47" s="26">
        <v>1.0</v>
      </c>
      <c r="R47" s="26"/>
      <c r="S47" s="26">
        <v>3.0</v>
      </c>
      <c r="T47" s="26">
        <v>3.0</v>
      </c>
      <c r="U47" s="26">
        <v>6.0</v>
      </c>
      <c r="V47" s="27">
        <v>7.0</v>
      </c>
      <c r="W47" s="26">
        <v>10.0</v>
      </c>
      <c r="X47" s="26">
        <v>13.0</v>
      </c>
      <c r="Y47" s="26">
        <v>56.0</v>
      </c>
      <c r="Z47" s="25">
        <f t="shared" si="1"/>
        <v>1</v>
      </c>
      <c r="AA47" s="25">
        <f t="shared" si="2"/>
        <v>0</v>
      </c>
    </row>
    <row r="48" ht="1.5" customHeight="1">
      <c r="A48" s="11">
        <v>41.0</v>
      </c>
      <c r="B48" s="24"/>
      <c r="C48" s="25">
        <v>41.0</v>
      </c>
      <c r="D48" s="4">
        <v>30.0</v>
      </c>
      <c r="E48" s="4">
        <v>31.0</v>
      </c>
      <c r="F48" s="4">
        <v>28.0</v>
      </c>
      <c r="G48" s="4">
        <v>27.0</v>
      </c>
      <c r="H48" s="26">
        <v>18.0</v>
      </c>
      <c r="I48" s="26"/>
      <c r="J48" s="26"/>
      <c r="K48" s="26"/>
      <c r="L48" s="26"/>
      <c r="M48" s="26"/>
      <c r="N48" s="26"/>
      <c r="O48" s="26"/>
      <c r="P48" s="26"/>
      <c r="Q48" s="26">
        <v>2.0</v>
      </c>
      <c r="R48" s="26"/>
      <c r="S48" s="26">
        <v>14.0</v>
      </c>
      <c r="T48" s="26">
        <v>4.0</v>
      </c>
      <c r="U48" s="26">
        <v>7.0</v>
      </c>
      <c r="V48" s="27">
        <v>12.0</v>
      </c>
      <c r="W48" s="26">
        <v>15.0</v>
      </c>
      <c r="X48" s="26">
        <v>18.0</v>
      </c>
      <c r="Y48" s="4"/>
      <c r="Z48" s="25">
        <f t="shared" si="1"/>
        <v>0</v>
      </c>
      <c r="AA48" s="25" t="str">
        <f t="shared" si="2"/>
        <v/>
      </c>
    </row>
    <row r="49" ht="1.5" customHeight="1">
      <c r="A49" s="11">
        <v>42.0</v>
      </c>
      <c r="B49" s="24"/>
      <c r="C49" s="25">
        <v>42.0</v>
      </c>
      <c r="D49" s="4">
        <v>30.0</v>
      </c>
      <c r="E49" s="4">
        <v>32.0</v>
      </c>
      <c r="F49" s="4">
        <v>29.0</v>
      </c>
      <c r="G49" s="4">
        <v>27.0</v>
      </c>
      <c r="H49" s="26">
        <v>20.0</v>
      </c>
      <c r="I49" s="26"/>
      <c r="J49" s="26"/>
      <c r="K49" s="26"/>
      <c r="L49" s="26"/>
      <c r="M49" s="26"/>
      <c r="N49" s="26"/>
      <c r="O49" s="26"/>
      <c r="P49" s="26"/>
      <c r="Q49" s="26">
        <v>2.0</v>
      </c>
      <c r="R49" s="26"/>
      <c r="S49" s="26">
        <v>5.0</v>
      </c>
      <c r="T49" s="26">
        <v>6.0</v>
      </c>
      <c r="U49" s="26">
        <v>9.0</v>
      </c>
      <c r="V49" s="27">
        <v>13.0</v>
      </c>
      <c r="W49" s="26">
        <v>15.0</v>
      </c>
      <c r="X49" s="26">
        <v>22.0</v>
      </c>
      <c r="Y49" s="4"/>
      <c r="Z49" s="25">
        <f t="shared" si="1"/>
        <v>0</v>
      </c>
      <c r="AA49" s="25" t="str">
        <f t="shared" si="2"/>
        <v/>
      </c>
    </row>
    <row r="50" ht="46.5" customHeight="1">
      <c r="A50" s="11">
        <v>43.0</v>
      </c>
      <c r="B50" s="24"/>
      <c r="C50" s="25">
        <v>43.0</v>
      </c>
      <c r="D50" s="4">
        <v>33.0</v>
      </c>
      <c r="E50" s="4">
        <v>34.0</v>
      </c>
      <c r="F50" s="4">
        <v>29.0</v>
      </c>
      <c r="G50" s="4">
        <v>26.0</v>
      </c>
      <c r="H50" s="26">
        <v>21.0</v>
      </c>
      <c r="I50" s="26"/>
      <c r="J50" s="26"/>
      <c r="K50" s="26"/>
      <c r="L50" s="26"/>
      <c r="M50" s="26"/>
      <c r="N50" s="26"/>
      <c r="O50" s="26"/>
      <c r="P50" s="26"/>
      <c r="Q50" s="26">
        <v>2.0</v>
      </c>
      <c r="R50" s="26"/>
      <c r="S50" s="26">
        <v>5.0</v>
      </c>
      <c r="T50" s="26">
        <v>7.0</v>
      </c>
      <c r="U50" s="26">
        <v>11.0</v>
      </c>
      <c r="V50" s="27">
        <v>17.0</v>
      </c>
      <c r="W50" s="26">
        <v>19.0</v>
      </c>
      <c r="X50" s="26">
        <v>28.0</v>
      </c>
      <c r="Y50" s="4"/>
      <c r="Z50" s="25">
        <f t="shared" si="1"/>
        <v>0</v>
      </c>
      <c r="AA50" s="25" t="str">
        <f t="shared" si="2"/>
        <v/>
      </c>
    </row>
    <row r="51" ht="1.5" customHeight="1">
      <c r="A51" s="11">
        <v>44.0</v>
      </c>
      <c r="B51" s="24"/>
      <c r="C51" s="25">
        <v>44.0</v>
      </c>
      <c r="D51" s="4">
        <v>32.0</v>
      </c>
      <c r="E51" s="4">
        <v>37.0</v>
      </c>
      <c r="F51" s="4">
        <v>29.0</v>
      </c>
      <c r="G51" s="4">
        <v>26.0</v>
      </c>
      <c r="H51" s="26">
        <v>21.0</v>
      </c>
      <c r="I51" s="26"/>
      <c r="J51" s="26"/>
      <c r="K51" s="26"/>
      <c r="L51" s="26"/>
      <c r="M51" s="26"/>
      <c r="N51" s="26"/>
      <c r="O51" s="26"/>
      <c r="P51" s="26"/>
      <c r="Q51" s="26">
        <v>3.0</v>
      </c>
      <c r="R51" s="26"/>
      <c r="S51" s="26">
        <v>13.0</v>
      </c>
      <c r="T51" s="26">
        <v>8.0</v>
      </c>
      <c r="U51" s="26">
        <v>12.0</v>
      </c>
      <c r="V51" s="27">
        <v>21.0</v>
      </c>
      <c r="W51" s="26">
        <v>23.0</v>
      </c>
      <c r="X51" s="26">
        <v>35.0</v>
      </c>
      <c r="Y51" s="4"/>
      <c r="Z51" s="25">
        <f t="shared" si="1"/>
        <v>0</v>
      </c>
      <c r="AA51" s="25" t="str">
        <f t="shared" si="2"/>
        <v/>
      </c>
    </row>
    <row r="52" ht="1.5" customHeight="1">
      <c r="A52" s="11">
        <v>45.0</v>
      </c>
      <c r="B52" s="24"/>
      <c r="C52" s="25">
        <v>45.0</v>
      </c>
      <c r="D52" s="4">
        <v>33.0</v>
      </c>
      <c r="E52" s="4">
        <v>36.0</v>
      </c>
      <c r="F52" s="4">
        <v>29.0</v>
      </c>
      <c r="G52" s="4">
        <v>28.0</v>
      </c>
      <c r="H52" s="26">
        <v>23.0</v>
      </c>
      <c r="I52" s="26"/>
      <c r="J52" s="26"/>
      <c r="K52" s="26"/>
      <c r="L52" s="26"/>
      <c r="M52" s="26"/>
      <c r="N52" s="26"/>
      <c r="O52" s="26"/>
      <c r="P52" s="26"/>
      <c r="Q52" s="26">
        <v>4.0</v>
      </c>
      <c r="R52" s="26"/>
      <c r="S52" s="26">
        <v>10.0</v>
      </c>
      <c r="T52" s="26">
        <v>10.0</v>
      </c>
      <c r="U52" s="26">
        <v>15.0</v>
      </c>
      <c r="V52" s="27">
        <v>28.0</v>
      </c>
      <c r="W52" s="26">
        <v>31.0</v>
      </c>
      <c r="X52" s="26">
        <v>43.0</v>
      </c>
      <c r="Y52" s="26">
        <v>185.0</v>
      </c>
      <c r="Z52" s="25">
        <f t="shared" si="1"/>
        <v>1</v>
      </c>
      <c r="AA52" s="25">
        <f t="shared" si="2"/>
        <v>0</v>
      </c>
    </row>
    <row r="53" ht="1.5" customHeight="1">
      <c r="A53" s="11">
        <v>46.0</v>
      </c>
      <c r="B53" s="24"/>
      <c r="C53" s="25">
        <v>46.0</v>
      </c>
      <c r="D53" s="4">
        <v>34.0</v>
      </c>
      <c r="E53" s="4">
        <v>31.0</v>
      </c>
      <c r="F53" s="4">
        <v>31.0</v>
      </c>
      <c r="G53" s="4">
        <v>28.0</v>
      </c>
      <c r="H53" s="26">
        <v>22.0</v>
      </c>
      <c r="I53" s="26"/>
      <c r="J53" s="26"/>
      <c r="K53" s="26"/>
      <c r="L53" s="26"/>
      <c r="M53" s="26"/>
      <c r="N53" s="26"/>
      <c r="O53" s="26"/>
      <c r="P53" s="26"/>
      <c r="Q53" s="26">
        <v>5.0</v>
      </c>
      <c r="R53" s="26"/>
      <c r="S53" s="26">
        <v>11.0</v>
      </c>
      <c r="T53" s="26">
        <v>12.0</v>
      </c>
      <c r="U53" s="26">
        <v>18.0</v>
      </c>
      <c r="V53" s="27">
        <v>32.0</v>
      </c>
      <c r="W53" s="26">
        <v>46.0</v>
      </c>
      <c r="X53" s="26">
        <v>55.0</v>
      </c>
      <c r="Y53" s="4"/>
      <c r="Z53" s="25">
        <f t="shared" si="1"/>
        <v>0</v>
      </c>
      <c r="AA53" s="25" t="str">
        <f t="shared" si="2"/>
        <v/>
      </c>
    </row>
    <row r="54" ht="66.75" customHeight="1">
      <c r="A54" s="11">
        <v>47.0</v>
      </c>
      <c r="B54" s="24"/>
      <c r="C54" s="25">
        <v>47.0</v>
      </c>
      <c r="D54" s="4">
        <v>35.0</v>
      </c>
      <c r="E54" s="4">
        <v>31.0</v>
      </c>
      <c r="F54" s="4">
        <v>32.0</v>
      </c>
      <c r="G54" s="4">
        <v>30.0</v>
      </c>
      <c r="H54" s="26">
        <v>27.0</v>
      </c>
      <c r="I54" s="26"/>
      <c r="J54" s="26"/>
      <c r="K54" s="26"/>
      <c r="L54" s="26"/>
      <c r="M54" s="26"/>
      <c r="N54" s="26"/>
      <c r="O54" s="26"/>
      <c r="P54" s="26"/>
      <c r="Q54" s="26">
        <v>6.0</v>
      </c>
      <c r="R54" s="26"/>
      <c r="S54" s="26">
        <v>22.0</v>
      </c>
      <c r="T54" s="26">
        <v>18.0</v>
      </c>
      <c r="U54" s="26">
        <v>25.0</v>
      </c>
      <c r="V54" s="27">
        <v>41.0</v>
      </c>
      <c r="W54" s="26">
        <v>57.0</v>
      </c>
      <c r="X54" s="26">
        <v>77.0</v>
      </c>
      <c r="Y54" s="4"/>
      <c r="Z54" s="25">
        <f t="shared" si="1"/>
        <v>0</v>
      </c>
      <c r="AA54" s="25" t="str">
        <f t="shared" si="2"/>
        <v/>
      </c>
    </row>
    <row r="55" ht="1.5" customHeight="1">
      <c r="A55" s="11">
        <v>48.0</v>
      </c>
      <c r="B55" s="24"/>
      <c r="C55" s="25">
        <v>48.0</v>
      </c>
      <c r="D55" s="4">
        <v>39.0</v>
      </c>
      <c r="E55" s="4">
        <v>33.0</v>
      </c>
      <c r="F55" s="4">
        <v>32.0</v>
      </c>
      <c r="G55" s="4">
        <v>31.0</v>
      </c>
      <c r="H55" s="26">
        <v>27.0</v>
      </c>
      <c r="I55" s="26"/>
      <c r="J55" s="26"/>
      <c r="K55" s="26"/>
      <c r="L55" s="26"/>
      <c r="M55" s="26"/>
      <c r="N55" s="26"/>
      <c r="O55" s="26"/>
      <c r="P55" s="26"/>
      <c r="Q55" s="26">
        <v>7.0</v>
      </c>
      <c r="R55" s="26"/>
      <c r="S55" s="26">
        <v>20.0</v>
      </c>
      <c r="T55" s="26">
        <v>23.0</v>
      </c>
      <c r="U55" s="26">
        <v>34.0</v>
      </c>
      <c r="V55" s="27">
        <v>60.0</v>
      </c>
      <c r="W55" s="26">
        <v>65.0</v>
      </c>
      <c r="X55" s="26">
        <v>95.0</v>
      </c>
      <c r="Y55" s="4"/>
      <c r="Z55" s="25">
        <f t="shared" si="1"/>
        <v>0</v>
      </c>
      <c r="AA55" s="25" t="str">
        <f t="shared" si="2"/>
        <v/>
      </c>
    </row>
    <row r="56" ht="1.5" customHeight="1">
      <c r="A56" s="11">
        <v>49.0</v>
      </c>
      <c r="B56" s="24"/>
      <c r="C56" s="25">
        <v>49.0</v>
      </c>
      <c r="D56" s="4">
        <v>39.0</v>
      </c>
      <c r="E56" s="4">
        <v>34.0</v>
      </c>
      <c r="F56" s="4">
        <v>34.0</v>
      </c>
      <c r="G56" s="4">
        <v>30.0</v>
      </c>
      <c r="H56" s="26">
        <v>28.0</v>
      </c>
      <c r="I56" s="26"/>
      <c r="J56" s="26"/>
      <c r="K56" s="26"/>
      <c r="L56" s="26"/>
      <c r="M56" s="26"/>
      <c r="N56" s="26"/>
      <c r="O56" s="26"/>
      <c r="P56" s="26"/>
      <c r="Q56" s="26">
        <v>9.0</v>
      </c>
      <c r="R56" s="26"/>
      <c r="S56" s="26">
        <v>20.0</v>
      </c>
      <c r="T56" s="26">
        <v>27.0</v>
      </c>
      <c r="U56" s="26">
        <v>40.0</v>
      </c>
      <c r="V56" s="27">
        <v>71.0</v>
      </c>
      <c r="W56" s="26">
        <v>77.0</v>
      </c>
      <c r="X56" s="26">
        <v>126.0</v>
      </c>
      <c r="Y56" s="4"/>
      <c r="Z56" s="25">
        <f t="shared" si="1"/>
        <v>0</v>
      </c>
      <c r="AA56" s="25" t="str">
        <f t="shared" si="2"/>
        <v/>
      </c>
    </row>
    <row r="57" ht="25.5" customHeight="1">
      <c r="A57" s="11">
        <v>50.0</v>
      </c>
      <c r="B57" s="24"/>
      <c r="C57" s="25">
        <v>50.0</v>
      </c>
      <c r="D57" s="4">
        <v>40.0</v>
      </c>
      <c r="E57" s="4">
        <v>34.0</v>
      </c>
      <c r="F57" s="4">
        <v>36.0</v>
      </c>
      <c r="G57" s="4">
        <v>33.0</v>
      </c>
      <c r="H57" s="26">
        <v>28.0</v>
      </c>
      <c r="I57" s="26"/>
      <c r="J57" s="26"/>
      <c r="K57" s="26"/>
      <c r="L57" s="26"/>
      <c r="M57" s="26"/>
      <c r="N57" s="26"/>
      <c r="O57" s="26"/>
      <c r="P57" s="26"/>
      <c r="Q57" s="26">
        <v>12.0</v>
      </c>
      <c r="R57" s="26"/>
      <c r="S57" s="26">
        <v>21.0</v>
      </c>
      <c r="T57" s="26">
        <v>31.0</v>
      </c>
      <c r="U57" s="26">
        <v>53.0</v>
      </c>
      <c r="V57" s="27">
        <v>88.0</v>
      </c>
      <c r="W57" s="26">
        <v>97.0</v>
      </c>
      <c r="X57" s="26">
        <v>150.0</v>
      </c>
      <c r="Y57" s="26">
        <v>599.0</v>
      </c>
      <c r="Z57" s="25">
        <f t="shared" si="1"/>
        <v>1</v>
      </c>
      <c r="AA57" s="25">
        <f t="shared" si="2"/>
        <v>0</v>
      </c>
    </row>
    <row r="58" ht="59.25" customHeight="1">
      <c r="A58" s="11">
        <v>51.0</v>
      </c>
      <c r="B58" s="24"/>
      <c r="C58" s="25">
        <v>51.0</v>
      </c>
      <c r="D58" s="4">
        <v>49.0</v>
      </c>
      <c r="E58" s="4">
        <v>39.0</v>
      </c>
      <c r="F58" s="4">
        <v>38.0</v>
      </c>
      <c r="G58" s="4">
        <v>35.0</v>
      </c>
      <c r="H58" s="26">
        <v>34.0</v>
      </c>
      <c r="I58" s="26"/>
      <c r="J58" s="26"/>
      <c r="K58" s="26"/>
      <c r="L58" s="26"/>
      <c r="M58" s="26"/>
      <c r="N58" s="26"/>
      <c r="O58" s="26"/>
      <c r="P58" s="26"/>
      <c r="Q58" s="26">
        <v>15.0</v>
      </c>
      <c r="R58" s="26"/>
      <c r="S58" s="26">
        <v>33.0</v>
      </c>
      <c r="T58" s="26">
        <v>44.0</v>
      </c>
      <c r="U58" s="26">
        <v>69.0</v>
      </c>
      <c r="V58" s="27">
        <v>125.0</v>
      </c>
      <c r="W58" s="26">
        <v>132.0</v>
      </c>
      <c r="X58" s="26">
        <v>205.0</v>
      </c>
      <c r="Y58" s="4"/>
      <c r="Z58" s="25">
        <f t="shared" si="1"/>
        <v>0</v>
      </c>
      <c r="AA58" s="25" t="str">
        <f t="shared" si="2"/>
        <v/>
      </c>
    </row>
    <row r="59" ht="43.5" customHeight="1">
      <c r="A59" s="11">
        <v>52.0</v>
      </c>
      <c r="B59" s="24"/>
      <c r="C59" s="25">
        <v>52.0</v>
      </c>
      <c r="D59" s="4">
        <v>55.0</v>
      </c>
      <c r="E59" s="4">
        <v>45.0</v>
      </c>
      <c r="F59" s="4">
        <v>41.0</v>
      </c>
      <c r="G59" s="4">
        <v>39.0</v>
      </c>
      <c r="H59" s="26">
        <v>46.0</v>
      </c>
      <c r="I59" s="26"/>
      <c r="J59" s="26"/>
      <c r="K59" s="26"/>
      <c r="L59" s="26"/>
      <c r="M59" s="26"/>
      <c r="N59" s="26"/>
      <c r="O59" s="26"/>
      <c r="P59" s="26"/>
      <c r="Q59" s="26">
        <v>18.0</v>
      </c>
      <c r="R59" s="26"/>
      <c r="S59" s="26">
        <v>62.0</v>
      </c>
      <c r="T59" s="26">
        <v>66.0</v>
      </c>
      <c r="U59" s="26">
        <v>102.0</v>
      </c>
      <c r="V59" s="27">
        <v>154.0</v>
      </c>
      <c r="W59" s="26">
        <v>179.0</v>
      </c>
      <c r="X59" s="26">
        <v>267.0</v>
      </c>
      <c r="Y59" s="4"/>
      <c r="Z59" s="25">
        <f t="shared" si="1"/>
        <v>0</v>
      </c>
      <c r="AA59" s="25" t="str">
        <f t="shared" si="2"/>
        <v/>
      </c>
    </row>
    <row r="60" ht="40.5" customHeight="1">
      <c r="A60" s="11">
        <v>53.0</v>
      </c>
      <c r="B60" s="24"/>
      <c r="C60" s="25">
        <v>53.0</v>
      </c>
      <c r="D60" s="4">
        <v>57.0</v>
      </c>
      <c r="E60" s="4">
        <v>43.0</v>
      </c>
      <c r="F60" s="4">
        <v>43.0</v>
      </c>
      <c r="G60" s="4">
        <v>37.0</v>
      </c>
      <c r="H60" s="26">
        <v>47.0</v>
      </c>
      <c r="I60" s="26"/>
      <c r="J60" s="26"/>
      <c r="K60" s="26"/>
      <c r="L60" s="26"/>
      <c r="M60" s="26"/>
      <c r="N60" s="26"/>
      <c r="O60" s="26"/>
      <c r="P60" s="26"/>
      <c r="Q60" s="26">
        <v>25.0</v>
      </c>
      <c r="R60" s="26"/>
      <c r="S60" s="26">
        <v>52.0</v>
      </c>
      <c r="T60" s="26">
        <v>79.0</v>
      </c>
      <c r="U60" s="26">
        <v>111.0</v>
      </c>
      <c r="V60" s="27">
        <v>184.0</v>
      </c>
      <c r="W60" s="26">
        <v>202.0</v>
      </c>
      <c r="X60" s="26">
        <v>323.0</v>
      </c>
      <c r="Y60" s="4"/>
      <c r="Z60" s="25">
        <f t="shared" si="1"/>
        <v>0</v>
      </c>
      <c r="AA60" s="25" t="str">
        <f t="shared" si="2"/>
        <v/>
      </c>
    </row>
    <row r="61" ht="1.5" customHeight="1">
      <c r="A61" s="11">
        <v>54.0</v>
      </c>
      <c r="B61" s="24"/>
      <c r="C61" s="25">
        <v>54.0</v>
      </c>
      <c r="D61" s="4">
        <v>61.0</v>
      </c>
      <c r="E61" s="4">
        <v>47.0</v>
      </c>
      <c r="F61" s="4">
        <v>46.0</v>
      </c>
      <c r="G61" s="4">
        <v>40.0</v>
      </c>
      <c r="H61" s="26">
        <v>49.0</v>
      </c>
      <c r="I61" s="26"/>
      <c r="J61" s="26"/>
      <c r="K61" s="26"/>
      <c r="L61" s="26"/>
      <c r="M61" s="26"/>
      <c r="N61" s="26"/>
      <c r="O61" s="26"/>
      <c r="P61" s="26"/>
      <c r="Q61" s="26">
        <v>29.0</v>
      </c>
      <c r="R61" s="26"/>
      <c r="S61" s="26">
        <v>55.0</v>
      </c>
      <c r="T61" s="26">
        <v>80.0</v>
      </c>
      <c r="U61" s="26">
        <v>123.0</v>
      </c>
      <c r="V61" s="27">
        <v>247.0</v>
      </c>
      <c r="W61" s="26">
        <v>257.0</v>
      </c>
      <c r="X61" s="26">
        <v>396.0</v>
      </c>
      <c r="Y61" s="4"/>
      <c r="Z61" s="25">
        <f t="shared" si="1"/>
        <v>0</v>
      </c>
      <c r="AA61" s="25" t="str">
        <f t="shared" si="2"/>
        <v/>
      </c>
    </row>
    <row r="62" ht="1.5" customHeight="1">
      <c r="A62" s="11">
        <v>55.0</v>
      </c>
      <c r="B62" s="24"/>
      <c r="C62" s="25">
        <v>55.0</v>
      </c>
      <c r="D62" s="4">
        <v>73.0</v>
      </c>
      <c r="E62" s="4">
        <v>48.0</v>
      </c>
      <c r="F62" s="4">
        <v>53.0</v>
      </c>
      <c r="G62" s="4">
        <v>44.0</v>
      </c>
      <c r="H62" s="26">
        <v>61.0</v>
      </c>
      <c r="I62" s="26"/>
      <c r="J62" s="26"/>
      <c r="K62" s="26"/>
      <c r="L62" s="26"/>
      <c r="M62" s="26"/>
      <c r="N62" s="26"/>
      <c r="O62" s="26"/>
      <c r="P62" s="26"/>
      <c r="Q62" s="26">
        <v>33.0</v>
      </c>
      <c r="R62" s="26"/>
      <c r="S62" s="26">
        <v>90.0</v>
      </c>
      <c r="T62" s="26">
        <v>102.0</v>
      </c>
      <c r="U62" s="26">
        <v>175.0</v>
      </c>
      <c r="V62" s="27">
        <v>318.0</v>
      </c>
      <c r="W62" s="26">
        <v>336.0</v>
      </c>
      <c r="X62" s="26">
        <v>512.0</v>
      </c>
      <c r="Y62" s="26">
        <v>2112.0</v>
      </c>
      <c r="Z62" s="25">
        <f t="shared" si="1"/>
        <v>1</v>
      </c>
      <c r="AA62" s="25">
        <f t="shared" si="2"/>
        <v>0</v>
      </c>
    </row>
    <row r="63" ht="1.5" customHeight="1">
      <c r="A63" s="11">
        <v>56.0</v>
      </c>
      <c r="B63" s="24"/>
      <c r="C63" s="25">
        <v>56.0</v>
      </c>
      <c r="D63" s="4">
        <v>92.0</v>
      </c>
      <c r="E63" s="4">
        <v>62.0</v>
      </c>
      <c r="F63" s="4">
        <v>58.0</v>
      </c>
      <c r="G63" s="4">
        <v>51.0</v>
      </c>
      <c r="H63" s="26">
        <v>80.0</v>
      </c>
      <c r="I63" s="26"/>
      <c r="J63" s="26"/>
      <c r="K63" s="26"/>
      <c r="L63" s="26"/>
      <c r="M63" s="26"/>
      <c r="N63" s="26"/>
      <c r="O63" s="26"/>
      <c r="P63" s="26"/>
      <c r="Q63" s="26">
        <v>42.0</v>
      </c>
      <c r="R63" s="26"/>
      <c r="S63" s="26">
        <v>116.0</v>
      </c>
      <c r="T63" s="26">
        <v>155.0</v>
      </c>
      <c r="U63" s="26">
        <v>248.0</v>
      </c>
      <c r="V63" s="27">
        <v>359.0</v>
      </c>
      <c r="W63" s="26">
        <v>420.0</v>
      </c>
      <c r="X63" s="26">
        <v>704.0</v>
      </c>
      <c r="Y63" s="4"/>
      <c r="Z63" s="25">
        <f t="shared" si="1"/>
        <v>0</v>
      </c>
      <c r="AA63" s="25" t="str">
        <f t="shared" si="2"/>
        <v/>
      </c>
    </row>
    <row r="64" ht="1.5" customHeight="1">
      <c r="A64" s="11">
        <v>57.0</v>
      </c>
      <c r="B64" s="24"/>
      <c r="C64" s="25">
        <v>57.0</v>
      </c>
      <c r="D64" s="4">
        <v>183.0</v>
      </c>
      <c r="E64" s="4">
        <v>67.0</v>
      </c>
      <c r="F64" s="4">
        <v>66.0</v>
      </c>
      <c r="G64" s="4">
        <v>54.0</v>
      </c>
      <c r="H64" s="26">
        <v>114.0</v>
      </c>
      <c r="I64" s="26"/>
      <c r="J64" s="26"/>
      <c r="K64" s="26"/>
      <c r="L64" s="26"/>
      <c r="M64" s="26"/>
      <c r="N64" s="26"/>
      <c r="O64" s="26"/>
      <c r="P64" s="26"/>
      <c r="Q64" s="26">
        <v>50.0</v>
      </c>
      <c r="R64" s="26"/>
      <c r="S64" s="26">
        <v>156.0</v>
      </c>
      <c r="T64" s="26">
        <v>232.0</v>
      </c>
      <c r="U64" s="26">
        <v>301.0</v>
      </c>
      <c r="V64" s="27">
        <v>491.0</v>
      </c>
      <c r="W64" s="26">
        <v>581.0</v>
      </c>
      <c r="X64" s="26">
        <v>880.0</v>
      </c>
      <c r="Y64" s="4"/>
      <c r="Z64" s="25">
        <f t="shared" si="1"/>
        <v>0</v>
      </c>
      <c r="AA64" s="25" t="str">
        <f t="shared" si="2"/>
        <v/>
      </c>
    </row>
    <row r="65" ht="1.5" customHeight="1">
      <c r="A65" s="11">
        <v>58.0</v>
      </c>
      <c r="B65" s="24"/>
      <c r="C65" s="25">
        <v>58.0</v>
      </c>
      <c r="D65" s="4">
        <v>150.0</v>
      </c>
      <c r="E65" s="4">
        <v>75.0</v>
      </c>
      <c r="F65" s="4">
        <v>69.0</v>
      </c>
      <c r="G65" s="4">
        <v>59.0</v>
      </c>
      <c r="H65" s="26">
        <v>140.0</v>
      </c>
      <c r="I65" s="26"/>
      <c r="J65" s="26"/>
      <c r="K65" s="26"/>
      <c r="L65" s="26"/>
      <c r="M65" s="26"/>
      <c r="N65" s="26"/>
      <c r="O65" s="26"/>
      <c r="P65" s="26"/>
      <c r="Q65" s="26">
        <v>70.0</v>
      </c>
      <c r="R65" s="26"/>
      <c r="S65" s="26">
        <v>220.0</v>
      </c>
      <c r="T65" s="26">
        <v>267.0</v>
      </c>
      <c r="U65" s="26">
        <v>355.0</v>
      </c>
      <c r="V65" s="27">
        <v>584.0</v>
      </c>
      <c r="W65" s="26">
        <v>720.0</v>
      </c>
      <c r="X65" s="26">
        <v>1059.0</v>
      </c>
      <c r="Y65" s="4"/>
      <c r="Z65" s="25">
        <f t="shared" si="1"/>
        <v>0</v>
      </c>
      <c r="AA65" s="25" t="str">
        <f t="shared" si="2"/>
        <v/>
      </c>
    </row>
    <row r="66" ht="1.5" customHeight="1">
      <c r="A66" s="11">
        <v>59.0</v>
      </c>
      <c r="B66" s="24"/>
      <c r="C66" s="25">
        <v>59.0</v>
      </c>
      <c r="D66" s="4">
        <v>150.0</v>
      </c>
      <c r="E66" s="4">
        <v>79.0</v>
      </c>
      <c r="F66" s="4">
        <v>81.0</v>
      </c>
      <c r="G66" s="4">
        <v>63.0</v>
      </c>
      <c r="H66" s="26">
        <v>122.0</v>
      </c>
      <c r="I66" s="26"/>
      <c r="J66" s="26"/>
      <c r="K66" s="26"/>
      <c r="L66" s="26"/>
      <c r="M66" s="26"/>
      <c r="N66" s="26"/>
      <c r="O66" s="26"/>
      <c r="P66" s="26"/>
      <c r="Q66" s="26">
        <v>100.0</v>
      </c>
      <c r="R66" s="26"/>
      <c r="S66" s="26">
        <v>187.0</v>
      </c>
      <c r="T66" s="26">
        <v>269.0</v>
      </c>
      <c r="U66" s="26">
        <v>462.0</v>
      </c>
      <c r="V66" s="27">
        <v>833.0</v>
      </c>
      <c r="W66" s="26">
        <v>893.0</v>
      </c>
      <c r="X66" s="26">
        <v>1361.0</v>
      </c>
      <c r="Y66" s="4"/>
      <c r="Z66" s="25">
        <f t="shared" si="1"/>
        <v>0</v>
      </c>
      <c r="AA66" s="25" t="str">
        <f t="shared" si="2"/>
        <v/>
      </c>
    </row>
    <row r="67" ht="1.5" customHeight="1">
      <c r="A67" s="11">
        <v>60.0</v>
      </c>
      <c r="B67" s="24"/>
      <c r="C67" s="25">
        <v>60.0</v>
      </c>
      <c r="D67" s="4">
        <v>198.0</v>
      </c>
      <c r="E67" s="4">
        <v>139.0</v>
      </c>
      <c r="F67" s="4">
        <v>100.0</v>
      </c>
      <c r="G67" s="4">
        <v>84.0</v>
      </c>
      <c r="H67" s="26">
        <v>188.0</v>
      </c>
      <c r="I67" s="26">
        <v>224.0</v>
      </c>
      <c r="J67" s="26">
        <v>824.0</v>
      </c>
      <c r="K67" s="26">
        <v>193.0</v>
      </c>
      <c r="L67" s="26">
        <v>118.0</v>
      </c>
      <c r="M67" s="26">
        <v>112.0</v>
      </c>
      <c r="N67" s="26">
        <v>125.0</v>
      </c>
      <c r="O67" s="26">
        <v>130.0</v>
      </c>
      <c r="P67" s="26"/>
      <c r="Q67" s="26">
        <v>108.0</v>
      </c>
      <c r="R67" s="26"/>
      <c r="S67" s="26">
        <v>254.0</v>
      </c>
      <c r="T67" s="26">
        <v>378.0</v>
      </c>
      <c r="U67" s="26">
        <v>703.0</v>
      </c>
      <c r="V67" s="27">
        <v>1029.0</v>
      </c>
      <c r="W67" s="26">
        <v>1142.0</v>
      </c>
      <c r="X67" s="26">
        <v>1713.0</v>
      </c>
      <c r="Y67" s="26">
        <v>7046.0</v>
      </c>
      <c r="Z67" s="25">
        <f t="shared" si="1"/>
        <v>1</v>
      </c>
      <c r="AA67" s="25">
        <f t="shared" ref="AA67:AA103" si="3">if(K67, H67/K67, "")</f>
        <v>0.9740932642</v>
      </c>
    </row>
    <row r="68" ht="1.5" customHeight="1">
      <c r="A68" s="11">
        <v>61.0</v>
      </c>
      <c r="B68" s="24"/>
      <c r="C68" s="25">
        <v>61.0</v>
      </c>
      <c r="D68" s="4">
        <v>216.0</v>
      </c>
      <c r="E68" s="4">
        <v>115.0</v>
      </c>
      <c r="F68" s="4">
        <v>106.0</v>
      </c>
      <c r="G68" s="4">
        <v>83.0</v>
      </c>
      <c r="H68" s="26">
        <v>243.0</v>
      </c>
      <c r="I68" s="26">
        <v>201.0</v>
      </c>
      <c r="J68" s="26">
        <v>884.0</v>
      </c>
      <c r="K68" s="26">
        <v>185.0</v>
      </c>
      <c r="L68" s="26">
        <v>112.0</v>
      </c>
      <c r="M68" s="26">
        <v>116.0</v>
      </c>
      <c r="N68" s="26">
        <v>116.0</v>
      </c>
      <c r="O68" s="26">
        <v>114.0</v>
      </c>
      <c r="P68" s="26"/>
      <c r="Q68" s="26">
        <v>128.0</v>
      </c>
      <c r="R68" s="26"/>
      <c r="S68" s="26">
        <v>284.0</v>
      </c>
      <c r="T68" s="26">
        <v>423.0</v>
      </c>
      <c r="U68" s="26">
        <v>772.0</v>
      </c>
      <c r="V68" s="27">
        <v>1247.0</v>
      </c>
      <c r="W68" s="28">
        <v>1544.0</v>
      </c>
      <c r="X68" s="28">
        <v>2161.0</v>
      </c>
      <c r="Y68" s="4"/>
      <c r="Z68" s="25">
        <f t="shared" si="1"/>
        <v>0</v>
      </c>
      <c r="AA68" s="25">
        <f t="shared" si="3"/>
        <v>1.313513514</v>
      </c>
      <c r="AC68" s="29"/>
      <c r="AD68" s="30" t="s">
        <v>52</v>
      </c>
      <c r="AE68" s="29" t="s">
        <v>53</v>
      </c>
      <c r="AF68" s="29" t="s">
        <v>54</v>
      </c>
      <c r="AG68" s="29" t="s">
        <v>55</v>
      </c>
      <c r="AL68" s="31"/>
    </row>
    <row r="69" ht="1.5" customHeight="1">
      <c r="A69" s="11">
        <v>62.0</v>
      </c>
      <c r="B69" s="24"/>
      <c r="C69" s="25">
        <v>62.0</v>
      </c>
      <c r="D69" s="4">
        <v>474.0</v>
      </c>
      <c r="E69" s="4">
        <v>129.0</v>
      </c>
      <c r="F69" s="4">
        <v>118.0</v>
      </c>
      <c r="G69" s="4">
        <v>98.0</v>
      </c>
      <c r="H69" s="26">
        <v>356.0</v>
      </c>
      <c r="I69" s="26">
        <v>333.0</v>
      </c>
      <c r="J69" s="26">
        <v>927.0</v>
      </c>
      <c r="K69" s="26">
        <v>320.0</v>
      </c>
      <c r="L69" s="26">
        <v>129.0</v>
      </c>
      <c r="M69" s="26">
        <v>138.0</v>
      </c>
      <c r="N69" s="26">
        <v>135.0</v>
      </c>
      <c r="O69" s="26">
        <v>138.0</v>
      </c>
      <c r="P69" s="26"/>
      <c r="Q69" s="26">
        <v>135.0</v>
      </c>
      <c r="R69" s="26"/>
      <c r="S69" s="26">
        <v>500.0</v>
      </c>
      <c r="T69" s="26">
        <v>661.0</v>
      </c>
      <c r="U69" s="26">
        <v>953.0</v>
      </c>
      <c r="V69" s="27">
        <v>1556.0</v>
      </c>
      <c r="W69" s="26">
        <v>1663.0</v>
      </c>
      <c r="X69" s="26">
        <v>2682.0</v>
      </c>
      <c r="Y69" s="4"/>
      <c r="Z69" s="25">
        <f t="shared" si="1"/>
        <v>0</v>
      </c>
      <c r="AA69" s="25">
        <f t="shared" si="3"/>
        <v>1.1125</v>
      </c>
      <c r="AC69" s="32">
        <v>1.1574074074074074E-8</v>
      </c>
      <c r="AD69" s="33">
        <f t="shared" ref="AD69:AD79" si="4">AE69</f>
        <v>0.00000001157407407</v>
      </c>
      <c r="AE69" s="34">
        <f t="shared" ref="AE69:AE79" si="5">$AC$69*AF69</f>
        <v>0.00000001157407407</v>
      </c>
      <c r="AF69" s="35">
        <f t="shared" ref="AF69:AF79" si="6">10^AG69</f>
        <v>1</v>
      </c>
      <c r="AG69" s="35">
        <v>0.0</v>
      </c>
      <c r="AL69" s="31"/>
    </row>
    <row r="70" ht="1.5" customHeight="1">
      <c r="A70" s="11">
        <v>63.0</v>
      </c>
      <c r="B70" s="24"/>
      <c r="C70" s="25">
        <v>63.0</v>
      </c>
      <c r="D70" s="4">
        <v>562.0</v>
      </c>
      <c r="E70" s="4">
        <v>167.0</v>
      </c>
      <c r="F70" s="4">
        <v>146.0</v>
      </c>
      <c r="G70" s="4">
        <v>114.0</v>
      </c>
      <c r="H70" s="26">
        <v>475.0</v>
      </c>
      <c r="I70" s="26">
        <v>478.0</v>
      </c>
      <c r="J70" s="26">
        <v>1013.0</v>
      </c>
      <c r="K70" s="26">
        <v>459.0</v>
      </c>
      <c r="L70" s="26">
        <v>170.0</v>
      </c>
      <c r="M70" s="26">
        <v>175.0</v>
      </c>
      <c r="N70" s="26">
        <v>181.0</v>
      </c>
      <c r="O70" s="26">
        <v>173.0</v>
      </c>
      <c r="P70" s="26"/>
      <c r="Q70" s="26">
        <v>183.0</v>
      </c>
      <c r="R70" s="26"/>
      <c r="S70" s="26">
        <v>511.0</v>
      </c>
      <c r="T70" s="26">
        <v>849.0</v>
      </c>
      <c r="U70" s="26">
        <v>1241.0</v>
      </c>
      <c r="V70" s="27">
        <v>2034.0</v>
      </c>
      <c r="W70" s="26">
        <v>2144.0</v>
      </c>
      <c r="X70" s="26">
        <v>3577.0</v>
      </c>
      <c r="Y70" s="4"/>
      <c r="Z70" s="25">
        <f t="shared" si="1"/>
        <v>0</v>
      </c>
      <c r="AA70" s="25">
        <f t="shared" si="3"/>
        <v>1.034858388</v>
      </c>
      <c r="AC70" s="29"/>
      <c r="AD70" s="33">
        <f t="shared" si="4"/>
        <v>0.0000001157407407</v>
      </c>
      <c r="AE70" s="34">
        <f t="shared" si="5"/>
        <v>0.0000001157407407</v>
      </c>
      <c r="AF70" s="35">
        <f t="shared" si="6"/>
        <v>10</v>
      </c>
      <c r="AG70" s="35">
        <v>1.0</v>
      </c>
      <c r="AL70" s="31"/>
    </row>
    <row r="71" ht="1.5" customHeight="1">
      <c r="A71" s="11">
        <v>64.0</v>
      </c>
      <c r="B71" s="24"/>
      <c r="C71" s="25">
        <v>64.0</v>
      </c>
      <c r="D71" s="4">
        <v>608.0</v>
      </c>
      <c r="E71" s="4">
        <v>334.0</v>
      </c>
      <c r="F71" s="4">
        <v>177.0</v>
      </c>
      <c r="G71" s="4">
        <v>142.0</v>
      </c>
      <c r="H71" s="26">
        <v>447.0</v>
      </c>
      <c r="I71" s="26">
        <v>501.0</v>
      </c>
      <c r="J71" s="26">
        <v>1124.0</v>
      </c>
      <c r="K71" s="26">
        <v>445.0</v>
      </c>
      <c r="L71" s="26">
        <v>228.0</v>
      </c>
      <c r="M71" s="26">
        <v>249.0</v>
      </c>
      <c r="N71" s="26">
        <v>241.0</v>
      </c>
      <c r="O71" s="26">
        <v>235.0</v>
      </c>
      <c r="P71" s="26"/>
      <c r="Q71" s="26">
        <v>265.0</v>
      </c>
      <c r="R71" s="26"/>
      <c r="S71" s="26">
        <v>675.0</v>
      </c>
      <c r="T71" s="26">
        <v>919.0</v>
      </c>
      <c r="U71" s="26">
        <v>1548.0</v>
      </c>
      <c r="V71" s="27">
        <v>2629.0</v>
      </c>
      <c r="W71" s="26">
        <v>2849.0</v>
      </c>
      <c r="X71" s="26">
        <v>4385.0</v>
      </c>
      <c r="Y71" s="4"/>
      <c r="Z71" s="25">
        <f t="shared" si="1"/>
        <v>0</v>
      </c>
      <c r="AA71" s="25">
        <f t="shared" si="3"/>
        <v>1.004494382</v>
      </c>
      <c r="AC71" s="29"/>
      <c r="AD71" s="33">
        <f t="shared" si="4"/>
        <v>0.000001157407407</v>
      </c>
      <c r="AE71" s="34">
        <f t="shared" si="5"/>
        <v>0.000001157407407</v>
      </c>
      <c r="AF71" s="35">
        <f t="shared" si="6"/>
        <v>100</v>
      </c>
      <c r="AG71" s="35">
        <v>2.0</v>
      </c>
      <c r="AL71" s="31"/>
    </row>
    <row r="72" ht="1.5" customHeight="1">
      <c r="A72" s="11">
        <v>65.0</v>
      </c>
      <c r="B72" s="24"/>
      <c r="C72" s="25">
        <v>65.0</v>
      </c>
      <c r="D72" s="4">
        <v>515.0</v>
      </c>
      <c r="E72" s="4">
        <v>301.0</v>
      </c>
      <c r="F72" s="4">
        <v>197.0</v>
      </c>
      <c r="G72" s="4">
        <v>148.0</v>
      </c>
      <c r="H72" s="26">
        <v>461.0</v>
      </c>
      <c r="I72" s="26">
        <v>481.0</v>
      </c>
      <c r="J72" s="26">
        <v>1215.0</v>
      </c>
      <c r="K72" s="26">
        <v>470.0</v>
      </c>
      <c r="L72" s="26">
        <v>246.0</v>
      </c>
      <c r="M72" s="26">
        <v>258.0</v>
      </c>
      <c r="N72" s="26">
        <v>264.0</v>
      </c>
      <c r="O72" s="26">
        <v>264.0</v>
      </c>
      <c r="P72" s="26"/>
      <c r="Q72" s="26">
        <v>257.0</v>
      </c>
      <c r="R72" s="26"/>
      <c r="S72" s="26">
        <v>1027.0</v>
      </c>
      <c r="T72" s="26">
        <v>1087.0</v>
      </c>
      <c r="U72" s="26">
        <v>2008.0</v>
      </c>
      <c r="V72" s="27">
        <v>3130.0</v>
      </c>
      <c r="W72" s="26">
        <v>3609.0</v>
      </c>
      <c r="X72" s="26">
        <v>5251.0</v>
      </c>
      <c r="Y72" s="26">
        <v>21808.0</v>
      </c>
      <c r="Z72" s="25">
        <f t="shared" si="1"/>
        <v>1</v>
      </c>
      <c r="AA72" s="25">
        <f t="shared" si="3"/>
        <v>0.9808510638</v>
      </c>
      <c r="AC72" s="29"/>
      <c r="AD72" s="33">
        <f t="shared" si="4"/>
        <v>0.00001157407407</v>
      </c>
      <c r="AE72" s="34">
        <f t="shared" si="5"/>
        <v>0.00001157407407</v>
      </c>
      <c r="AF72" s="35">
        <f t="shared" si="6"/>
        <v>1000</v>
      </c>
      <c r="AG72" s="35">
        <v>3.0</v>
      </c>
      <c r="AL72" s="31"/>
    </row>
    <row r="73" ht="1.5" customHeight="1">
      <c r="A73" s="11">
        <v>66.0</v>
      </c>
      <c r="B73" s="24"/>
      <c r="C73" s="25">
        <v>66.0</v>
      </c>
      <c r="D73" s="4">
        <v>581.0</v>
      </c>
      <c r="E73" s="4">
        <v>297.0</v>
      </c>
      <c r="F73" s="4">
        <v>231.0</v>
      </c>
      <c r="G73" s="4">
        <v>178.0</v>
      </c>
      <c r="H73" s="26">
        <v>525.0</v>
      </c>
      <c r="I73" s="26">
        <v>617.0</v>
      </c>
      <c r="J73" s="26">
        <v>1293.0</v>
      </c>
      <c r="K73" s="26">
        <v>533.0</v>
      </c>
      <c r="L73" s="26">
        <v>307.0</v>
      </c>
      <c r="M73" s="26">
        <v>308.0</v>
      </c>
      <c r="N73" s="26">
        <v>320.0</v>
      </c>
      <c r="O73" s="26">
        <v>319.0</v>
      </c>
      <c r="P73" s="26"/>
      <c r="Q73" s="26">
        <v>320.0</v>
      </c>
      <c r="R73" s="26"/>
      <c r="S73" s="26">
        <v>907.0</v>
      </c>
      <c r="T73" s="26">
        <v>1221.0</v>
      </c>
      <c r="U73" s="26">
        <v>2483.0</v>
      </c>
      <c r="V73" s="27">
        <v>4367.0</v>
      </c>
      <c r="W73" s="26">
        <v>4487.0</v>
      </c>
      <c r="X73" s="26">
        <v>6616.0</v>
      </c>
      <c r="Y73" s="4"/>
      <c r="Z73" s="25">
        <f t="shared" si="1"/>
        <v>0</v>
      </c>
      <c r="AA73" s="25">
        <f t="shared" si="3"/>
        <v>0.9849906191</v>
      </c>
      <c r="AC73" s="29"/>
      <c r="AD73" s="33">
        <f t="shared" si="4"/>
        <v>0.0001157407407</v>
      </c>
      <c r="AE73" s="34">
        <f t="shared" si="5"/>
        <v>0.0001157407407</v>
      </c>
      <c r="AF73" s="35">
        <f t="shared" si="6"/>
        <v>10000</v>
      </c>
      <c r="AG73" s="35">
        <v>4.0</v>
      </c>
      <c r="AL73" s="31"/>
    </row>
    <row r="74" ht="1.5" customHeight="1">
      <c r="A74" s="11">
        <v>67.0</v>
      </c>
      <c r="B74" s="24"/>
      <c r="C74" s="25">
        <v>67.0</v>
      </c>
      <c r="D74" s="4">
        <v>1072.0</v>
      </c>
      <c r="E74" s="4">
        <v>374.0</v>
      </c>
      <c r="F74" s="4">
        <v>271.0</v>
      </c>
      <c r="G74" s="4">
        <v>197.0</v>
      </c>
      <c r="H74" s="26">
        <v>947.0</v>
      </c>
      <c r="I74" s="26">
        <v>998.0</v>
      </c>
      <c r="J74" s="26">
        <v>1451.0</v>
      </c>
      <c r="K74" s="26">
        <v>998.0</v>
      </c>
      <c r="L74" s="26">
        <v>739.0</v>
      </c>
      <c r="M74" s="26">
        <v>389.0</v>
      </c>
      <c r="N74" s="26">
        <v>396.0</v>
      </c>
      <c r="O74" s="26">
        <v>386.0</v>
      </c>
      <c r="P74" s="26"/>
      <c r="Q74" s="26">
        <v>381.0</v>
      </c>
      <c r="R74" s="26"/>
      <c r="S74" s="26">
        <v>1367.0</v>
      </c>
      <c r="T74" s="26">
        <v>1882.0</v>
      </c>
      <c r="U74" s="26">
        <v>3254.0</v>
      </c>
      <c r="V74" s="27">
        <v>5264.0</v>
      </c>
      <c r="W74" s="26">
        <v>5601.0</v>
      </c>
      <c r="X74" s="26">
        <v>8460.0</v>
      </c>
      <c r="Y74" s="4"/>
      <c r="Z74" s="25">
        <f t="shared" si="1"/>
        <v>0</v>
      </c>
      <c r="AA74" s="25">
        <f t="shared" si="3"/>
        <v>0.9488977956</v>
      </c>
      <c r="AC74" s="29"/>
      <c r="AD74" s="33">
        <f t="shared" si="4"/>
        <v>0.001157407407</v>
      </c>
      <c r="AE74" s="34">
        <f t="shared" si="5"/>
        <v>0.001157407407</v>
      </c>
      <c r="AF74" s="35">
        <f t="shared" si="6"/>
        <v>100000</v>
      </c>
      <c r="AG74" s="35">
        <v>5.0</v>
      </c>
      <c r="AL74" s="31"/>
    </row>
    <row r="75" ht="1.5" customHeight="1">
      <c r="A75" s="11">
        <v>68.0</v>
      </c>
      <c r="B75" s="24"/>
      <c r="C75" s="25">
        <v>68.0</v>
      </c>
      <c r="D75" s="4">
        <v>1929.0</v>
      </c>
      <c r="E75" s="4">
        <v>925.0</v>
      </c>
      <c r="F75" s="4">
        <v>355.0</v>
      </c>
      <c r="G75" s="4">
        <v>275.0</v>
      </c>
      <c r="H75" s="26">
        <v>1625.0</v>
      </c>
      <c r="I75" s="26">
        <v>1718.0</v>
      </c>
      <c r="J75" s="26">
        <v>1824.0</v>
      </c>
      <c r="K75" s="26">
        <v>1681.0</v>
      </c>
      <c r="L75" s="26">
        <v>607.0</v>
      </c>
      <c r="M75" s="26">
        <v>529.0</v>
      </c>
      <c r="N75" s="26">
        <v>565.0</v>
      </c>
      <c r="O75" s="26">
        <v>573.0</v>
      </c>
      <c r="P75" s="26"/>
      <c r="Q75" s="26">
        <v>564.0</v>
      </c>
      <c r="R75" s="26"/>
      <c r="S75" s="26">
        <v>2344.0</v>
      </c>
      <c r="T75" s="26">
        <v>2872.0</v>
      </c>
      <c r="U75" s="26">
        <v>4475.0</v>
      </c>
      <c r="V75" s="27">
        <v>6589.0</v>
      </c>
      <c r="W75" s="26">
        <v>6884.0</v>
      </c>
      <c r="X75" s="26">
        <v>11004.0</v>
      </c>
      <c r="Y75" s="4"/>
      <c r="Z75" s="25">
        <f t="shared" si="1"/>
        <v>0</v>
      </c>
      <c r="AA75" s="25">
        <f t="shared" si="3"/>
        <v>0.9666864961</v>
      </c>
      <c r="AC75" s="29"/>
      <c r="AD75" s="33">
        <f t="shared" si="4"/>
        <v>0.01157407407</v>
      </c>
      <c r="AE75" s="34">
        <f t="shared" si="5"/>
        <v>0.01157407407</v>
      </c>
      <c r="AF75" s="35">
        <f t="shared" si="6"/>
        <v>1000000</v>
      </c>
      <c r="AG75" s="35">
        <v>6.0</v>
      </c>
      <c r="AL75" s="31"/>
    </row>
    <row r="76" ht="1.5" customHeight="1">
      <c r="A76" s="11">
        <v>69.0</v>
      </c>
      <c r="B76" s="24"/>
      <c r="C76" s="25">
        <v>69.0</v>
      </c>
      <c r="D76" s="4">
        <v>1226.0</v>
      </c>
      <c r="E76" s="4">
        <v>569.0</v>
      </c>
      <c r="F76" s="4">
        <v>393.0</v>
      </c>
      <c r="G76" s="4">
        <v>288.0</v>
      </c>
      <c r="H76" s="26">
        <v>1056.0</v>
      </c>
      <c r="I76" s="26">
        <v>1171.0</v>
      </c>
      <c r="J76" s="26">
        <v>1846.0</v>
      </c>
      <c r="K76" s="26">
        <v>1074.0</v>
      </c>
      <c r="L76" s="26">
        <v>585.0</v>
      </c>
      <c r="M76" s="26">
        <v>597.0</v>
      </c>
      <c r="N76" s="26">
        <v>631.0</v>
      </c>
      <c r="O76" s="26">
        <v>598.0</v>
      </c>
      <c r="P76" s="26"/>
      <c r="Q76" s="26">
        <v>637.0</v>
      </c>
      <c r="R76" s="26"/>
      <c r="S76" s="26">
        <v>1560.0</v>
      </c>
      <c r="T76" s="26">
        <v>2492.0</v>
      </c>
      <c r="U76" s="26">
        <v>4839.0</v>
      </c>
      <c r="V76" s="27">
        <v>8018.0</v>
      </c>
      <c r="W76" s="26">
        <v>8880.0</v>
      </c>
      <c r="X76" s="26">
        <v>13957.0</v>
      </c>
      <c r="Y76" s="4"/>
      <c r="Z76" s="25">
        <f t="shared" si="1"/>
        <v>0</v>
      </c>
      <c r="AA76" s="25">
        <f t="shared" si="3"/>
        <v>0.9832402235</v>
      </c>
      <c r="AC76" s="29"/>
      <c r="AD76" s="33">
        <f t="shared" si="4"/>
        <v>0.1157407407</v>
      </c>
      <c r="AE76" s="34">
        <f t="shared" si="5"/>
        <v>0.1157407407</v>
      </c>
      <c r="AF76" s="35">
        <f t="shared" si="6"/>
        <v>10000000</v>
      </c>
      <c r="AG76" s="35">
        <v>7.0</v>
      </c>
      <c r="AL76" s="31"/>
    </row>
    <row r="77">
      <c r="A77" s="11">
        <v>70.0</v>
      </c>
      <c r="B77" s="24"/>
      <c r="C77" s="25">
        <v>70.0</v>
      </c>
      <c r="D77" s="4">
        <v>1174.0</v>
      </c>
      <c r="E77" s="4">
        <v>605.0</v>
      </c>
      <c r="F77" s="4">
        <v>433.0</v>
      </c>
      <c r="G77" s="4">
        <v>329.0</v>
      </c>
      <c r="H77" s="26">
        <v>1228.0</v>
      </c>
      <c r="I77" s="26">
        <v>1177.0</v>
      </c>
      <c r="J77" s="26">
        <v>1944.0</v>
      </c>
      <c r="K77" s="26">
        <v>1169.0</v>
      </c>
      <c r="L77" s="26">
        <v>640.0</v>
      </c>
      <c r="M77" s="26">
        <v>629.0</v>
      </c>
      <c r="N77" s="26">
        <v>708.0</v>
      </c>
      <c r="O77" s="26">
        <v>646.0</v>
      </c>
      <c r="P77" s="26"/>
      <c r="Q77" s="26">
        <v>657.0</v>
      </c>
      <c r="R77" s="26"/>
      <c r="S77" s="26">
        <v>1720.0</v>
      </c>
      <c r="T77" s="26">
        <v>2687.0</v>
      </c>
      <c r="U77" s="26">
        <v>5890.0</v>
      </c>
      <c r="V77" s="27">
        <v>9636.0</v>
      </c>
      <c r="W77" s="26">
        <v>10755.0</v>
      </c>
      <c r="X77" s="26">
        <v>16058.0</v>
      </c>
      <c r="Y77" s="26">
        <v>65897.0</v>
      </c>
      <c r="Z77" s="25">
        <f t="shared" si="1"/>
        <v>1</v>
      </c>
      <c r="AA77" s="25">
        <f t="shared" si="3"/>
        <v>1.050470488</v>
      </c>
      <c r="AC77" s="29"/>
      <c r="AD77" s="33">
        <f t="shared" si="4"/>
        <v>1.157407407</v>
      </c>
      <c r="AE77" s="34">
        <f t="shared" si="5"/>
        <v>1.157407407</v>
      </c>
      <c r="AF77" s="35">
        <f t="shared" si="6"/>
        <v>100000000</v>
      </c>
      <c r="AG77" s="35">
        <v>8.0</v>
      </c>
      <c r="AL77" s="31"/>
    </row>
    <row r="78">
      <c r="A78" s="11">
        <v>71.0</v>
      </c>
      <c r="B78" s="24"/>
      <c r="C78" s="25">
        <v>71.0</v>
      </c>
      <c r="D78" s="4">
        <v>1650.0</v>
      </c>
      <c r="E78" s="4">
        <v>761.0</v>
      </c>
      <c r="F78" s="4">
        <v>541.0</v>
      </c>
      <c r="G78" s="4">
        <v>392.0</v>
      </c>
      <c r="H78" s="26">
        <v>1559.0</v>
      </c>
      <c r="I78" s="26">
        <v>1578.0</v>
      </c>
      <c r="J78" s="26">
        <v>2359.0</v>
      </c>
      <c r="K78" s="26">
        <v>1621.0</v>
      </c>
      <c r="L78" s="26">
        <v>816.0</v>
      </c>
      <c r="M78" s="26">
        <v>850.0</v>
      </c>
      <c r="N78" s="26">
        <v>880.0</v>
      </c>
      <c r="O78" s="26">
        <v>849.0</v>
      </c>
      <c r="P78" s="26"/>
      <c r="Q78" s="26">
        <v>851.0</v>
      </c>
      <c r="R78" s="26"/>
      <c r="S78" s="26">
        <v>2531.0</v>
      </c>
      <c r="T78" s="26">
        <v>3669.0</v>
      </c>
      <c r="U78" s="26">
        <v>7457.0</v>
      </c>
      <c r="V78" s="27">
        <v>12137.0</v>
      </c>
      <c r="W78" s="26">
        <v>13609.0</v>
      </c>
      <c r="X78" s="26">
        <v>20606.0</v>
      </c>
      <c r="Y78" s="4"/>
      <c r="Z78" s="25">
        <f t="shared" si="1"/>
        <v>0</v>
      </c>
      <c r="AA78" s="25">
        <f t="shared" si="3"/>
        <v>0.9617520049</v>
      </c>
      <c r="AC78" s="29"/>
      <c r="AD78" s="33">
        <f t="shared" si="4"/>
        <v>11.57407407</v>
      </c>
      <c r="AE78" s="34">
        <f t="shared" si="5"/>
        <v>11.57407407</v>
      </c>
      <c r="AF78" s="35">
        <f t="shared" si="6"/>
        <v>1000000000</v>
      </c>
      <c r="AG78" s="35">
        <v>9.0</v>
      </c>
      <c r="AL78" s="31"/>
    </row>
    <row r="79">
      <c r="A79" s="11">
        <v>72.0</v>
      </c>
      <c r="B79" s="24"/>
      <c r="C79" s="25">
        <v>72.0</v>
      </c>
      <c r="D79" s="4">
        <v>3435.0</v>
      </c>
      <c r="E79" s="4">
        <v>2301.0</v>
      </c>
      <c r="F79" s="4">
        <v>729.0</v>
      </c>
      <c r="G79" s="4">
        <v>556.0</v>
      </c>
      <c r="H79" s="26">
        <v>3173.0</v>
      </c>
      <c r="I79" s="26">
        <v>2993.0</v>
      </c>
      <c r="J79" s="26">
        <v>3212.0</v>
      </c>
      <c r="K79" s="26">
        <v>3417.0</v>
      </c>
      <c r="L79" s="26">
        <v>1219.0</v>
      </c>
      <c r="M79" s="26">
        <v>1178.0</v>
      </c>
      <c r="N79" s="26">
        <v>1281.0</v>
      </c>
      <c r="O79" s="26">
        <v>1271.0</v>
      </c>
      <c r="P79" s="26"/>
      <c r="Q79" s="26">
        <v>1293.0</v>
      </c>
      <c r="R79" s="26"/>
      <c r="S79" s="26">
        <v>4469.0</v>
      </c>
      <c r="T79" s="26">
        <v>5712.0</v>
      </c>
      <c r="U79" s="26">
        <v>10253.0</v>
      </c>
      <c r="V79" s="27">
        <v>16158.0</v>
      </c>
      <c r="W79" s="26">
        <v>17309.0</v>
      </c>
      <c r="X79" s="26">
        <v>27857.0</v>
      </c>
      <c r="Y79" s="4"/>
      <c r="Z79" s="25">
        <f t="shared" si="1"/>
        <v>0</v>
      </c>
      <c r="AA79" s="25">
        <f t="shared" si="3"/>
        <v>0.9285923325</v>
      </c>
      <c r="AC79" s="29"/>
      <c r="AD79" s="33">
        <f t="shared" si="4"/>
        <v>115.7407407</v>
      </c>
      <c r="AE79" s="34">
        <f t="shared" si="5"/>
        <v>115.7407407</v>
      </c>
      <c r="AF79" s="35">
        <f t="shared" si="6"/>
        <v>10000000000</v>
      </c>
      <c r="AG79" s="35">
        <v>10.0</v>
      </c>
      <c r="AL79" s="31"/>
    </row>
    <row r="80">
      <c r="A80" s="11">
        <v>73.0</v>
      </c>
      <c r="B80" s="24"/>
      <c r="C80" s="25">
        <v>73.0</v>
      </c>
      <c r="D80" s="4">
        <v>5848.0</v>
      </c>
      <c r="E80" s="4">
        <v>1257.0</v>
      </c>
      <c r="F80" s="4">
        <v>756.0</v>
      </c>
      <c r="G80" s="4">
        <v>541.0</v>
      </c>
      <c r="H80" s="26">
        <v>4521.0</v>
      </c>
      <c r="I80" s="26">
        <v>4563.0</v>
      </c>
      <c r="J80" s="26">
        <v>5014.0</v>
      </c>
      <c r="K80" s="26">
        <v>4767.0</v>
      </c>
      <c r="L80" s="26">
        <v>1212.0</v>
      </c>
      <c r="M80" s="26">
        <v>1184.0</v>
      </c>
      <c r="N80" s="26">
        <v>1320.0</v>
      </c>
      <c r="O80" s="26">
        <v>1335.0</v>
      </c>
      <c r="P80" s="26"/>
      <c r="Q80" s="26">
        <v>1515.0</v>
      </c>
      <c r="R80" s="26"/>
      <c r="S80" s="26">
        <v>6687.0</v>
      </c>
      <c r="T80" s="26">
        <v>7914.0</v>
      </c>
      <c r="U80" s="26">
        <v>12668.0</v>
      </c>
      <c r="V80" s="27">
        <v>21349.0</v>
      </c>
      <c r="W80" s="26">
        <v>21912.0</v>
      </c>
      <c r="X80" s="26">
        <v>33269.0</v>
      </c>
      <c r="Y80" s="4"/>
      <c r="Z80" s="25">
        <f t="shared" si="1"/>
        <v>0</v>
      </c>
      <c r="AA80" s="25">
        <f t="shared" si="3"/>
        <v>0.9483952171</v>
      </c>
      <c r="AE80" s="34"/>
      <c r="AF80" s="4"/>
      <c r="AL80" s="31"/>
    </row>
    <row r="81">
      <c r="A81" s="11">
        <v>74.0</v>
      </c>
      <c r="B81" s="24"/>
      <c r="C81" s="25">
        <v>74.0</v>
      </c>
      <c r="D81" s="4">
        <v>3581.0</v>
      </c>
      <c r="E81" s="4">
        <v>1467.0</v>
      </c>
      <c r="F81" s="4">
        <v>889.0</v>
      </c>
      <c r="G81" s="4">
        <v>664.0</v>
      </c>
      <c r="H81" s="26">
        <v>2730.0</v>
      </c>
      <c r="I81" s="26">
        <v>3241.0</v>
      </c>
      <c r="J81" s="26">
        <v>3694.0</v>
      </c>
      <c r="K81" s="26">
        <v>2983.0</v>
      </c>
      <c r="L81" s="26">
        <v>1503.0</v>
      </c>
      <c r="M81" s="26">
        <v>1416.0</v>
      </c>
      <c r="N81" s="26">
        <v>1560.0</v>
      </c>
      <c r="O81" s="26">
        <v>1573.0</v>
      </c>
      <c r="P81" s="26"/>
      <c r="Q81" s="26">
        <v>1572.0</v>
      </c>
      <c r="R81" s="26"/>
      <c r="S81" s="26">
        <v>4217.0</v>
      </c>
      <c r="T81" s="26">
        <v>6667.0</v>
      </c>
      <c r="U81" s="26">
        <v>14382.0</v>
      </c>
      <c r="V81" s="36"/>
      <c r="W81" s="26">
        <v>26506.0</v>
      </c>
      <c r="X81" s="26">
        <v>40023.0</v>
      </c>
      <c r="Y81" s="4"/>
      <c r="Z81" s="25">
        <f t="shared" si="1"/>
        <v>0</v>
      </c>
      <c r="AA81" s="25">
        <f t="shared" si="3"/>
        <v>0.9151860543</v>
      </c>
      <c r="AL81" s="31"/>
    </row>
    <row r="82">
      <c r="A82" s="11">
        <v>75.0</v>
      </c>
      <c r="B82" s="24"/>
      <c r="C82" s="25">
        <v>75.0</v>
      </c>
      <c r="D82" s="4">
        <v>3815.0</v>
      </c>
      <c r="E82" s="4">
        <v>2185.0</v>
      </c>
      <c r="F82" s="4">
        <v>1142.0</v>
      </c>
      <c r="G82" s="4">
        <v>847.0</v>
      </c>
      <c r="H82" s="37">
        <v>3703.0</v>
      </c>
      <c r="I82" s="37">
        <v>3703.0</v>
      </c>
      <c r="J82" s="37">
        <v>4551.0</v>
      </c>
      <c r="K82" s="37">
        <v>3926.0</v>
      </c>
      <c r="L82" s="37">
        <v>1920.0</v>
      </c>
      <c r="M82" s="37">
        <v>1958.0</v>
      </c>
      <c r="N82" s="37">
        <v>2129.0</v>
      </c>
      <c r="O82" s="37">
        <v>2219.0</v>
      </c>
      <c r="P82" s="37"/>
      <c r="Q82" s="37">
        <v>2497.0</v>
      </c>
      <c r="R82" s="37"/>
      <c r="S82" s="37">
        <v>5513.0</v>
      </c>
      <c r="T82" s="37">
        <v>8646.0</v>
      </c>
      <c r="U82" s="37">
        <v>18988.0</v>
      </c>
      <c r="V82" s="36"/>
      <c r="W82" s="26">
        <v>33110.0</v>
      </c>
      <c r="X82" s="26">
        <v>50505.0</v>
      </c>
      <c r="Y82" s="26">
        <v>205326.0</v>
      </c>
      <c r="Z82" s="25">
        <f t="shared" si="1"/>
        <v>1</v>
      </c>
      <c r="AA82" s="25">
        <f t="shared" si="3"/>
        <v>0.9431991849</v>
      </c>
      <c r="AL82" s="31"/>
    </row>
    <row r="83">
      <c r="A83" s="11">
        <v>76.0</v>
      </c>
      <c r="B83" s="24"/>
      <c r="C83" s="25">
        <v>76.0</v>
      </c>
      <c r="D83" s="4">
        <v>7742.0</v>
      </c>
      <c r="E83" s="4">
        <v>5626.0</v>
      </c>
      <c r="F83" s="4">
        <v>1457.0</v>
      </c>
      <c r="G83" s="4">
        <v>1128.0</v>
      </c>
      <c r="H83" s="37">
        <v>6835.0</v>
      </c>
      <c r="I83" s="37">
        <v>6906.0</v>
      </c>
      <c r="J83" s="37">
        <v>7595.0</v>
      </c>
      <c r="K83" s="37">
        <v>6877.0</v>
      </c>
      <c r="L83" s="37">
        <v>2769.0</v>
      </c>
      <c r="M83" s="37">
        <v>2751.0</v>
      </c>
      <c r="N83" s="37">
        <v>3052.0</v>
      </c>
      <c r="O83" s="37">
        <v>3061.0</v>
      </c>
      <c r="P83" s="37"/>
      <c r="Q83" s="37">
        <v>3023.0</v>
      </c>
      <c r="R83" s="37"/>
      <c r="S83" s="37">
        <v>9765.0</v>
      </c>
      <c r="T83" s="37">
        <v>13611.0</v>
      </c>
      <c r="U83" s="37">
        <v>23820.0</v>
      </c>
      <c r="V83" s="36"/>
      <c r="W83" s="26">
        <v>41261.0</v>
      </c>
      <c r="X83" s="26">
        <v>65943.0</v>
      </c>
      <c r="Y83" s="4"/>
      <c r="Z83" s="25">
        <f t="shared" si="1"/>
        <v>0</v>
      </c>
      <c r="AA83" s="25">
        <f t="shared" si="3"/>
        <v>0.9938926858</v>
      </c>
      <c r="AL83" s="31"/>
    </row>
    <row r="84">
      <c r="A84" s="11">
        <v>77.0</v>
      </c>
      <c r="B84" s="24"/>
      <c r="C84" s="25">
        <v>77.0</v>
      </c>
      <c r="D84" s="4">
        <v>9816.0</v>
      </c>
      <c r="E84" s="4">
        <v>2781.0</v>
      </c>
      <c r="F84" s="4">
        <v>1539.0</v>
      </c>
      <c r="G84" s="4">
        <v>1090.0</v>
      </c>
      <c r="H84" s="37">
        <v>8167.0</v>
      </c>
      <c r="I84" s="37">
        <v>7732.0</v>
      </c>
      <c r="J84" s="37">
        <v>7711.0</v>
      </c>
      <c r="K84" s="37">
        <v>7424.0</v>
      </c>
      <c r="L84" s="37">
        <v>2843.0</v>
      </c>
      <c r="M84" s="37">
        <v>2660.0</v>
      </c>
      <c r="N84" s="37">
        <v>2930.0</v>
      </c>
      <c r="O84" s="37">
        <v>2960.0</v>
      </c>
      <c r="P84" s="37"/>
      <c r="Q84" s="37">
        <v>2962.0</v>
      </c>
      <c r="R84" s="37"/>
      <c r="S84" s="37">
        <v>10939.0</v>
      </c>
      <c r="T84" s="37">
        <v>13611.0</v>
      </c>
      <c r="U84" s="37">
        <v>28465.0</v>
      </c>
      <c r="V84" s="36"/>
      <c r="W84" s="26">
        <v>51009.0</v>
      </c>
      <c r="X84" s="26">
        <v>79377.0</v>
      </c>
      <c r="Y84" s="4"/>
      <c r="Z84" s="25">
        <f t="shared" si="1"/>
        <v>0</v>
      </c>
      <c r="AA84" s="25">
        <f t="shared" si="3"/>
        <v>1.100080819</v>
      </c>
      <c r="AL84" s="31"/>
    </row>
    <row r="85">
      <c r="A85" s="11">
        <v>78.0</v>
      </c>
      <c r="B85" s="24"/>
      <c r="C85" s="25">
        <v>78.0</v>
      </c>
      <c r="D85" s="4">
        <v>20358.0</v>
      </c>
      <c r="E85" s="4">
        <v>3496.0</v>
      </c>
      <c r="F85" s="4">
        <v>1865.0</v>
      </c>
      <c r="G85" s="4">
        <v>1395.0</v>
      </c>
      <c r="H85" s="37">
        <v>14534.0</v>
      </c>
      <c r="I85" s="37">
        <v>14389.0</v>
      </c>
      <c r="J85" s="37">
        <v>14728.0</v>
      </c>
      <c r="K85" s="37">
        <v>14941.0</v>
      </c>
      <c r="L85" s="37">
        <v>3533.0</v>
      </c>
      <c r="M85" s="37">
        <v>3369.0</v>
      </c>
      <c r="N85" s="37">
        <v>3669.0</v>
      </c>
      <c r="O85" s="37">
        <v>3660.0</v>
      </c>
      <c r="P85" s="37"/>
      <c r="Q85" s="37">
        <v>3692.0</v>
      </c>
      <c r="R85" s="37"/>
      <c r="S85" s="37">
        <v>16927.0</v>
      </c>
      <c r="T85" s="37">
        <v>24800.0</v>
      </c>
      <c r="U85" s="37">
        <v>36357.0</v>
      </c>
      <c r="V85" s="36"/>
      <c r="W85" s="26">
        <v>63846.0</v>
      </c>
      <c r="X85" s="37"/>
      <c r="Y85" s="4"/>
      <c r="Z85" s="25">
        <f t="shared" si="1"/>
        <v>0</v>
      </c>
      <c r="AA85" s="25">
        <f t="shared" si="3"/>
        <v>0.9727595208</v>
      </c>
      <c r="AL85" s="31"/>
    </row>
    <row r="86">
      <c r="A86" s="11">
        <v>79.0</v>
      </c>
      <c r="B86" s="24"/>
      <c r="C86" s="25">
        <v>79.0</v>
      </c>
      <c r="D86" s="4">
        <v>11037.0</v>
      </c>
      <c r="E86" s="4">
        <v>3776.0</v>
      </c>
      <c r="F86" s="4">
        <v>2189.0</v>
      </c>
      <c r="G86" s="4">
        <v>1586.0</v>
      </c>
      <c r="H86" s="37">
        <v>8377.0</v>
      </c>
      <c r="I86" s="37">
        <v>8372.0</v>
      </c>
      <c r="J86" s="37">
        <v>9275.0</v>
      </c>
      <c r="K86" s="37">
        <v>8059.0</v>
      </c>
      <c r="L86" s="37">
        <v>3923.0</v>
      </c>
      <c r="M86" s="37">
        <v>4064.0</v>
      </c>
      <c r="N86" s="37">
        <v>4344.0</v>
      </c>
      <c r="O86" s="37">
        <v>4214.0</v>
      </c>
      <c r="P86" s="37"/>
      <c r="Q86" s="37">
        <v>4563.0</v>
      </c>
      <c r="R86" s="37"/>
      <c r="S86" s="37">
        <v>12130.0</v>
      </c>
      <c r="T86" s="37">
        <v>18921.0</v>
      </c>
      <c r="U86" s="37">
        <v>44031.0</v>
      </c>
      <c r="V86" s="36"/>
      <c r="W86" s="26">
        <v>80136.0</v>
      </c>
      <c r="Y86" s="4"/>
      <c r="Z86" s="25">
        <f t="shared" si="1"/>
        <v>0</v>
      </c>
      <c r="AA86" s="25">
        <f t="shared" si="3"/>
        <v>1.03945899</v>
      </c>
      <c r="AL86" s="31"/>
    </row>
    <row r="87">
      <c r="A87" s="11">
        <v>80.0</v>
      </c>
      <c r="B87" s="24"/>
      <c r="C87" s="25">
        <v>80.0</v>
      </c>
      <c r="D87" s="4">
        <v>17873.0</v>
      </c>
      <c r="E87" s="4">
        <v>14088.0</v>
      </c>
      <c r="F87" s="4">
        <v>2910.0</v>
      </c>
      <c r="G87" s="4">
        <v>2234.0</v>
      </c>
      <c r="H87" s="37">
        <v>15099.0</v>
      </c>
      <c r="I87" s="37">
        <v>14813.0</v>
      </c>
      <c r="J87" s="37">
        <v>16288.0</v>
      </c>
      <c r="K87" s="37">
        <v>14948.0</v>
      </c>
      <c r="L87" s="37">
        <v>5848.0</v>
      </c>
      <c r="M87" s="37">
        <v>5706.0</v>
      </c>
      <c r="N87" s="37">
        <v>6687.0</v>
      </c>
      <c r="O87" s="37">
        <v>6369.0</v>
      </c>
      <c r="P87" s="37"/>
      <c r="Q87" s="37">
        <v>6618.0</v>
      </c>
      <c r="R87" s="37">
        <v>20030.0</v>
      </c>
      <c r="S87" s="37">
        <v>20892.0</v>
      </c>
      <c r="T87" s="37">
        <v>28755.0</v>
      </c>
      <c r="U87" s="37"/>
      <c r="V87" s="36"/>
      <c r="W87" s="26">
        <v>96302.0</v>
      </c>
      <c r="X87" s="37"/>
      <c r="Y87" s="26">
        <v>625413.0</v>
      </c>
      <c r="Z87" s="25">
        <f t="shared" si="1"/>
        <v>1</v>
      </c>
      <c r="AA87" s="25">
        <f t="shared" si="3"/>
        <v>1.010101686</v>
      </c>
      <c r="AL87" s="31"/>
    </row>
    <row r="88">
      <c r="A88" s="11">
        <v>81.0</v>
      </c>
      <c r="B88" s="24"/>
      <c r="C88" s="25">
        <v>81.0</v>
      </c>
      <c r="D88" s="4">
        <v>21233.0</v>
      </c>
      <c r="E88" s="4">
        <v>7772.0</v>
      </c>
      <c r="F88" s="4">
        <v>3205.0</v>
      </c>
      <c r="G88" s="4">
        <v>2336.0</v>
      </c>
      <c r="H88" s="4">
        <v>15982.0</v>
      </c>
      <c r="I88" s="4">
        <v>16019.0</v>
      </c>
      <c r="J88" s="4">
        <v>16639.0</v>
      </c>
      <c r="K88" s="4">
        <v>16001.0</v>
      </c>
      <c r="L88" s="4">
        <v>6548.0</v>
      </c>
      <c r="M88" s="4">
        <v>6424.0</v>
      </c>
      <c r="N88" s="4">
        <v>7014.0</v>
      </c>
      <c r="O88" s="4">
        <v>7210.0</v>
      </c>
      <c r="P88" s="4"/>
      <c r="Q88" s="4">
        <v>7495.0</v>
      </c>
      <c r="R88" s="4">
        <v>18739.0</v>
      </c>
      <c r="S88" s="4">
        <v>21884.0</v>
      </c>
      <c r="T88" s="4">
        <v>30735.0</v>
      </c>
      <c r="U88" s="4"/>
      <c r="V88" s="38"/>
      <c r="W88" s="4"/>
      <c r="X88" s="4"/>
      <c r="Y88" s="4"/>
      <c r="AA88" s="25">
        <f t="shared" si="3"/>
        <v>0.9988125742</v>
      </c>
    </row>
    <row r="89">
      <c r="A89" s="11">
        <v>82.0</v>
      </c>
      <c r="B89" s="24"/>
      <c r="C89" s="25">
        <v>82.0</v>
      </c>
      <c r="D89" s="4">
        <v>27146.0</v>
      </c>
      <c r="E89" s="4">
        <v>8229.0</v>
      </c>
      <c r="F89" s="4">
        <v>3619.0</v>
      </c>
      <c r="G89" s="4">
        <v>2679.0</v>
      </c>
      <c r="H89" s="4">
        <v>20279.0</v>
      </c>
      <c r="I89" s="4">
        <v>20262.0</v>
      </c>
      <c r="J89" s="4">
        <v>21272.0</v>
      </c>
      <c r="K89" s="4">
        <v>19786.0</v>
      </c>
      <c r="L89" s="4">
        <v>7128.0</v>
      </c>
      <c r="M89" s="4">
        <v>6942.0</v>
      </c>
      <c r="N89" s="4">
        <v>7829.0</v>
      </c>
      <c r="O89" s="4">
        <v>7926.0</v>
      </c>
      <c r="P89" s="4"/>
      <c r="Q89" s="4">
        <v>8116.0</v>
      </c>
      <c r="R89" s="4">
        <v>24552.0</v>
      </c>
      <c r="S89" s="4">
        <v>21436.0</v>
      </c>
      <c r="T89" s="4">
        <v>36750.0</v>
      </c>
      <c r="U89" s="4"/>
      <c r="V89" s="38"/>
      <c r="W89" s="4">
        <f t="shared" ref="W89:X89" si="7">W87/G87</f>
        <v>43.10743062</v>
      </c>
      <c r="X89" s="4">
        <f t="shared" si="7"/>
        <v>0</v>
      </c>
      <c r="Y89" s="4"/>
      <c r="AA89" s="25">
        <f t="shared" si="3"/>
        <v>1.024916608</v>
      </c>
    </row>
    <row r="90">
      <c r="A90" s="11">
        <v>83.0</v>
      </c>
      <c r="B90" s="24"/>
      <c r="C90" s="25">
        <v>83.0</v>
      </c>
      <c r="D90" s="4">
        <v>62617.0</v>
      </c>
      <c r="E90" s="4">
        <v>8790.0</v>
      </c>
      <c r="F90" s="4">
        <v>4443.0</v>
      </c>
      <c r="G90" s="4">
        <v>3181.0</v>
      </c>
      <c r="H90" s="4">
        <v>43120.0</v>
      </c>
      <c r="I90" s="4">
        <v>43908.0</v>
      </c>
      <c r="J90" s="4">
        <v>45070.0</v>
      </c>
      <c r="K90" s="4">
        <v>43034.0</v>
      </c>
      <c r="L90" s="4">
        <v>8725.0</v>
      </c>
      <c r="M90" s="4">
        <v>8910.0</v>
      </c>
      <c r="N90" s="4">
        <v>9749.0</v>
      </c>
      <c r="O90" s="4">
        <v>9708.0</v>
      </c>
      <c r="P90" s="4"/>
      <c r="Q90" s="4">
        <v>10202.0</v>
      </c>
      <c r="R90" s="4">
        <v>45050.0</v>
      </c>
      <c r="S90" s="4">
        <v>41537.0</v>
      </c>
      <c r="T90" s="4">
        <v>69018.0</v>
      </c>
      <c r="U90" s="4"/>
      <c r="V90" s="38"/>
      <c r="W90" s="4"/>
      <c r="X90" s="4"/>
      <c r="Y90" s="39">
        <f>sum(Y47:Y87)*Z90</f>
        <v>0.01074585648</v>
      </c>
      <c r="Z90" s="6">
        <v>1.1574074074074074E-8</v>
      </c>
      <c r="AA90" s="25">
        <f t="shared" si="3"/>
        <v>1.00199842</v>
      </c>
    </row>
    <row r="91">
      <c r="A91" s="11">
        <v>84.0</v>
      </c>
      <c r="B91" s="24"/>
      <c r="C91" s="25">
        <v>84.0</v>
      </c>
      <c r="D91" s="4">
        <v>53282.0</v>
      </c>
      <c r="E91" s="4">
        <v>33007.0</v>
      </c>
      <c r="F91" s="4">
        <v>6070.0</v>
      </c>
      <c r="G91" s="4">
        <v>4672.0</v>
      </c>
      <c r="H91" s="4">
        <v>38548.0</v>
      </c>
      <c r="I91" s="4">
        <v>39124.0</v>
      </c>
      <c r="J91" s="4">
        <v>39757.0</v>
      </c>
      <c r="K91" s="4">
        <v>37910.0</v>
      </c>
      <c r="L91" s="4">
        <v>14106.0</v>
      </c>
      <c r="M91" s="4">
        <v>13631.0</v>
      </c>
      <c r="N91" s="4">
        <v>15366.0</v>
      </c>
      <c r="O91" s="4">
        <v>14984.0</v>
      </c>
      <c r="P91" s="4"/>
      <c r="Q91" s="4">
        <v>15439.0</v>
      </c>
      <c r="R91" s="4">
        <v>51980.0</v>
      </c>
      <c r="S91" s="4">
        <v>49979.0</v>
      </c>
      <c r="T91" s="4">
        <v>76944.0</v>
      </c>
      <c r="U91" s="4"/>
      <c r="V91" s="38"/>
      <c r="W91" s="4"/>
      <c r="X91" s="4"/>
      <c r="Y91" s="4"/>
      <c r="AA91" s="25">
        <f t="shared" si="3"/>
        <v>1.016829333</v>
      </c>
    </row>
    <row r="92">
      <c r="A92" s="11">
        <v>85.0</v>
      </c>
      <c r="B92" s="24"/>
      <c r="C92" s="25">
        <v>85.0</v>
      </c>
      <c r="D92" s="4">
        <v>38483.0</v>
      </c>
      <c r="E92" s="4">
        <v>14388.0</v>
      </c>
      <c r="F92" s="4">
        <v>6410.0</v>
      </c>
      <c r="G92" s="4">
        <v>4633.0</v>
      </c>
      <c r="H92" s="4">
        <v>26661.0</v>
      </c>
      <c r="I92" s="4">
        <v>28573.0</v>
      </c>
      <c r="J92" s="4">
        <v>28037.0</v>
      </c>
      <c r="K92" s="4">
        <v>26516.0</v>
      </c>
      <c r="L92" s="4">
        <v>13682.0</v>
      </c>
      <c r="M92" s="4">
        <v>13337.0</v>
      </c>
      <c r="N92" s="4">
        <v>14526.0</v>
      </c>
      <c r="O92" s="4">
        <v>14369.0</v>
      </c>
      <c r="P92" s="4"/>
      <c r="Q92" s="4">
        <v>15873.0</v>
      </c>
      <c r="R92" s="4">
        <v>38759.0</v>
      </c>
      <c r="S92" s="4">
        <v>38539.0</v>
      </c>
      <c r="T92" s="4">
        <v>62704.0</v>
      </c>
      <c r="U92" s="4"/>
      <c r="V92" s="38"/>
      <c r="W92" s="4"/>
      <c r="X92" s="4"/>
      <c r="Y92" s="4"/>
      <c r="AA92" s="25">
        <f t="shared" si="3"/>
        <v>1.005468396</v>
      </c>
    </row>
    <row r="93">
      <c r="A93" s="11">
        <v>86.0</v>
      </c>
      <c r="B93" s="24"/>
      <c r="C93" s="25">
        <v>86.0</v>
      </c>
      <c r="D93" s="4">
        <v>48892.0</v>
      </c>
      <c r="E93" s="4">
        <v>14551.0</v>
      </c>
      <c r="F93" s="4">
        <v>7319.0</v>
      </c>
      <c r="G93" s="4">
        <v>5440.0</v>
      </c>
      <c r="H93" s="4">
        <v>40924.0</v>
      </c>
      <c r="I93" s="4">
        <v>41800.0</v>
      </c>
      <c r="J93" s="4">
        <v>42099.0</v>
      </c>
      <c r="K93" s="4">
        <v>40575.0</v>
      </c>
      <c r="L93" s="4">
        <v>15743.0</v>
      </c>
      <c r="M93" s="4">
        <v>15293.0</v>
      </c>
      <c r="N93" s="4">
        <v>17082.0</v>
      </c>
      <c r="O93" s="4">
        <v>16955.0</v>
      </c>
      <c r="P93" s="4"/>
      <c r="Q93" s="4">
        <v>17441.0</v>
      </c>
      <c r="R93" s="4">
        <v>50644.0</v>
      </c>
      <c r="S93" s="4">
        <v>51254.0</v>
      </c>
      <c r="T93" s="4">
        <v>76787.0</v>
      </c>
      <c r="U93" s="4"/>
      <c r="V93" s="38"/>
      <c r="W93" s="4"/>
      <c r="X93" s="40" t="s">
        <v>56</v>
      </c>
      <c r="Y93" s="4"/>
      <c r="AA93" s="25">
        <f t="shared" si="3"/>
        <v>1.008601356</v>
      </c>
    </row>
    <row r="94">
      <c r="A94" s="11">
        <v>87.0</v>
      </c>
      <c r="B94" s="24"/>
      <c r="C94" s="25">
        <v>87.0</v>
      </c>
      <c r="D94" s="4">
        <v>67015.0</v>
      </c>
      <c r="E94" s="4">
        <v>24112.0</v>
      </c>
      <c r="F94" s="4">
        <v>9198.0</v>
      </c>
      <c r="G94" s="4">
        <v>6785.0</v>
      </c>
      <c r="H94" s="4">
        <v>56616.0</v>
      </c>
      <c r="I94" s="4">
        <v>57790.0</v>
      </c>
      <c r="J94" s="4">
        <v>57584.0</v>
      </c>
      <c r="K94" s="4">
        <v>56337.0</v>
      </c>
      <c r="L94" s="4">
        <v>21148.0</v>
      </c>
      <c r="M94" s="4">
        <v>21399.0</v>
      </c>
      <c r="N94" s="4">
        <v>23124.0</v>
      </c>
      <c r="O94" s="4">
        <v>22812.0</v>
      </c>
      <c r="P94" s="4"/>
      <c r="Q94" s="4">
        <v>23122.0</v>
      </c>
      <c r="R94" s="4">
        <v>68281.0</v>
      </c>
      <c r="S94" s="4">
        <v>78064.0</v>
      </c>
      <c r="T94" s="4">
        <v>108560.0</v>
      </c>
      <c r="U94" s="4"/>
      <c r="V94" s="38"/>
      <c r="W94" s="4"/>
      <c r="X94" s="4"/>
      <c r="Y94" s="39"/>
      <c r="AA94" s="25">
        <f t="shared" si="3"/>
        <v>1.00495234</v>
      </c>
    </row>
    <row r="95">
      <c r="A95" s="11">
        <v>88.0</v>
      </c>
      <c r="B95" s="24"/>
      <c r="C95" s="25">
        <v>88.0</v>
      </c>
      <c r="D95" s="4">
        <v>187902.0</v>
      </c>
      <c r="E95" s="4">
        <v>75020.0</v>
      </c>
      <c r="F95" s="4">
        <v>11799.0</v>
      </c>
      <c r="G95" s="4">
        <v>9108.0</v>
      </c>
      <c r="H95" s="4">
        <v>136628.0</v>
      </c>
      <c r="I95" s="4">
        <v>138816.0</v>
      </c>
      <c r="J95" s="4">
        <v>138211.0</v>
      </c>
      <c r="K95" s="4">
        <v>140620.0</v>
      </c>
      <c r="L95" s="4">
        <v>31683.0</v>
      </c>
      <c r="M95" s="4">
        <v>31616.0</v>
      </c>
      <c r="N95" s="4">
        <v>33662.0</v>
      </c>
      <c r="O95" s="4">
        <v>33795.0</v>
      </c>
      <c r="P95" s="4"/>
      <c r="Q95" s="4">
        <v>34322.0</v>
      </c>
      <c r="R95" s="4">
        <v>137659.0</v>
      </c>
      <c r="S95" s="4">
        <v>120451.0</v>
      </c>
      <c r="T95" s="4">
        <v>215992.0</v>
      </c>
      <c r="U95" s="4"/>
      <c r="V95" s="38"/>
      <c r="W95" s="4"/>
      <c r="X95" s="4"/>
      <c r="Y95" s="4"/>
      <c r="AA95" s="25">
        <f t="shared" si="3"/>
        <v>0.9716114351</v>
      </c>
    </row>
    <row r="96">
      <c r="A96" s="11">
        <v>89.0</v>
      </c>
      <c r="B96" s="24"/>
      <c r="C96" s="25">
        <v>89.0</v>
      </c>
      <c r="D96" s="4">
        <v>108242.0</v>
      </c>
      <c r="E96" s="4">
        <v>32817.0</v>
      </c>
      <c r="F96" s="4">
        <v>12609.0</v>
      </c>
      <c r="G96" s="4">
        <v>9007.0</v>
      </c>
      <c r="H96" s="4">
        <v>74978.0</v>
      </c>
      <c r="I96" s="4">
        <v>77471.0</v>
      </c>
      <c r="J96" s="4">
        <v>76810.0</v>
      </c>
      <c r="K96" s="4">
        <v>77592.0</v>
      </c>
      <c r="L96" s="4">
        <v>29989.0</v>
      </c>
      <c r="M96" s="4">
        <v>29329.0</v>
      </c>
      <c r="N96" s="4">
        <v>31344.0</v>
      </c>
      <c r="O96" s="4">
        <v>31906.0</v>
      </c>
      <c r="P96" s="4"/>
      <c r="Q96" s="4">
        <v>33194.0</v>
      </c>
      <c r="R96" s="4">
        <v>102669.0</v>
      </c>
      <c r="S96" s="4">
        <v>90215.0</v>
      </c>
      <c r="T96" s="4">
        <v>148560.0</v>
      </c>
      <c r="U96" s="4"/>
      <c r="V96" s="38"/>
      <c r="W96" s="4"/>
      <c r="X96" s="4"/>
      <c r="Y96" s="4"/>
      <c r="AA96" s="25">
        <f t="shared" si="3"/>
        <v>0.9663109599</v>
      </c>
    </row>
    <row r="97">
      <c r="A97" s="11">
        <v>90.0</v>
      </c>
      <c r="B97" s="24"/>
      <c r="C97" s="25">
        <v>90.0</v>
      </c>
      <c r="D97" s="4">
        <v>123609.0</v>
      </c>
      <c r="E97" s="4">
        <v>46310.0</v>
      </c>
      <c r="F97" s="4">
        <v>15225.0</v>
      </c>
      <c r="G97" s="4">
        <v>11592.0</v>
      </c>
      <c r="H97" s="4">
        <v>87902.0</v>
      </c>
      <c r="I97" s="4">
        <v>90205.0</v>
      </c>
      <c r="J97" s="4">
        <v>89052.0</v>
      </c>
      <c r="K97" s="4">
        <v>88594.0</v>
      </c>
      <c r="L97" s="4">
        <v>37457.0</v>
      </c>
      <c r="M97" s="4">
        <v>37766.0</v>
      </c>
      <c r="N97" s="4">
        <v>40286.0</v>
      </c>
      <c r="O97" s="4">
        <v>41060.0</v>
      </c>
      <c r="P97" s="4">
        <v>41337.0</v>
      </c>
      <c r="Q97" s="4">
        <v>41190.0</v>
      </c>
      <c r="R97" s="4">
        <v>111777.0</v>
      </c>
      <c r="S97" s="4"/>
      <c r="T97" s="4">
        <v>175876.0</v>
      </c>
      <c r="U97" s="4"/>
      <c r="V97" s="38"/>
      <c r="W97" s="4"/>
      <c r="X97" s="4"/>
      <c r="Y97" s="4"/>
      <c r="AA97" s="25">
        <f t="shared" si="3"/>
        <v>0.9921890873</v>
      </c>
    </row>
    <row r="98">
      <c r="A98" s="11">
        <v>91.0</v>
      </c>
      <c r="B98" s="24"/>
      <c r="C98" s="25">
        <v>91.0</v>
      </c>
      <c r="D98" s="4">
        <v>173874.0</v>
      </c>
      <c r="E98" s="4">
        <v>40589.0</v>
      </c>
      <c r="F98" s="4">
        <v>17325.0</v>
      </c>
      <c r="G98" s="4">
        <v>12593.0</v>
      </c>
      <c r="H98" s="4">
        <v>130936.0</v>
      </c>
      <c r="I98" s="4">
        <v>134457.0</v>
      </c>
      <c r="J98" s="4">
        <v>133395.0</v>
      </c>
      <c r="K98" s="4">
        <v>132714.0</v>
      </c>
      <c r="L98" s="4">
        <v>42378.0</v>
      </c>
      <c r="M98" s="4">
        <v>43075.0</v>
      </c>
      <c r="N98" s="4">
        <v>46138.0</v>
      </c>
      <c r="O98" s="4">
        <v>46819.0</v>
      </c>
      <c r="P98" s="4">
        <v>48248.0</v>
      </c>
      <c r="Q98" s="4">
        <v>47296.0</v>
      </c>
      <c r="R98" s="4">
        <v>158949.0</v>
      </c>
      <c r="S98" s="4"/>
      <c r="T98" s="4">
        <v>247794.0</v>
      </c>
      <c r="U98" s="4"/>
      <c r="V98" s="38"/>
      <c r="W98" s="4"/>
      <c r="X98" s="4"/>
      <c r="Y98" s="4"/>
      <c r="AA98" s="25">
        <f t="shared" si="3"/>
        <v>0.9866027699</v>
      </c>
    </row>
    <row r="99">
      <c r="A99" s="11">
        <v>92.0</v>
      </c>
      <c r="B99" s="24"/>
      <c r="C99" s="25">
        <v>92.0</v>
      </c>
      <c r="D99" s="4">
        <v>241443.0</v>
      </c>
      <c r="E99" s="4">
        <v>171238.0</v>
      </c>
      <c r="F99" s="4">
        <v>23874.0</v>
      </c>
      <c r="G99" s="4">
        <v>18535.0</v>
      </c>
      <c r="H99" s="4">
        <v>203408.0</v>
      </c>
      <c r="I99" s="4">
        <v>209296.0</v>
      </c>
      <c r="J99" s="4">
        <v>212524.0</v>
      </c>
      <c r="K99" s="4">
        <v>207668.0</v>
      </c>
      <c r="L99" s="4">
        <v>69173.0</v>
      </c>
      <c r="M99" s="4">
        <v>69801.0</v>
      </c>
      <c r="N99" s="4">
        <v>74730.0</v>
      </c>
      <c r="O99" s="4">
        <v>77050.0</v>
      </c>
      <c r="P99" s="4">
        <v>77145.0</v>
      </c>
      <c r="Q99" s="4">
        <v>75885.0</v>
      </c>
      <c r="R99" s="4">
        <v>245048.0</v>
      </c>
      <c r="S99" s="4"/>
      <c r="T99" s="4"/>
      <c r="U99" s="4"/>
      <c r="V99" s="38"/>
      <c r="W99" s="4"/>
      <c r="X99" s="4"/>
      <c r="Y99" s="4"/>
      <c r="AA99" s="25">
        <f t="shared" si="3"/>
        <v>0.979486488</v>
      </c>
    </row>
    <row r="100">
      <c r="A100" s="11">
        <v>93.0</v>
      </c>
      <c r="B100" s="24"/>
      <c r="C100" s="25">
        <v>93.0</v>
      </c>
      <c r="D100" s="4">
        <v>465043.0</v>
      </c>
      <c r="E100" s="4">
        <v>76566.0</v>
      </c>
      <c r="F100" s="4">
        <v>25359.0</v>
      </c>
      <c r="G100" s="4">
        <v>18674.0</v>
      </c>
      <c r="H100" s="41">
        <v>360035.0</v>
      </c>
      <c r="I100" s="41">
        <v>367326.0</v>
      </c>
      <c r="J100" s="41"/>
      <c r="K100" s="41">
        <v>368847.0</v>
      </c>
      <c r="L100" s="4">
        <v>68828.0</v>
      </c>
      <c r="M100" s="4">
        <v>68666.0</v>
      </c>
      <c r="N100" s="4">
        <v>73616.0</v>
      </c>
      <c r="O100" s="4">
        <v>77750.0</v>
      </c>
      <c r="P100" s="4">
        <v>80511.0</v>
      </c>
      <c r="Q100" s="4">
        <v>78039.0</v>
      </c>
      <c r="R100" s="4">
        <v>246120.0</v>
      </c>
      <c r="S100" s="4"/>
      <c r="T100" s="4"/>
      <c r="U100" s="4"/>
      <c r="V100" s="38"/>
      <c r="W100" s="4"/>
      <c r="X100" s="4"/>
      <c r="Y100" s="4"/>
      <c r="AA100" s="25">
        <f t="shared" si="3"/>
        <v>0.9761093353</v>
      </c>
    </row>
    <row r="101">
      <c r="A101" s="11">
        <v>94.0</v>
      </c>
      <c r="B101" s="24"/>
      <c r="C101" s="25">
        <v>94.0</v>
      </c>
      <c r="D101" s="4">
        <v>285774.0</v>
      </c>
      <c r="E101" s="4">
        <v>69589.0</v>
      </c>
      <c r="F101" s="4">
        <v>28193.0</v>
      </c>
      <c r="G101" s="4">
        <v>21009.0</v>
      </c>
      <c r="H101" s="4">
        <v>218208.0</v>
      </c>
      <c r="I101" s="4">
        <v>225112.0</v>
      </c>
      <c r="J101" s="4"/>
      <c r="K101" s="4">
        <v>227218.0</v>
      </c>
      <c r="L101" s="4">
        <v>75147.0</v>
      </c>
      <c r="M101" s="4">
        <v>73007.0</v>
      </c>
      <c r="N101" s="4">
        <v>77041.0</v>
      </c>
      <c r="O101" s="4">
        <v>80006.0</v>
      </c>
      <c r="P101" s="4">
        <v>79179.0</v>
      </c>
      <c r="Q101" s="4">
        <v>77877.0</v>
      </c>
      <c r="R101" s="4"/>
      <c r="S101" s="4"/>
      <c r="T101" s="4"/>
      <c r="U101" s="4"/>
      <c r="V101" s="38"/>
      <c r="W101" s="4"/>
      <c r="X101" s="4"/>
      <c r="Y101" s="4"/>
      <c r="AA101" s="25">
        <f t="shared" si="3"/>
        <v>0.9603464514</v>
      </c>
    </row>
    <row r="102">
      <c r="A102" s="11">
        <v>95.0</v>
      </c>
      <c r="B102" s="24"/>
      <c r="C102" s="25">
        <v>95.0</v>
      </c>
      <c r="D102" s="4">
        <v>287299.0</v>
      </c>
      <c r="E102" s="4">
        <v>98326.0</v>
      </c>
      <c r="F102" s="4">
        <v>34771.0</v>
      </c>
      <c r="G102" s="4">
        <v>25625.0</v>
      </c>
      <c r="H102" s="4">
        <v>236507.0</v>
      </c>
      <c r="I102" s="4">
        <v>249843.0</v>
      </c>
      <c r="J102" s="4"/>
      <c r="K102" s="4">
        <v>242189.0</v>
      </c>
      <c r="L102" s="4">
        <v>102042.0</v>
      </c>
      <c r="M102" s="4">
        <v>97206.0</v>
      </c>
      <c r="N102" s="4">
        <v>102671.0</v>
      </c>
      <c r="O102" s="4">
        <v>109679.0</v>
      </c>
      <c r="P102" s="4">
        <v>106690.0</v>
      </c>
      <c r="Q102" s="4">
        <v>103424.0</v>
      </c>
      <c r="R102" s="4"/>
      <c r="S102" s="4"/>
      <c r="T102" s="4"/>
      <c r="U102" s="4"/>
      <c r="V102" s="38"/>
      <c r="W102" s="4"/>
      <c r="X102" s="4"/>
      <c r="Y102" s="4"/>
      <c r="AA102" s="25">
        <f t="shared" si="3"/>
        <v>0.976538984</v>
      </c>
    </row>
    <row r="103">
      <c r="A103" s="11">
        <v>96.0</v>
      </c>
      <c r="B103" s="24"/>
      <c r="C103" s="25">
        <v>96.0</v>
      </c>
      <c r="D103" s="4">
        <v>504135.0</v>
      </c>
      <c r="E103" s="4">
        <v>334663.0</v>
      </c>
      <c r="F103" s="4">
        <v>45936.0</v>
      </c>
      <c r="G103" s="4">
        <v>35611.0</v>
      </c>
      <c r="H103" s="4">
        <v>414780.0</v>
      </c>
      <c r="I103" s="4">
        <v>425360.0</v>
      </c>
      <c r="J103" s="4"/>
      <c r="K103" s="4"/>
      <c r="L103" s="4"/>
      <c r="M103" s="4">
        <v>143259.0</v>
      </c>
      <c r="N103" s="4">
        <v>150270.0</v>
      </c>
      <c r="O103" s="4">
        <v>152629.0</v>
      </c>
      <c r="P103" s="4">
        <v>153689.0</v>
      </c>
      <c r="Q103" s="4">
        <v>157900.0</v>
      </c>
      <c r="R103" s="4"/>
      <c r="S103" s="4"/>
      <c r="T103" s="4"/>
      <c r="U103" s="4"/>
      <c r="V103" s="38"/>
      <c r="W103" s="4"/>
      <c r="X103" s="4"/>
      <c r="Y103" s="4"/>
      <c r="AA103" s="25" t="str">
        <f t="shared" si="3"/>
        <v/>
      </c>
    </row>
    <row r="104">
      <c r="A104" s="11">
        <v>97.0</v>
      </c>
      <c r="B104" s="24"/>
      <c r="C104" s="25">
        <v>97.0</v>
      </c>
      <c r="D104" s="4">
        <v>501276.0</v>
      </c>
      <c r="E104" s="4">
        <v>147990.0</v>
      </c>
      <c r="F104" s="4">
        <v>47797.0</v>
      </c>
      <c r="G104" s="4">
        <v>34771.0</v>
      </c>
      <c r="H104" s="4">
        <v>421660.0</v>
      </c>
      <c r="I104" s="4">
        <v>434369.0</v>
      </c>
      <c r="J104" s="4"/>
      <c r="K104" s="4"/>
      <c r="L104" s="4"/>
      <c r="M104" s="4">
        <v>138504.0</v>
      </c>
      <c r="N104" s="4">
        <v>146312.0</v>
      </c>
      <c r="O104" s="4"/>
      <c r="P104" s="4">
        <v>149869.0</v>
      </c>
      <c r="Q104" s="4">
        <v>156722.0</v>
      </c>
      <c r="R104" s="4"/>
      <c r="S104" s="4"/>
      <c r="T104" s="4"/>
      <c r="U104" s="4"/>
      <c r="V104" s="38"/>
      <c r="W104" s="4"/>
      <c r="X104" s="4"/>
      <c r="Y104" s="4"/>
      <c r="AA104" s="25">
        <f>average(AA60:AA102)</f>
        <v>0.9740213315</v>
      </c>
    </row>
    <row r="105">
      <c r="A105" s="11">
        <v>98.0</v>
      </c>
      <c r="B105" s="24"/>
      <c r="C105" s="25">
        <v>98.0</v>
      </c>
      <c r="D105" s="4">
        <v>1815485.0</v>
      </c>
      <c r="E105" s="4">
        <v>166223.0</v>
      </c>
      <c r="F105" s="4">
        <v>54773.0</v>
      </c>
      <c r="G105" s="4">
        <v>41141.0</v>
      </c>
      <c r="H105" s="4">
        <v>972165.0</v>
      </c>
      <c r="I105" s="4">
        <v>995151.0</v>
      </c>
      <c r="J105" s="4"/>
      <c r="K105" s="4"/>
      <c r="L105" s="4"/>
      <c r="M105" s="4">
        <v>169183.0</v>
      </c>
      <c r="N105" s="4"/>
      <c r="O105" s="4"/>
      <c r="P105" s="4">
        <v>181361.0</v>
      </c>
      <c r="Q105" s="4"/>
      <c r="R105" s="4"/>
      <c r="S105" s="4"/>
      <c r="T105" s="4"/>
      <c r="U105" s="4"/>
      <c r="V105" s="38"/>
      <c r="W105" s="4"/>
      <c r="X105" s="4"/>
      <c r="Y105" s="4"/>
      <c r="AA105" s="25" t="str">
        <f t="shared" ref="AA105:AA111" si="8">if(K105, H105/K105, "")</f>
        <v/>
      </c>
    </row>
    <row r="106">
      <c r="A106" s="11">
        <v>99.0</v>
      </c>
      <c r="B106" s="24"/>
      <c r="C106" s="25">
        <v>99.0</v>
      </c>
      <c r="D106" s="4">
        <v>1029670.0</v>
      </c>
      <c r="E106" s="4">
        <v>226089.0</v>
      </c>
      <c r="F106" s="4">
        <v>65679.0</v>
      </c>
      <c r="G106" s="4">
        <v>51059.0</v>
      </c>
      <c r="H106" s="4">
        <v>641734.0</v>
      </c>
      <c r="I106" s="4">
        <v>708811.0</v>
      </c>
      <c r="J106" s="4"/>
      <c r="K106" s="4"/>
      <c r="L106" s="4"/>
      <c r="M106" s="4"/>
      <c r="N106" s="4"/>
      <c r="O106" s="4"/>
      <c r="P106" s="4">
        <v>238014.0</v>
      </c>
      <c r="Q106" s="4"/>
      <c r="R106" s="4"/>
      <c r="S106" s="4"/>
      <c r="T106" s="4"/>
      <c r="U106" s="4"/>
      <c r="V106" s="38"/>
      <c r="W106" s="4"/>
      <c r="X106" s="4"/>
      <c r="Y106" s="4"/>
      <c r="AA106" s="25" t="str">
        <f t="shared" si="8"/>
        <v/>
      </c>
    </row>
    <row r="107">
      <c r="A107" s="11">
        <v>100.0</v>
      </c>
      <c r="B107" s="24"/>
      <c r="C107" s="25">
        <v>100.0</v>
      </c>
      <c r="D107" s="4">
        <v>1676944.0</v>
      </c>
      <c r="E107" s="4">
        <v>780518.0</v>
      </c>
      <c r="F107" s="4">
        <v>88110.0</v>
      </c>
      <c r="G107" s="4">
        <v>70327.0</v>
      </c>
      <c r="H107" s="4">
        <v>933370.0</v>
      </c>
      <c r="I107" s="4">
        <v>1105457.0</v>
      </c>
      <c r="J107" s="4"/>
      <c r="K107" s="4"/>
      <c r="L107" s="4"/>
      <c r="M107" s="4"/>
      <c r="N107" s="4"/>
      <c r="O107" s="4"/>
      <c r="P107" s="4">
        <v>343927.0</v>
      </c>
      <c r="Q107" s="4"/>
      <c r="R107" s="4"/>
      <c r="S107" s="4"/>
      <c r="T107" s="4"/>
      <c r="U107" s="4"/>
      <c r="V107" s="38"/>
      <c r="W107" s="4"/>
      <c r="X107" s="4"/>
      <c r="Y107" s="4"/>
      <c r="AA107" s="25" t="str">
        <f t="shared" si="8"/>
        <v/>
      </c>
    </row>
    <row r="108">
      <c r="A108" s="11">
        <v>101.0</v>
      </c>
      <c r="B108" s="24"/>
      <c r="C108" s="25">
        <v>101.0</v>
      </c>
      <c r="D108" s="4"/>
      <c r="E108" s="4"/>
      <c r="F108" s="4"/>
      <c r="G108" s="4">
        <v>69458.0</v>
      </c>
      <c r="H108" s="42">
        <v>1068916.0</v>
      </c>
      <c r="I108" s="4">
        <v>1225133.0</v>
      </c>
      <c r="J108" s="4"/>
      <c r="K108" s="4"/>
      <c r="L108" s="4"/>
      <c r="M108" s="4"/>
      <c r="N108" s="4"/>
      <c r="O108" s="4"/>
      <c r="P108" s="4">
        <v>332952.0</v>
      </c>
      <c r="Q108" s="4"/>
      <c r="R108" s="4"/>
      <c r="S108" s="4"/>
      <c r="T108" s="4"/>
      <c r="U108" s="4"/>
      <c r="V108" s="38"/>
      <c r="W108" s="4"/>
      <c r="X108" s="4"/>
      <c r="Y108" s="4"/>
      <c r="AA108" s="25" t="str">
        <f t="shared" si="8"/>
        <v/>
      </c>
    </row>
    <row r="109">
      <c r="A109" s="11">
        <v>102.0</v>
      </c>
      <c r="B109" s="24"/>
      <c r="C109" s="25">
        <v>102.0</v>
      </c>
      <c r="D109" s="4"/>
      <c r="E109" s="4"/>
      <c r="F109" s="4"/>
      <c r="G109" s="4">
        <v>82472.0</v>
      </c>
      <c r="H109" s="42">
        <v>1040079.0</v>
      </c>
      <c r="I109" s="4">
        <v>1201513.0</v>
      </c>
      <c r="J109" s="4"/>
      <c r="K109" s="4"/>
      <c r="L109" s="4"/>
      <c r="M109" s="4"/>
      <c r="N109" s="4"/>
      <c r="O109" s="4"/>
      <c r="P109" s="4">
        <v>387492.0</v>
      </c>
      <c r="Q109" s="4"/>
      <c r="R109" s="4"/>
      <c r="S109" s="4"/>
      <c r="T109" s="4"/>
      <c r="U109" s="4"/>
      <c r="V109" s="38"/>
      <c r="W109" s="4"/>
      <c r="X109" s="4"/>
      <c r="Y109" s="4"/>
      <c r="AA109" s="25" t="str">
        <f t="shared" si="8"/>
        <v/>
      </c>
    </row>
    <row r="110">
      <c r="A110" s="11">
        <v>103.0</v>
      </c>
      <c r="B110" s="24"/>
      <c r="C110" s="25">
        <v>103.0</v>
      </c>
      <c r="D110" s="4"/>
      <c r="E110" s="4"/>
      <c r="F110" s="4"/>
      <c r="G110" s="4">
        <v>95633.0</v>
      </c>
      <c r="H110" s="43">
        <v>2683794.0</v>
      </c>
      <c r="I110" s="4">
        <v>2701813.0</v>
      </c>
      <c r="J110" s="4"/>
      <c r="K110" s="4"/>
      <c r="L110" s="4"/>
      <c r="M110" s="4"/>
      <c r="N110" s="4"/>
      <c r="O110" s="4"/>
      <c r="P110" s="4">
        <v>481827.0</v>
      </c>
      <c r="Q110" s="4"/>
      <c r="R110" s="4"/>
      <c r="S110" s="4"/>
      <c r="T110" s="4"/>
      <c r="U110" s="4"/>
      <c r="V110" s="38"/>
      <c r="W110" s="4"/>
      <c r="X110" s="4"/>
      <c r="Y110" s="4"/>
      <c r="AA110" s="25" t="str">
        <f t="shared" si="8"/>
        <v/>
      </c>
    </row>
    <row r="111">
      <c r="A111" s="11">
        <v>104.0</v>
      </c>
      <c r="B111" s="24"/>
      <c r="C111" s="25">
        <v>104.0</v>
      </c>
      <c r="D111" s="4"/>
      <c r="E111" s="4"/>
      <c r="F111" s="4"/>
      <c r="G111" s="4">
        <v>138791.0</v>
      </c>
      <c r="H111" s="44">
        <v>2018635.0</v>
      </c>
      <c r="I111" s="4">
        <v>2135026.0</v>
      </c>
      <c r="J111" s="4"/>
      <c r="K111" s="4"/>
      <c r="L111" s="4"/>
      <c r="M111" s="4"/>
      <c r="N111" s="4"/>
      <c r="O111" s="4"/>
      <c r="P111" s="4">
        <v>760881.0</v>
      </c>
      <c r="Q111" s="4"/>
      <c r="R111" s="4"/>
      <c r="S111" s="4"/>
      <c r="T111" s="4"/>
      <c r="U111" s="4"/>
      <c r="V111" s="38"/>
      <c r="W111" s="4"/>
      <c r="X111" s="4"/>
      <c r="Y111" s="4"/>
      <c r="AA111" s="25" t="str">
        <f t="shared" si="8"/>
        <v/>
      </c>
    </row>
    <row r="112">
      <c r="A112" s="11">
        <v>105.0</v>
      </c>
      <c r="B112" s="24"/>
      <c r="C112" s="25">
        <v>105.0</v>
      </c>
      <c r="D112" s="4"/>
      <c r="E112" s="4"/>
      <c r="F112" s="4"/>
      <c r="G112" s="4">
        <v>147338.0</v>
      </c>
      <c r="H112" s="45">
        <v>1828455.0</v>
      </c>
      <c r="I112" s="4"/>
      <c r="J112" s="4"/>
      <c r="K112" s="4"/>
      <c r="L112" s="4"/>
      <c r="M112" s="4"/>
      <c r="N112" s="4"/>
      <c r="O112" s="4"/>
      <c r="P112" s="4">
        <v>863753.0</v>
      </c>
      <c r="Q112" s="4"/>
      <c r="R112" s="4"/>
      <c r="S112" s="4"/>
      <c r="T112" s="4"/>
      <c r="U112" s="4"/>
      <c r="V112" s="38"/>
      <c r="W112" s="4"/>
      <c r="X112" s="4"/>
      <c r="Y112" s="4"/>
    </row>
    <row r="113">
      <c r="A113" s="11">
        <v>106.0</v>
      </c>
      <c r="B113" s="24"/>
      <c r="C113" s="25">
        <v>106.0</v>
      </c>
      <c r="D113" s="4"/>
      <c r="E113" s="4"/>
      <c r="F113" s="4"/>
      <c r="G113" s="4">
        <v>163180.0</v>
      </c>
      <c r="H113" s="43">
        <v>2702906.0</v>
      </c>
      <c r="I113" s="4"/>
      <c r="J113" s="4"/>
      <c r="K113" s="4"/>
      <c r="L113" s="4"/>
      <c r="M113" s="4"/>
      <c r="N113" s="4"/>
      <c r="O113" s="4"/>
      <c r="P113" s="4">
        <v>798569.0</v>
      </c>
      <c r="Q113" s="4"/>
      <c r="R113" s="4"/>
      <c r="S113" s="4"/>
      <c r="T113" s="4"/>
      <c r="U113" s="4"/>
      <c r="V113" s="38"/>
      <c r="W113" s="4"/>
      <c r="X113" s="4"/>
      <c r="Y113" s="4"/>
    </row>
    <row r="114">
      <c r="A114" s="11">
        <v>107.0</v>
      </c>
      <c r="B114" s="24"/>
      <c r="C114" s="25">
        <v>107.0</v>
      </c>
      <c r="D114" s="4"/>
      <c r="E114" s="4"/>
      <c r="F114" s="4"/>
      <c r="G114" s="4">
        <v>185814.0</v>
      </c>
      <c r="H114" s="46">
        <v>3081805.0</v>
      </c>
      <c r="I114" s="4"/>
      <c r="J114" s="4"/>
      <c r="K114" s="4"/>
      <c r="L114" s="4"/>
      <c r="M114" s="4"/>
      <c r="N114" s="4"/>
      <c r="O114" s="4"/>
      <c r="P114" s="4">
        <v>1255176.0</v>
      </c>
      <c r="Q114" s="4"/>
      <c r="R114" s="4"/>
      <c r="S114" s="4"/>
      <c r="T114" s="4"/>
      <c r="U114" s="4"/>
      <c r="V114" s="38"/>
      <c r="W114" s="4"/>
      <c r="X114" s="4"/>
      <c r="Y114" s="4"/>
    </row>
    <row r="115">
      <c r="A115" s="11">
        <v>108.0</v>
      </c>
      <c r="B115" s="24"/>
      <c r="C115" s="25">
        <v>108.0</v>
      </c>
      <c r="D115" s="4"/>
      <c r="E115" s="4"/>
      <c r="F115" s="4"/>
      <c r="G115" s="4">
        <v>265454.0</v>
      </c>
      <c r="H115" s="47">
        <v>7531952.0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8"/>
      <c r="W115" s="4"/>
      <c r="X115" s="4"/>
      <c r="Y115" s="4"/>
    </row>
    <row r="116">
      <c r="A116" s="11">
        <v>109.0</v>
      </c>
      <c r="B116" s="24"/>
      <c r="C116" s="25">
        <v>109.0</v>
      </c>
      <c r="D116" s="4"/>
      <c r="E116" s="4"/>
      <c r="G116" s="4">
        <v>245808.0</v>
      </c>
      <c r="H116" s="48">
        <v>4608347.0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8"/>
      <c r="W116" s="4"/>
      <c r="X116" s="4"/>
      <c r="Y116" s="4"/>
    </row>
    <row r="117">
      <c r="A117" s="11">
        <v>110.0</v>
      </c>
      <c r="B117" s="24"/>
      <c r="C117" s="25">
        <v>110.0</v>
      </c>
      <c r="D117" s="4"/>
      <c r="E117" s="4"/>
      <c r="F117" s="4"/>
      <c r="G117" s="4">
        <v>289860.0</v>
      </c>
      <c r="H117" s="49">
        <v>5111774.0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8"/>
      <c r="W117" s="4"/>
      <c r="X117" s="4"/>
      <c r="Y117" s="4"/>
    </row>
    <row r="118">
      <c r="A118" s="11">
        <v>111.0</v>
      </c>
      <c r="B118" s="24"/>
      <c r="C118" s="25">
        <v>111.0</v>
      </c>
      <c r="D118" s="4"/>
      <c r="E118" s="4"/>
      <c r="F118" s="4"/>
      <c r="G118" s="4">
        <v>356492.0</v>
      </c>
      <c r="H118" s="50">
        <v>5181290.0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8"/>
      <c r="W118" s="4"/>
      <c r="X118" s="4"/>
      <c r="Y118" s="4"/>
    </row>
    <row r="119">
      <c r="A119" s="11">
        <v>112.0</v>
      </c>
      <c r="B119" s="24"/>
      <c r="C119" s="25">
        <v>112.0</v>
      </c>
      <c r="D119" s="4"/>
      <c r="E119" s="4"/>
      <c r="F119" s="4"/>
      <c r="G119" s="4">
        <v>479797.0</v>
      </c>
      <c r="H119" s="51">
        <v>8945452.0</v>
      </c>
      <c r="I119" s="52">
        <f>H119/G119</f>
        <v>18.64424329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8"/>
      <c r="W119" s="4"/>
      <c r="X119" s="4"/>
      <c r="Y119" s="4"/>
    </row>
    <row r="120">
      <c r="A120" s="11">
        <v>113.0</v>
      </c>
      <c r="B120" s="24"/>
      <c r="C120" s="25">
        <v>113.0</v>
      </c>
      <c r="D120" s="4"/>
      <c r="E120" s="4"/>
      <c r="F120" s="4"/>
      <c r="G120" s="4">
        <v>499790.0</v>
      </c>
      <c r="H120" s="53">
        <v>5919763.0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8"/>
      <c r="W120" s="4"/>
      <c r="X120" s="4"/>
      <c r="Y120" s="4"/>
    </row>
    <row r="121">
      <c r="A121" s="11">
        <v>114.0</v>
      </c>
      <c r="B121" s="24"/>
      <c r="C121" s="25">
        <v>114.0</v>
      </c>
      <c r="D121" s="4"/>
      <c r="E121" s="4"/>
      <c r="F121" s="4"/>
      <c r="G121" s="4">
        <v>565544.0</v>
      </c>
      <c r="H121" s="54">
        <v>7305751.0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8"/>
      <c r="W121" s="4"/>
      <c r="X121" s="4"/>
      <c r="Y121" s="4"/>
    </row>
    <row r="122">
      <c r="A122" s="11">
        <v>115.0</v>
      </c>
      <c r="B122" s="24"/>
      <c r="C122" s="25">
        <v>115.0</v>
      </c>
      <c r="D122" s="4"/>
      <c r="E122" s="4"/>
      <c r="F122" s="4"/>
      <c r="G122" s="4">
        <v>646510.0</v>
      </c>
      <c r="H122" s="51">
        <v>8949189.0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8"/>
      <c r="W122" s="4"/>
      <c r="X122" s="4"/>
      <c r="Y122" s="4"/>
    </row>
    <row r="123">
      <c r="A123" s="11">
        <v>116.0</v>
      </c>
      <c r="B123" s="2"/>
      <c r="C123" s="25">
        <v>116.0</v>
      </c>
      <c r="D123" s="4"/>
      <c r="E123" s="4"/>
      <c r="F123" s="4"/>
      <c r="G123" s="4">
        <v>961476.0</v>
      </c>
      <c r="H123" s="55">
        <v>1.5842278E7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8"/>
      <c r="W123" s="4"/>
      <c r="X123" s="4"/>
      <c r="Y123" s="4"/>
    </row>
    <row r="124">
      <c r="A124" s="11">
        <v>117.0</v>
      </c>
      <c r="B124" s="2"/>
      <c r="C124" s="25">
        <v>117.0</v>
      </c>
      <c r="D124" s="4"/>
      <c r="E124" s="4"/>
      <c r="F124" s="4"/>
      <c r="G124" s="4">
        <v>958976.0</v>
      </c>
      <c r="H124" s="56">
        <v>1.4492906E7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8"/>
      <c r="W124" s="4"/>
      <c r="X124" s="4"/>
      <c r="Y124" s="4"/>
    </row>
    <row r="125">
      <c r="A125" s="11">
        <v>118.0</v>
      </c>
      <c r="B125" s="2"/>
      <c r="C125" s="25">
        <v>118.0</v>
      </c>
      <c r="D125" s="4"/>
      <c r="E125" s="4"/>
      <c r="F125" s="4"/>
      <c r="G125" s="4">
        <v>1074252.0</v>
      </c>
      <c r="H125" s="57">
        <v>1.4333372E7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8"/>
      <c r="W125" s="4"/>
      <c r="X125" s="4"/>
      <c r="Y125" s="4"/>
    </row>
    <row r="126">
      <c r="A126" s="11">
        <v>119.0</v>
      </c>
      <c r="B126" s="2"/>
      <c r="C126" s="25">
        <v>119.0</v>
      </c>
      <c r="D126" s="4"/>
      <c r="E126" s="4"/>
      <c r="F126" s="4"/>
      <c r="G126" s="4">
        <v>1222910.0</v>
      </c>
      <c r="H126" s="58">
        <v>2.1176468E7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8"/>
      <c r="W126" s="4"/>
      <c r="X126" s="4"/>
      <c r="Y126" s="4"/>
    </row>
    <row r="127">
      <c r="A127" s="11">
        <v>120.0</v>
      </c>
      <c r="B127" s="2"/>
      <c r="C127" s="25">
        <v>120.0</v>
      </c>
      <c r="D127" s="4"/>
      <c r="E127" s="4"/>
      <c r="F127" s="4"/>
      <c r="G127" s="4">
        <v>1723644.0</v>
      </c>
      <c r="H127" s="3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8"/>
      <c r="W127" s="4"/>
      <c r="X127" s="4"/>
      <c r="Y127" s="4"/>
    </row>
    <row r="128">
      <c r="A128" s="11">
        <v>121.0</v>
      </c>
      <c r="B128" s="2"/>
      <c r="C128" s="25">
        <v>121.0</v>
      </c>
      <c r="D128" s="4"/>
      <c r="E128" s="4"/>
      <c r="F128" s="4"/>
      <c r="G128" s="40">
        <v>1764963.0</v>
      </c>
      <c r="H128" s="3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8"/>
      <c r="W128" s="4"/>
      <c r="X128" s="4"/>
      <c r="Y128" s="4"/>
    </row>
    <row r="129">
      <c r="A129" s="11">
        <v>122.0</v>
      </c>
      <c r="B129" s="2"/>
      <c r="C129" s="25">
        <v>122.0</v>
      </c>
      <c r="D129" s="4"/>
      <c r="E129" s="4"/>
      <c r="F129" s="4"/>
      <c r="G129" s="40">
        <v>1926736.0</v>
      </c>
      <c r="H129" s="3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8"/>
      <c r="W129" s="4"/>
      <c r="X129" s="4"/>
      <c r="Y129" s="4"/>
    </row>
    <row r="130">
      <c r="A130" s="11">
        <v>123.0</v>
      </c>
      <c r="B130" s="2"/>
      <c r="C130" s="25">
        <v>123.0</v>
      </c>
      <c r="D130" s="4"/>
      <c r="E130" s="4"/>
      <c r="F130" s="4"/>
      <c r="G130" s="40">
        <v>2341045.0</v>
      </c>
      <c r="H130" s="3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8"/>
      <c r="W130" s="4"/>
      <c r="X130" s="4"/>
      <c r="Y130" s="4"/>
    </row>
    <row r="131">
      <c r="A131" s="11">
        <v>124.0</v>
      </c>
      <c r="B131" s="2"/>
      <c r="C131" s="25">
        <v>124.0</v>
      </c>
      <c r="D131" s="4"/>
      <c r="E131" s="4"/>
      <c r="F131" s="4"/>
      <c r="G131" s="40">
        <v>3142356.0</v>
      </c>
      <c r="H131" s="3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8"/>
      <c r="W131" s="4"/>
      <c r="X131" s="4"/>
      <c r="Y131" s="4"/>
    </row>
    <row r="132">
      <c r="A132" s="11">
        <v>125.0</v>
      </c>
      <c r="B132" s="2"/>
      <c r="C132" s="25">
        <v>125.0</v>
      </c>
      <c r="D132" s="4"/>
      <c r="E132" s="4"/>
      <c r="F132" s="4"/>
      <c r="G132" s="40">
        <v>3093924.0</v>
      </c>
      <c r="H132" s="3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8"/>
      <c r="W132" s="4"/>
      <c r="X132" s="4"/>
      <c r="Y132" s="4"/>
    </row>
    <row r="133">
      <c r="A133" s="11">
        <v>126.0</v>
      </c>
      <c r="B133" s="2"/>
      <c r="C133" s="25">
        <v>126.0</v>
      </c>
      <c r="D133" s="4"/>
      <c r="E133" s="4"/>
      <c r="F133" s="4"/>
      <c r="G133" s="4">
        <v>3432245.0</v>
      </c>
      <c r="H133" s="3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8"/>
      <c r="W133" s="4"/>
      <c r="X133" s="4"/>
      <c r="Y133" s="4"/>
    </row>
    <row r="134">
      <c r="A134" s="11">
        <v>127.0</v>
      </c>
      <c r="B134" s="2"/>
      <c r="C134" s="25">
        <v>127.0</v>
      </c>
      <c r="D134" s="4"/>
      <c r="E134" s="4"/>
      <c r="F134" s="4"/>
      <c r="G134" s="4">
        <v>3875077.0</v>
      </c>
      <c r="H134" s="3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8"/>
      <c r="W134" s="4"/>
      <c r="X134" s="4"/>
      <c r="Y134" s="4"/>
    </row>
    <row r="135">
      <c r="A135" s="11">
        <v>128.0</v>
      </c>
      <c r="B135" s="2"/>
      <c r="C135" s="25">
        <v>128.0</v>
      </c>
      <c r="D135" s="4"/>
      <c r="E135" s="4"/>
      <c r="F135" s="40" t="s">
        <v>57</v>
      </c>
      <c r="G135" s="4">
        <v>5425197.0</v>
      </c>
      <c r="H135" s="3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8"/>
      <c r="W135" s="4"/>
      <c r="X135" s="4"/>
      <c r="Y135" s="4"/>
    </row>
    <row r="136">
      <c r="A136" s="11">
        <v>129.0</v>
      </c>
      <c r="B136" s="2"/>
      <c r="C136" s="25">
        <v>129.0</v>
      </c>
      <c r="D136" s="4"/>
      <c r="E136" s="4"/>
      <c r="F136" s="4"/>
      <c r="G136" s="4">
        <v>5496341.0</v>
      </c>
      <c r="H136" s="3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8"/>
      <c r="W136" s="4"/>
      <c r="X136" s="4"/>
      <c r="Y136" s="4"/>
    </row>
    <row r="137">
      <c r="A137" s="11">
        <v>130.0</v>
      </c>
      <c r="B137" s="2"/>
      <c r="C137" s="25">
        <v>130.0</v>
      </c>
      <c r="D137" s="4"/>
      <c r="E137" s="4"/>
      <c r="F137" s="4"/>
      <c r="G137" s="4">
        <v>6511508.0</v>
      </c>
      <c r="H137" s="3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8"/>
      <c r="W137" s="4"/>
      <c r="X137" s="4"/>
      <c r="Y137" s="4"/>
    </row>
    <row r="138">
      <c r="A138" s="11">
        <v>131.0</v>
      </c>
      <c r="B138" s="2"/>
      <c r="C138" s="25">
        <v>131.0</v>
      </c>
      <c r="D138" s="4"/>
      <c r="E138" s="4"/>
      <c r="F138" s="4"/>
      <c r="G138" s="4">
        <v>7106507.0</v>
      </c>
      <c r="H138" s="3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8"/>
      <c r="W138" s="4"/>
      <c r="X138" s="4"/>
      <c r="Y138" s="4"/>
    </row>
    <row r="139">
      <c r="A139" s="11">
        <v>132.0</v>
      </c>
      <c r="B139" s="2"/>
      <c r="C139" s="25">
        <v>132.0</v>
      </c>
      <c r="D139" s="4"/>
      <c r="E139" s="4"/>
      <c r="F139" s="4"/>
      <c r="G139" s="4">
        <v>1.0456925E7</v>
      </c>
      <c r="H139" s="3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8"/>
      <c r="W139" s="4"/>
      <c r="X139" s="4"/>
      <c r="Y139" s="4"/>
    </row>
    <row r="140">
      <c r="A140" s="11">
        <v>133.0</v>
      </c>
      <c r="B140" s="2"/>
      <c r="C140" s="25">
        <v>133.0</v>
      </c>
      <c r="D140" s="4"/>
      <c r="E140" s="4"/>
      <c r="F140" s="4"/>
      <c r="G140" s="4">
        <v>1.0082765E7</v>
      </c>
      <c r="H140" s="3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8"/>
      <c r="W140" s="4"/>
      <c r="X140" s="4"/>
      <c r="Y140" s="4"/>
    </row>
    <row r="141">
      <c r="A141" s="11">
        <v>134.0</v>
      </c>
      <c r="B141" s="2"/>
      <c r="C141" s="25">
        <v>134.0</v>
      </c>
      <c r="D141" s="4"/>
      <c r="E141" s="4"/>
      <c r="F141" s="4"/>
      <c r="G141" s="4">
        <v>1.2044056E7</v>
      </c>
      <c r="H141" s="3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8"/>
      <c r="W141" s="4"/>
      <c r="X141" s="4"/>
      <c r="Y141" s="4"/>
    </row>
    <row r="142">
      <c r="A142" s="11">
        <v>135.0</v>
      </c>
      <c r="B142" s="2"/>
      <c r="C142" s="25">
        <v>135.0</v>
      </c>
      <c r="D142" s="4"/>
      <c r="E142" s="4"/>
      <c r="F142" s="4"/>
      <c r="G142" s="4">
        <v>1.5645337E7</v>
      </c>
      <c r="H142" s="3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8"/>
      <c r="W142" s="4"/>
      <c r="X142" s="4"/>
      <c r="Y142" s="4"/>
    </row>
    <row r="143">
      <c r="A143" s="11">
        <v>136.0</v>
      </c>
      <c r="B143" s="2"/>
      <c r="C143" s="25">
        <v>136.0</v>
      </c>
      <c r="D143" s="4"/>
      <c r="E143" s="4"/>
      <c r="F143" s="4"/>
      <c r="G143" s="4">
        <v>1.9026544E7</v>
      </c>
      <c r="H143" s="3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8"/>
      <c r="W143" s="4"/>
      <c r="X143" s="4"/>
      <c r="Y143" s="4"/>
    </row>
    <row r="144">
      <c r="A144" s="11">
        <v>137.0</v>
      </c>
      <c r="B144" s="2"/>
      <c r="C144" s="25">
        <v>137.0</v>
      </c>
      <c r="D144" s="4"/>
      <c r="E144" s="4"/>
      <c r="F144" s="4"/>
      <c r="G144" s="4">
        <v>1.7505732E7</v>
      </c>
      <c r="H144" s="3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8"/>
      <c r="W144" s="4"/>
      <c r="X144" s="4"/>
      <c r="Y144" s="4"/>
    </row>
    <row r="145">
      <c r="A145" s="11">
        <v>138.0</v>
      </c>
      <c r="B145" s="2"/>
      <c r="C145" s="25">
        <v>138.0</v>
      </c>
      <c r="D145" s="4"/>
      <c r="E145" s="4"/>
      <c r="F145" s="4"/>
      <c r="G145" s="4">
        <v>2.1130849E7</v>
      </c>
      <c r="H145" s="3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8"/>
      <c r="W145" s="4"/>
      <c r="X145" s="4"/>
      <c r="Y145" s="4"/>
    </row>
    <row r="146">
      <c r="A146" s="11">
        <v>139.0</v>
      </c>
      <c r="B146" s="2"/>
      <c r="C146" s="25">
        <v>139.0</v>
      </c>
      <c r="D146" s="4"/>
      <c r="E146" s="4"/>
      <c r="F146" s="4"/>
      <c r="G146" s="4">
        <v>2.4457235E7</v>
      </c>
      <c r="H146" s="3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8"/>
      <c r="W146" s="4"/>
      <c r="X146" s="4"/>
      <c r="Y146" s="4"/>
    </row>
    <row r="147">
      <c r="A147" s="11">
        <v>140.0</v>
      </c>
      <c r="B147" s="2"/>
      <c r="C147" s="25">
        <v>140.0</v>
      </c>
      <c r="D147" s="4"/>
      <c r="E147" s="4"/>
      <c r="F147" s="4"/>
      <c r="G147" s="4">
        <v>3.3753818E7</v>
      </c>
      <c r="H147" s="3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8"/>
      <c r="W147" s="4"/>
      <c r="X147" s="4"/>
      <c r="Y147" s="4"/>
    </row>
    <row r="148">
      <c r="A148" s="11">
        <v>141.0</v>
      </c>
      <c r="B148" s="2"/>
      <c r="C148" s="25">
        <v>141.0</v>
      </c>
      <c r="D148" s="4"/>
      <c r="E148" s="4"/>
      <c r="F148" s="4"/>
      <c r="G148" s="4">
        <v>3.3863247E7</v>
      </c>
      <c r="H148" s="3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8"/>
      <c r="W148" s="4"/>
      <c r="X148" s="4"/>
      <c r="Y148" s="4"/>
    </row>
    <row r="149">
      <c r="A149" s="11">
        <v>142.0</v>
      </c>
      <c r="B149" s="2"/>
      <c r="C149" s="25">
        <v>142.0</v>
      </c>
      <c r="D149" s="4"/>
      <c r="E149" s="4"/>
      <c r="F149" s="4"/>
      <c r="G149" s="4">
        <v>3.6427679E7</v>
      </c>
      <c r="H149" s="3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8"/>
      <c r="W149" s="4"/>
      <c r="X149" s="4"/>
      <c r="Y149" s="4"/>
    </row>
    <row r="150">
      <c r="A150" s="11">
        <v>143.0</v>
      </c>
      <c r="B150" s="2"/>
      <c r="C150" s="25">
        <v>143.0</v>
      </c>
      <c r="D150" s="4"/>
      <c r="E150" s="4"/>
      <c r="F150" s="4"/>
      <c r="G150" s="4">
        <v>4.6195894E7</v>
      </c>
      <c r="H150" s="3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8"/>
      <c r="W150" s="4"/>
      <c r="X150" s="4"/>
      <c r="Y150" s="4"/>
    </row>
    <row r="151">
      <c r="A151" s="11">
        <v>144.0</v>
      </c>
      <c r="B151" s="2"/>
      <c r="C151" s="25">
        <v>144.0</v>
      </c>
      <c r="D151" s="4"/>
      <c r="E151" s="4"/>
      <c r="F151" s="4"/>
      <c r="G151" s="4">
        <v>6.2764873E7</v>
      </c>
      <c r="H151" s="3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8"/>
      <c r="W151" s="4"/>
      <c r="X151" s="4"/>
      <c r="Y151" s="4"/>
    </row>
    <row r="152">
      <c r="A152" s="11">
        <v>145.0</v>
      </c>
      <c r="B152" s="2"/>
      <c r="C152" s="25">
        <v>145.0</v>
      </c>
      <c r="D152" s="4"/>
      <c r="E152" s="4"/>
      <c r="F152" s="4"/>
      <c r="G152" s="4">
        <v>5.99864E7</v>
      </c>
      <c r="H152" s="3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8"/>
      <c r="W152" s="4"/>
      <c r="X152" s="4"/>
      <c r="Y152" s="4"/>
    </row>
    <row r="153">
      <c r="A153" s="11">
        <v>146.0</v>
      </c>
      <c r="B153" s="2"/>
      <c r="C153" s="25">
        <v>146.0</v>
      </c>
      <c r="D153" s="4"/>
      <c r="E153" s="4"/>
      <c r="F153" s="4"/>
      <c r="G153" s="4">
        <v>6.6588282E7</v>
      </c>
      <c r="H153" s="3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8"/>
      <c r="W153" s="4"/>
      <c r="X153" s="4"/>
      <c r="Y153" s="4"/>
    </row>
    <row r="154">
      <c r="A154" s="11">
        <v>147.0</v>
      </c>
      <c r="B154" s="2"/>
      <c r="C154" s="25">
        <v>147.0</v>
      </c>
      <c r="D154" s="4"/>
      <c r="E154" s="4"/>
      <c r="F154" s="4"/>
      <c r="G154" s="4">
        <v>7.9174905E7</v>
      </c>
      <c r="H154" s="3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8"/>
      <c r="W154" s="4"/>
      <c r="X154" s="4"/>
      <c r="Y154" s="4"/>
    </row>
    <row r="155">
      <c r="A155" s="11">
        <v>148.0</v>
      </c>
      <c r="B155" s="2"/>
      <c r="C155" s="25">
        <v>148.0</v>
      </c>
      <c r="D155" s="4"/>
      <c r="E155" s="4"/>
      <c r="F155" s="4"/>
      <c r="G155" s="4">
        <v>1.09212854E8</v>
      </c>
      <c r="H155" s="3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8"/>
      <c r="W155" s="4"/>
      <c r="X155" s="4"/>
      <c r="Y155" s="4"/>
    </row>
    <row r="156">
      <c r="A156" s="11">
        <v>149.0</v>
      </c>
      <c r="B156" s="2"/>
      <c r="C156" s="25">
        <v>149.0</v>
      </c>
      <c r="D156" s="4"/>
      <c r="E156" s="4"/>
      <c r="F156" s="4"/>
      <c r="G156" s="4">
        <v>1.04196351E8</v>
      </c>
      <c r="H156" s="3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8"/>
      <c r="W156" s="4"/>
      <c r="X156" s="4"/>
      <c r="Y156" s="4"/>
    </row>
    <row r="157">
      <c r="A157" s="11">
        <v>150.0</v>
      </c>
      <c r="B157" s="2"/>
      <c r="C157" s="25">
        <v>150.0</v>
      </c>
      <c r="G157" s="59">
        <v>1.30506096E8</v>
      </c>
      <c r="H157" s="29"/>
      <c r="V157" s="5"/>
    </row>
    <row r="158">
      <c r="A158" s="11"/>
      <c r="B158" s="2"/>
      <c r="G158" s="4">
        <f>sum(G7:G157)</f>
        <v>947711515</v>
      </c>
      <c r="H158" s="60">
        <v>1.1574074074074074E-8</v>
      </c>
      <c r="V158" s="5"/>
    </row>
    <row r="159">
      <c r="A159" s="1"/>
      <c r="B159" s="2"/>
      <c r="G159" s="39">
        <f>G158*H158</f>
        <v>10.96888328</v>
      </c>
      <c r="H159" s="29"/>
      <c r="V159" s="5"/>
    </row>
    <row r="160">
      <c r="A160" s="1"/>
      <c r="B160" s="2"/>
      <c r="G160" s="4"/>
      <c r="H160" s="29"/>
      <c r="V160" s="5"/>
    </row>
    <row r="161">
      <c r="A161" s="1"/>
      <c r="B161" s="2"/>
      <c r="H161" s="29"/>
      <c r="V161" s="5"/>
    </row>
    <row r="162">
      <c r="A162" s="1"/>
      <c r="B162" s="2"/>
      <c r="G162" s="4"/>
      <c r="H162" s="29"/>
      <c r="V162" s="5"/>
    </row>
    <row r="163">
      <c r="A163" s="1"/>
      <c r="B163" s="2"/>
      <c r="G163" s="4"/>
      <c r="H163" s="29"/>
      <c r="V163" s="5"/>
    </row>
    <row r="164">
      <c r="A164" s="1"/>
      <c r="B164" s="2"/>
      <c r="G164" s="4"/>
      <c r="H164" s="29"/>
      <c r="V164" s="5"/>
    </row>
    <row r="165">
      <c r="A165" s="1"/>
      <c r="B165" s="2"/>
      <c r="G165" s="4"/>
      <c r="V165" s="5"/>
    </row>
    <row r="166">
      <c r="A166" s="1"/>
      <c r="B166" s="2"/>
      <c r="G166" s="4"/>
      <c r="V166" s="5"/>
    </row>
    <row r="167">
      <c r="A167" s="1"/>
      <c r="B167" s="2"/>
      <c r="G167" s="4"/>
      <c r="V167" s="5"/>
    </row>
    <row r="168">
      <c r="A168" s="1"/>
      <c r="B168" s="2"/>
      <c r="C168" s="3"/>
      <c r="G168" s="4"/>
      <c r="V168" s="5"/>
    </row>
    <row r="169">
      <c r="A169" s="1"/>
      <c r="B169" s="2"/>
      <c r="C169" s="3"/>
      <c r="G169" s="4"/>
      <c r="V169" s="5"/>
    </row>
    <row r="170">
      <c r="A170" s="1"/>
      <c r="B170" s="2"/>
      <c r="C170" s="3"/>
      <c r="G170" s="4"/>
      <c r="V170" s="5"/>
    </row>
    <row r="171">
      <c r="A171" s="1"/>
      <c r="B171" s="2"/>
      <c r="C171" s="3"/>
      <c r="G171" s="4"/>
      <c r="V171" s="5"/>
    </row>
    <row r="172">
      <c r="A172" s="1"/>
      <c r="B172" s="2"/>
      <c r="C172" s="3"/>
      <c r="G172" s="4"/>
      <c r="V172" s="5"/>
    </row>
    <row r="173">
      <c r="A173" s="1"/>
      <c r="B173" s="2"/>
      <c r="C173" s="3"/>
      <c r="G173" s="4"/>
      <c r="V173" s="5"/>
    </row>
    <row r="174">
      <c r="A174" s="1"/>
      <c r="B174" s="2"/>
      <c r="C174" s="3"/>
      <c r="G174" s="4"/>
      <c r="V174" s="5"/>
    </row>
    <row r="175">
      <c r="A175" s="1"/>
      <c r="B175" s="2"/>
      <c r="C175" s="3"/>
      <c r="G175" s="4"/>
      <c r="V175" s="5"/>
    </row>
    <row r="176">
      <c r="A176" s="1"/>
      <c r="B176" s="2"/>
      <c r="C176" s="3"/>
      <c r="G176" s="4"/>
      <c r="V176" s="5"/>
    </row>
    <row r="177">
      <c r="A177" s="1"/>
      <c r="B177" s="2"/>
      <c r="C177" s="3"/>
      <c r="G177" s="4"/>
      <c r="V177" s="5"/>
    </row>
    <row r="178">
      <c r="A178" s="1"/>
      <c r="B178" s="2"/>
      <c r="C178" s="3"/>
      <c r="G178" s="4"/>
      <c r="V178" s="5"/>
    </row>
    <row r="179">
      <c r="A179" s="1"/>
      <c r="B179" s="2"/>
      <c r="C179" s="3"/>
      <c r="G179" s="4"/>
      <c r="V179" s="5"/>
    </row>
    <row r="180">
      <c r="A180" s="1"/>
      <c r="B180" s="2"/>
      <c r="C180" s="3"/>
      <c r="G180" s="4"/>
      <c r="V180" s="5"/>
    </row>
    <row r="181">
      <c r="A181" s="1"/>
      <c r="B181" s="2"/>
      <c r="C181" s="3"/>
      <c r="G181" s="4"/>
      <c r="V181" s="5"/>
    </row>
    <row r="182">
      <c r="A182" s="1"/>
      <c r="B182" s="2"/>
      <c r="C182" s="3"/>
      <c r="G182" s="4"/>
      <c r="V182" s="5"/>
    </row>
    <row r="183">
      <c r="A183" s="1"/>
      <c r="B183" s="2"/>
      <c r="C183" s="3"/>
      <c r="G183" s="4"/>
      <c r="V183" s="5"/>
    </row>
    <row r="184">
      <c r="A184" s="1"/>
      <c r="B184" s="2"/>
      <c r="C184" s="3"/>
      <c r="G184" s="4"/>
      <c r="V184" s="5"/>
    </row>
    <row r="185">
      <c r="A185" s="1"/>
      <c r="B185" s="2"/>
      <c r="C185" s="3"/>
      <c r="G185" s="4"/>
      <c r="V185" s="5"/>
    </row>
    <row r="186">
      <c r="A186" s="1"/>
      <c r="B186" s="2"/>
      <c r="C186" s="3"/>
      <c r="G186" s="4"/>
      <c r="V186" s="5"/>
    </row>
    <row r="187">
      <c r="A187" s="1"/>
      <c r="B187" s="2"/>
      <c r="C187" s="3"/>
      <c r="G187" s="4"/>
      <c r="V187" s="5"/>
    </row>
    <row r="188">
      <c r="A188" s="1"/>
      <c r="B188" s="2"/>
      <c r="C188" s="3"/>
      <c r="G188" s="4"/>
      <c r="V188" s="5"/>
    </row>
    <row r="189">
      <c r="A189" s="1"/>
      <c r="B189" s="2"/>
      <c r="C189" s="3"/>
      <c r="G189" s="4"/>
      <c r="V189" s="5"/>
    </row>
    <row r="190">
      <c r="A190" s="1"/>
      <c r="B190" s="2"/>
      <c r="C190" s="3"/>
      <c r="G190" s="4"/>
      <c r="V190" s="5"/>
    </row>
    <row r="191">
      <c r="A191" s="1"/>
      <c r="B191" s="2"/>
      <c r="C191" s="3"/>
      <c r="G191" s="4"/>
      <c r="V191" s="5"/>
    </row>
    <row r="192">
      <c r="A192" s="1"/>
      <c r="B192" s="2"/>
      <c r="C192" s="3"/>
      <c r="G192" s="4"/>
      <c r="V192" s="5"/>
    </row>
    <row r="193">
      <c r="A193" s="1"/>
      <c r="B193" s="2"/>
      <c r="C193" s="3"/>
      <c r="G193" s="4"/>
      <c r="V193" s="5"/>
    </row>
    <row r="194">
      <c r="A194" s="1"/>
      <c r="B194" s="2"/>
      <c r="C194" s="3"/>
      <c r="G194" s="4"/>
      <c r="V194" s="5"/>
    </row>
    <row r="195">
      <c r="A195" s="1"/>
      <c r="B195" s="2"/>
      <c r="C195" s="3"/>
      <c r="G195" s="4"/>
      <c r="V195" s="5"/>
    </row>
    <row r="196">
      <c r="A196" s="1"/>
      <c r="B196" s="2"/>
      <c r="C196" s="3"/>
      <c r="G196" s="4"/>
      <c r="V196" s="5"/>
    </row>
    <row r="197">
      <c r="A197" s="1"/>
      <c r="B197" s="2"/>
      <c r="C197" s="3"/>
      <c r="G197" s="4"/>
      <c r="V197" s="5"/>
    </row>
    <row r="198">
      <c r="A198" s="1"/>
      <c r="B198" s="2"/>
      <c r="C198" s="3"/>
      <c r="G198" s="4"/>
      <c r="V198" s="5"/>
    </row>
    <row r="199">
      <c r="A199" s="1"/>
      <c r="B199" s="2"/>
      <c r="C199" s="3"/>
      <c r="G199" s="4"/>
      <c r="V199" s="5"/>
    </row>
    <row r="200">
      <c r="A200" s="1"/>
      <c r="B200" s="2"/>
      <c r="C200" s="3"/>
      <c r="G200" s="4"/>
      <c r="V200" s="5"/>
    </row>
    <row r="201">
      <c r="A201" s="1"/>
      <c r="B201" s="2"/>
      <c r="C201" s="3"/>
      <c r="G201" s="4"/>
      <c r="V201" s="5"/>
    </row>
    <row r="202">
      <c r="A202" s="1"/>
      <c r="B202" s="2"/>
      <c r="C202" s="3"/>
      <c r="G202" s="4"/>
      <c r="V202" s="5"/>
    </row>
    <row r="203">
      <c r="A203" s="1"/>
      <c r="B203" s="2"/>
      <c r="C203" s="3"/>
      <c r="G203" s="4"/>
      <c r="V203" s="5"/>
    </row>
    <row r="204">
      <c r="A204" s="1"/>
      <c r="B204" s="2"/>
      <c r="C204" s="3"/>
      <c r="G204" s="4"/>
      <c r="V204" s="5"/>
    </row>
    <row r="205">
      <c r="A205" s="1"/>
      <c r="B205" s="2"/>
      <c r="C205" s="3"/>
      <c r="G205" s="4"/>
      <c r="V205" s="5"/>
    </row>
    <row r="206">
      <c r="A206" s="1"/>
      <c r="B206" s="2"/>
      <c r="C206" s="3"/>
      <c r="G206" s="4"/>
      <c r="V206" s="5"/>
    </row>
    <row r="207">
      <c r="A207" s="1"/>
      <c r="B207" s="2"/>
      <c r="C207" s="3"/>
      <c r="G207" s="4"/>
      <c r="V207" s="5"/>
    </row>
    <row r="208">
      <c r="A208" s="1"/>
      <c r="B208" s="2"/>
      <c r="C208" s="3"/>
      <c r="G208" s="4"/>
      <c r="V208" s="5"/>
    </row>
    <row r="209">
      <c r="A209" s="1"/>
      <c r="B209" s="2"/>
      <c r="C209" s="3"/>
      <c r="G209" s="4"/>
      <c r="V209" s="5"/>
    </row>
    <row r="210">
      <c r="A210" s="1"/>
      <c r="B210" s="2"/>
      <c r="C210" s="3"/>
      <c r="G210" s="4"/>
      <c r="V210" s="5"/>
    </row>
    <row r="211">
      <c r="A211" s="1"/>
      <c r="B211" s="2"/>
      <c r="C211" s="3"/>
      <c r="G211" s="4"/>
      <c r="V211" s="5"/>
    </row>
    <row r="212">
      <c r="A212" s="1"/>
      <c r="B212" s="2"/>
      <c r="C212" s="3"/>
      <c r="G212" s="4"/>
      <c r="V212" s="5"/>
    </row>
    <row r="213">
      <c r="A213" s="1"/>
      <c r="B213" s="2"/>
      <c r="C213" s="3"/>
      <c r="G213" s="4"/>
      <c r="V213" s="5"/>
    </row>
    <row r="214">
      <c r="A214" s="1"/>
      <c r="B214" s="2"/>
      <c r="C214" s="3"/>
      <c r="G214" s="4"/>
      <c r="V214" s="5"/>
    </row>
    <row r="215">
      <c r="A215" s="1"/>
      <c r="B215" s="2"/>
      <c r="C215" s="3"/>
      <c r="G215" s="4"/>
      <c r="V215" s="5"/>
    </row>
    <row r="216">
      <c r="A216" s="1"/>
      <c r="B216" s="2"/>
      <c r="C216" s="3"/>
      <c r="G216" s="4"/>
      <c r="V216" s="5"/>
    </row>
    <row r="217">
      <c r="A217" s="1"/>
      <c r="B217" s="2"/>
      <c r="C217" s="3"/>
      <c r="G217" s="4"/>
      <c r="V217" s="5"/>
    </row>
    <row r="218">
      <c r="A218" s="1"/>
      <c r="B218" s="2"/>
      <c r="C218" s="3"/>
      <c r="G218" s="4"/>
      <c r="V218" s="5"/>
    </row>
    <row r="219">
      <c r="A219" s="1"/>
      <c r="B219" s="2"/>
      <c r="C219" s="3"/>
      <c r="G219" s="4"/>
      <c r="V219" s="5"/>
    </row>
    <row r="220">
      <c r="A220" s="1"/>
      <c r="B220" s="2"/>
      <c r="C220" s="3"/>
      <c r="G220" s="4"/>
      <c r="V220" s="5"/>
    </row>
    <row r="221">
      <c r="A221" s="1"/>
      <c r="B221" s="2"/>
      <c r="C221" s="3"/>
      <c r="G221" s="4"/>
      <c r="V221" s="5"/>
    </row>
    <row r="222">
      <c r="A222" s="1"/>
      <c r="B222" s="2"/>
      <c r="C222" s="3"/>
      <c r="G222" s="4"/>
      <c r="V222" s="5"/>
    </row>
    <row r="223">
      <c r="A223" s="1"/>
      <c r="B223" s="2"/>
      <c r="C223" s="3"/>
      <c r="G223" s="4"/>
      <c r="V223" s="5"/>
    </row>
    <row r="224">
      <c r="A224" s="1"/>
      <c r="B224" s="2"/>
      <c r="C224" s="3"/>
      <c r="G224" s="4"/>
      <c r="V224" s="5"/>
    </row>
    <row r="225">
      <c r="A225" s="1"/>
      <c r="B225" s="2"/>
      <c r="C225" s="3"/>
      <c r="G225" s="4"/>
      <c r="V225" s="5"/>
    </row>
    <row r="226">
      <c r="A226" s="1"/>
      <c r="B226" s="2"/>
      <c r="C226" s="3"/>
      <c r="G226" s="4"/>
      <c r="V226" s="5"/>
    </row>
    <row r="227">
      <c r="A227" s="1"/>
      <c r="B227" s="2"/>
      <c r="C227" s="3"/>
      <c r="G227" s="4"/>
      <c r="V227" s="5"/>
    </row>
    <row r="228">
      <c r="A228" s="1"/>
      <c r="B228" s="2"/>
      <c r="C228" s="3"/>
      <c r="G228" s="4"/>
      <c r="V228" s="5"/>
    </row>
    <row r="229">
      <c r="A229" s="1"/>
      <c r="B229" s="2"/>
      <c r="C229" s="3"/>
      <c r="G229" s="4"/>
      <c r="V229" s="5"/>
    </row>
    <row r="230">
      <c r="A230" s="1"/>
      <c r="B230" s="2"/>
      <c r="C230" s="3"/>
      <c r="G230" s="4"/>
      <c r="V230" s="5"/>
    </row>
    <row r="231">
      <c r="A231" s="1"/>
      <c r="B231" s="2"/>
      <c r="C231" s="3"/>
      <c r="G231" s="4"/>
      <c r="V231" s="5"/>
    </row>
    <row r="232">
      <c r="A232" s="1"/>
      <c r="B232" s="2"/>
      <c r="C232" s="3"/>
      <c r="G232" s="4"/>
      <c r="V232" s="5"/>
    </row>
    <row r="233">
      <c r="A233" s="1"/>
      <c r="B233" s="2"/>
      <c r="C233" s="3"/>
      <c r="G233" s="4"/>
      <c r="V233" s="5"/>
    </row>
    <row r="234">
      <c r="A234" s="1"/>
      <c r="B234" s="2"/>
      <c r="C234" s="3"/>
      <c r="G234" s="4"/>
      <c r="V234" s="5"/>
    </row>
    <row r="235">
      <c r="A235" s="1"/>
      <c r="B235" s="2"/>
      <c r="C235" s="3"/>
      <c r="G235" s="4"/>
      <c r="V235" s="5"/>
    </row>
    <row r="236">
      <c r="A236" s="1"/>
      <c r="B236" s="2"/>
      <c r="C236" s="3"/>
      <c r="G236" s="4"/>
      <c r="V236" s="5"/>
    </row>
    <row r="237">
      <c r="A237" s="1"/>
      <c r="B237" s="2"/>
      <c r="C237" s="3"/>
      <c r="G237" s="4"/>
      <c r="V237" s="5"/>
    </row>
    <row r="238">
      <c r="A238" s="1"/>
      <c r="B238" s="2"/>
      <c r="C238" s="3"/>
      <c r="G238" s="4"/>
      <c r="V238" s="5"/>
    </row>
    <row r="239">
      <c r="A239" s="1"/>
      <c r="B239" s="2"/>
      <c r="C239" s="3"/>
      <c r="G239" s="4"/>
      <c r="V239" s="5"/>
    </row>
    <row r="240">
      <c r="A240" s="1"/>
      <c r="B240" s="2"/>
      <c r="C240" s="3"/>
      <c r="G240" s="4"/>
      <c r="V240" s="5"/>
    </row>
    <row r="241">
      <c r="A241" s="1"/>
      <c r="B241" s="2"/>
      <c r="C241" s="3"/>
      <c r="G241" s="4"/>
      <c r="V241" s="5"/>
    </row>
    <row r="242">
      <c r="A242" s="1"/>
      <c r="B242" s="2"/>
      <c r="C242" s="3"/>
      <c r="G242" s="4"/>
      <c r="V242" s="5"/>
    </row>
    <row r="243">
      <c r="A243" s="1"/>
      <c r="B243" s="2"/>
      <c r="C243" s="3"/>
      <c r="G243" s="4"/>
      <c r="V243" s="5"/>
    </row>
    <row r="244">
      <c r="A244" s="1"/>
      <c r="B244" s="2"/>
      <c r="C244" s="3"/>
      <c r="G244" s="4"/>
      <c r="V244" s="5"/>
    </row>
    <row r="245">
      <c r="A245" s="1"/>
      <c r="B245" s="2"/>
      <c r="C245" s="3"/>
      <c r="G245" s="4"/>
      <c r="V245" s="5"/>
    </row>
    <row r="246">
      <c r="A246" s="1"/>
      <c r="B246" s="2"/>
      <c r="C246" s="3"/>
      <c r="G246" s="4"/>
      <c r="V246" s="5"/>
    </row>
    <row r="247">
      <c r="A247" s="1"/>
      <c r="B247" s="2"/>
      <c r="C247" s="3"/>
      <c r="G247" s="4"/>
      <c r="V247" s="5"/>
    </row>
    <row r="248">
      <c r="A248" s="1"/>
      <c r="B248" s="2"/>
      <c r="C248" s="3"/>
      <c r="G248" s="4"/>
      <c r="V248" s="5"/>
    </row>
    <row r="249">
      <c r="A249" s="1"/>
      <c r="B249" s="2"/>
      <c r="C249" s="3"/>
      <c r="G249" s="4"/>
      <c r="V249" s="5"/>
    </row>
    <row r="250">
      <c r="A250" s="1"/>
      <c r="B250" s="2"/>
      <c r="C250" s="3"/>
      <c r="G250" s="4"/>
      <c r="V250" s="5"/>
    </row>
    <row r="251">
      <c r="A251" s="1"/>
      <c r="B251" s="2"/>
      <c r="C251" s="3"/>
      <c r="G251" s="4"/>
      <c r="V251" s="5"/>
    </row>
    <row r="252">
      <c r="A252" s="1"/>
      <c r="B252" s="2"/>
      <c r="C252" s="3"/>
      <c r="G252" s="4"/>
      <c r="V252" s="5"/>
    </row>
    <row r="253">
      <c r="A253" s="1"/>
      <c r="B253" s="2"/>
      <c r="C253" s="3"/>
      <c r="G253" s="4"/>
      <c r="V253" s="5"/>
    </row>
    <row r="254">
      <c r="A254" s="1"/>
      <c r="B254" s="2"/>
      <c r="C254" s="3"/>
      <c r="G254" s="4"/>
      <c r="V254" s="5"/>
    </row>
    <row r="255">
      <c r="A255" s="1"/>
      <c r="B255" s="2"/>
      <c r="C255" s="3"/>
      <c r="G255" s="4"/>
      <c r="V255" s="5"/>
    </row>
    <row r="256">
      <c r="A256" s="1"/>
      <c r="B256" s="2"/>
      <c r="C256" s="3"/>
      <c r="G256" s="4"/>
      <c r="V256" s="5"/>
    </row>
    <row r="257">
      <c r="A257" s="1"/>
      <c r="B257" s="2"/>
      <c r="C257" s="3"/>
      <c r="G257" s="4"/>
      <c r="V257" s="5"/>
    </row>
    <row r="258">
      <c r="A258" s="1"/>
      <c r="B258" s="2"/>
      <c r="C258" s="3"/>
      <c r="G258" s="4"/>
      <c r="V258" s="5"/>
    </row>
    <row r="259">
      <c r="A259" s="1"/>
      <c r="B259" s="2"/>
      <c r="C259" s="3"/>
      <c r="G259" s="4"/>
      <c r="V259" s="5"/>
    </row>
    <row r="260">
      <c r="A260" s="1"/>
      <c r="B260" s="2"/>
      <c r="C260" s="3"/>
      <c r="G260" s="4"/>
      <c r="V260" s="5"/>
    </row>
    <row r="261">
      <c r="A261" s="1"/>
      <c r="B261" s="2"/>
      <c r="C261" s="3"/>
      <c r="G261" s="4"/>
      <c r="V261" s="5"/>
    </row>
    <row r="262">
      <c r="A262" s="1"/>
      <c r="B262" s="2"/>
      <c r="C262" s="3"/>
      <c r="G262" s="4"/>
      <c r="V262" s="5"/>
    </row>
    <row r="263">
      <c r="A263" s="1"/>
      <c r="B263" s="2"/>
      <c r="C263" s="3"/>
      <c r="G263" s="4"/>
      <c r="V263" s="5"/>
    </row>
    <row r="264">
      <c r="A264" s="1"/>
      <c r="B264" s="2"/>
      <c r="C264" s="3"/>
      <c r="G264" s="4"/>
      <c r="V264" s="5"/>
    </row>
    <row r="265">
      <c r="A265" s="1"/>
      <c r="B265" s="2"/>
      <c r="C265" s="3"/>
      <c r="G265" s="4"/>
      <c r="V265" s="5"/>
    </row>
    <row r="266">
      <c r="A266" s="1"/>
      <c r="B266" s="2"/>
      <c r="C266" s="3"/>
      <c r="G266" s="4"/>
      <c r="V266" s="5"/>
    </row>
    <row r="267">
      <c r="A267" s="1"/>
      <c r="B267" s="2"/>
      <c r="C267" s="3"/>
      <c r="G267" s="4"/>
      <c r="V267" s="5"/>
    </row>
    <row r="268">
      <c r="A268" s="1"/>
      <c r="B268" s="2"/>
      <c r="C268" s="3"/>
      <c r="G268" s="4"/>
      <c r="V268" s="5"/>
    </row>
    <row r="269">
      <c r="A269" s="1"/>
      <c r="B269" s="2"/>
      <c r="C269" s="3"/>
      <c r="G269" s="4"/>
      <c r="V269" s="5"/>
    </row>
    <row r="270">
      <c r="A270" s="1"/>
      <c r="B270" s="2"/>
      <c r="C270" s="3"/>
      <c r="G270" s="4"/>
      <c r="V270" s="5"/>
    </row>
    <row r="271">
      <c r="A271" s="1"/>
      <c r="B271" s="2"/>
      <c r="C271" s="3"/>
      <c r="G271" s="4"/>
      <c r="V271" s="5"/>
    </row>
    <row r="272">
      <c r="A272" s="1"/>
      <c r="B272" s="2"/>
      <c r="C272" s="3"/>
      <c r="G272" s="4"/>
      <c r="V272" s="5"/>
    </row>
    <row r="273">
      <c r="A273" s="1"/>
      <c r="B273" s="2"/>
      <c r="C273" s="3"/>
      <c r="G273" s="4"/>
      <c r="V273" s="5"/>
    </row>
    <row r="274">
      <c r="A274" s="1"/>
      <c r="B274" s="2"/>
      <c r="C274" s="3"/>
      <c r="G274" s="4"/>
      <c r="V274" s="5"/>
    </row>
    <row r="275">
      <c r="A275" s="1"/>
      <c r="B275" s="2"/>
      <c r="C275" s="3"/>
      <c r="G275" s="4"/>
      <c r="V275" s="5"/>
    </row>
    <row r="276">
      <c r="A276" s="1"/>
      <c r="B276" s="2"/>
      <c r="C276" s="3"/>
      <c r="G276" s="4"/>
      <c r="V276" s="5"/>
    </row>
    <row r="277">
      <c r="A277" s="1"/>
      <c r="B277" s="2"/>
      <c r="C277" s="3"/>
      <c r="G277" s="4"/>
      <c r="V277" s="5"/>
    </row>
    <row r="278">
      <c r="A278" s="1"/>
      <c r="B278" s="2"/>
      <c r="C278" s="3"/>
      <c r="G278" s="4"/>
      <c r="V278" s="5"/>
    </row>
    <row r="279">
      <c r="A279" s="1"/>
      <c r="B279" s="2"/>
      <c r="C279" s="3"/>
      <c r="G279" s="4"/>
      <c r="V279" s="5"/>
    </row>
    <row r="280">
      <c r="A280" s="1"/>
      <c r="B280" s="2"/>
      <c r="C280" s="3"/>
      <c r="G280" s="4"/>
      <c r="V280" s="5"/>
    </row>
    <row r="281">
      <c r="A281" s="1"/>
      <c r="B281" s="2"/>
      <c r="C281" s="3"/>
      <c r="G281" s="4"/>
      <c r="V281" s="5"/>
    </row>
    <row r="282">
      <c r="A282" s="1"/>
      <c r="B282" s="2"/>
      <c r="C282" s="3"/>
      <c r="G282" s="4"/>
      <c r="V282" s="5"/>
    </row>
    <row r="283">
      <c r="A283" s="1"/>
      <c r="B283" s="2"/>
      <c r="C283" s="3"/>
      <c r="G283" s="4"/>
      <c r="V283" s="5"/>
    </row>
    <row r="284">
      <c r="A284" s="1"/>
      <c r="B284" s="2"/>
      <c r="C284" s="3"/>
      <c r="G284" s="4"/>
      <c r="V284" s="5"/>
    </row>
    <row r="285">
      <c r="A285" s="1"/>
      <c r="B285" s="2"/>
      <c r="C285" s="3"/>
      <c r="G285" s="4"/>
      <c r="V285" s="5"/>
    </row>
    <row r="286">
      <c r="A286" s="1"/>
      <c r="B286" s="2"/>
      <c r="C286" s="3"/>
      <c r="G286" s="4"/>
      <c r="V286" s="5"/>
    </row>
    <row r="287">
      <c r="A287" s="1"/>
      <c r="B287" s="2"/>
      <c r="C287" s="3"/>
      <c r="G287" s="4"/>
      <c r="V287" s="5"/>
    </row>
    <row r="288">
      <c r="A288" s="1"/>
      <c r="B288" s="2"/>
      <c r="C288" s="3"/>
      <c r="G288" s="4"/>
      <c r="V288" s="5"/>
    </row>
    <row r="289">
      <c r="A289" s="1"/>
      <c r="B289" s="2"/>
      <c r="C289" s="3"/>
      <c r="G289" s="4"/>
      <c r="V289" s="5"/>
    </row>
    <row r="290">
      <c r="A290" s="1"/>
      <c r="B290" s="2"/>
      <c r="C290" s="3"/>
      <c r="G290" s="4"/>
      <c r="V290" s="5"/>
    </row>
    <row r="291">
      <c r="A291" s="1"/>
      <c r="B291" s="2"/>
      <c r="C291" s="3"/>
      <c r="G291" s="4"/>
      <c r="V291" s="5"/>
    </row>
    <row r="292">
      <c r="A292" s="1"/>
      <c r="B292" s="2"/>
      <c r="C292" s="3"/>
      <c r="G292" s="4"/>
      <c r="V292" s="5"/>
    </row>
    <row r="293">
      <c r="A293" s="1"/>
      <c r="B293" s="2"/>
      <c r="C293" s="3"/>
      <c r="G293" s="4"/>
      <c r="V293" s="5"/>
    </row>
    <row r="294">
      <c r="A294" s="1"/>
      <c r="B294" s="2"/>
      <c r="C294" s="3"/>
      <c r="G294" s="4"/>
      <c r="V294" s="5"/>
    </row>
    <row r="295">
      <c r="A295" s="1"/>
      <c r="B295" s="2"/>
      <c r="C295" s="3"/>
      <c r="G295" s="4"/>
      <c r="V295" s="5"/>
    </row>
    <row r="296">
      <c r="A296" s="1"/>
      <c r="B296" s="2"/>
      <c r="C296" s="3"/>
      <c r="G296" s="4"/>
      <c r="V296" s="5"/>
    </row>
    <row r="297">
      <c r="A297" s="1"/>
      <c r="B297" s="2"/>
      <c r="C297" s="3"/>
      <c r="G297" s="4"/>
      <c r="V297" s="5"/>
    </row>
    <row r="298">
      <c r="A298" s="1"/>
      <c r="B298" s="2"/>
      <c r="C298" s="3"/>
      <c r="G298" s="4"/>
      <c r="V298" s="5"/>
    </row>
    <row r="299">
      <c r="A299" s="1"/>
      <c r="B299" s="2"/>
      <c r="C299" s="3"/>
      <c r="G299" s="4"/>
      <c r="V299" s="5"/>
    </row>
    <row r="300">
      <c r="A300" s="1"/>
      <c r="B300" s="2"/>
      <c r="C300" s="3"/>
      <c r="G300" s="4"/>
      <c r="V300" s="5"/>
    </row>
    <row r="301">
      <c r="A301" s="1"/>
      <c r="B301" s="2"/>
      <c r="C301" s="3"/>
      <c r="G301" s="4"/>
      <c r="V301" s="5"/>
    </row>
    <row r="302">
      <c r="A302" s="1"/>
      <c r="B302" s="2"/>
      <c r="C302" s="3"/>
      <c r="G302" s="4"/>
      <c r="V302" s="5"/>
    </row>
    <row r="303">
      <c r="A303" s="1"/>
      <c r="B303" s="2"/>
      <c r="C303" s="3"/>
      <c r="G303" s="4"/>
      <c r="V303" s="5"/>
    </row>
    <row r="304">
      <c r="A304" s="1"/>
      <c r="B304" s="2"/>
      <c r="C304" s="3"/>
      <c r="G304" s="4"/>
      <c r="V304" s="5"/>
    </row>
    <row r="305">
      <c r="A305" s="1"/>
      <c r="B305" s="2"/>
      <c r="C305" s="3"/>
      <c r="G305" s="4"/>
      <c r="V305" s="5"/>
    </row>
    <row r="306">
      <c r="A306" s="1"/>
      <c r="B306" s="2"/>
      <c r="C306" s="3"/>
      <c r="G306" s="4"/>
      <c r="V306" s="5"/>
    </row>
    <row r="307">
      <c r="A307" s="1"/>
      <c r="B307" s="2"/>
      <c r="C307" s="3"/>
      <c r="G307" s="4"/>
      <c r="V307" s="5"/>
    </row>
    <row r="308">
      <c r="A308" s="1"/>
      <c r="B308" s="2"/>
      <c r="C308" s="3"/>
      <c r="G308" s="4"/>
      <c r="V308" s="5"/>
    </row>
    <row r="309">
      <c r="A309" s="1"/>
      <c r="B309" s="2"/>
      <c r="C309" s="3"/>
      <c r="G309" s="4"/>
      <c r="V309" s="5"/>
    </row>
    <row r="310">
      <c r="A310" s="1"/>
      <c r="B310" s="2"/>
      <c r="C310" s="3"/>
      <c r="G310" s="4"/>
      <c r="V310" s="5"/>
    </row>
    <row r="311">
      <c r="A311" s="1"/>
      <c r="B311" s="2"/>
      <c r="C311" s="3"/>
      <c r="G311" s="4"/>
      <c r="V311" s="5"/>
    </row>
    <row r="312">
      <c r="A312" s="1"/>
      <c r="B312" s="2"/>
      <c r="C312" s="3"/>
      <c r="G312" s="4"/>
      <c r="V312" s="5"/>
    </row>
    <row r="313">
      <c r="A313" s="1"/>
      <c r="B313" s="2"/>
      <c r="C313" s="3"/>
      <c r="G313" s="4"/>
      <c r="V313" s="5"/>
    </row>
    <row r="314">
      <c r="A314" s="1"/>
      <c r="B314" s="2"/>
      <c r="C314" s="3"/>
      <c r="G314" s="4"/>
      <c r="V314" s="5"/>
    </row>
    <row r="315">
      <c r="A315" s="1"/>
      <c r="B315" s="2"/>
      <c r="C315" s="3"/>
      <c r="G315" s="4"/>
      <c r="V315" s="5"/>
    </row>
    <row r="316">
      <c r="A316" s="1"/>
      <c r="B316" s="2"/>
      <c r="C316" s="3"/>
      <c r="G316" s="4"/>
      <c r="V316" s="5"/>
    </row>
    <row r="317">
      <c r="A317" s="1"/>
      <c r="B317" s="2"/>
      <c r="C317" s="3"/>
      <c r="G317" s="4"/>
      <c r="V317" s="5"/>
    </row>
    <row r="318">
      <c r="A318" s="1"/>
      <c r="B318" s="2"/>
      <c r="C318" s="3"/>
      <c r="G318" s="4"/>
      <c r="V318" s="5"/>
    </row>
    <row r="319">
      <c r="A319" s="1"/>
      <c r="B319" s="2"/>
      <c r="C319" s="3"/>
      <c r="G319" s="4"/>
      <c r="V319" s="5"/>
    </row>
    <row r="320">
      <c r="A320" s="1"/>
      <c r="B320" s="2"/>
      <c r="C320" s="3"/>
      <c r="G320" s="4"/>
      <c r="V320" s="5"/>
    </row>
    <row r="321">
      <c r="A321" s="1"/>
      <c r="B321" s="2"/>
      <c r="C321" s="3"/>
      <c r="G321" s="4"/>
      <c r="V321" s="5"/>
    </row>
    <row r="322">
      <c r="A322" s="1"/>
      <c r="B322" s="2"/>
      <c r="C322" s="3"/>
      <c r="G322" s="4"/>
      <c r="V322" s="5"/>
    </row>
    <row r="323">
      <c r="A323" s="1"/>
      <c r="B323" s="2"/>
      <c r="C323" s="3"/>
      <c r="G323" s="4"/>
      <c r="V323" s="5"/>
    </row>
    <row r="324">
      <c r="A324" s="1"/>
      <c r="B324" s="2"/>
      <c r="C324" s="3"/>
      <c r="G324" s="4"/>
      <c r="V324" s="5"/>
    </row>
    <row r="325">
      <c r="A325" s="1"/>
      <c r="B325" s="2"/>
      <c r="C325" s="3"/>
      <c r="G325" s="4"/>
      <c r="V325" s="5"/>
    </row>
    <row r="326">
      <c r="A326" s="1"/>
      <c r="B326" s="2"/>
      <c r="C326" s="3"/>
      <c r="G326" s="4"/>
      <c r="V326" s="5"/>
    </row>
    <row r="327">
      <c r="A327" s="1"/>
      <c r="B327" s="2"/>
      <c r="C327" s="3"/>
      <c r="G327" s="4"/>
      <c r="V327" s="5"/>
    </row>
    <row r="328">
      <c r="A328" s="1"/>
      <c r="B328" s="2"/>
      <c r="C328" s="3"/>
      <c r="G328" s="4"/>
      <c r="V328" s="5"/>
    </row>
    <row r="329">
      <c r="A329" s="1"/>
      <c r="B329" s="2"/>
      <c r="C329" s="3"/>
      <c r="G329" s="4"/>
      <c r="V329" s="5"/>
    </row>
    <row r="330">
      <c r="A330" s="1"/>
      <c r="B330" s="2"/>
      <c r="C330" s="3"/>
      <c r="G330" s="4"/>
      <c r="V330" s="5"/>
    </row>
    <row r="331">
      <c r="A331" s="1"/>
      <c r="B331" s="2"/>
      <c r="C331" s="3"/>
      <c r="G331" s="4"/>
      <c r="V331" s="5"/>
    </row>
    <row r="332">
      <c r="A332" s="1"/>
      <c r="B332" s="2"/>
      <c r="C332" s="3"/>
      <c r="G332" s="4"/>
      <c r="V332" s="5"/>
    </row>
    <row r="333">
      <c r="A333" s="1"/>
      <c r="B333" s="2"/>
      <c r="C333" s="3"/>
      <c r="G333" s="4"/>
      <c r="V333" s="5"/>
    </row>
    <row r="334">
      <c r="A334" s="1"/>
      <c r="B334" s="2"/>
      <c r="C334" s="3"/>
      <c r="G334" s="4"/>
      <c r="V334" s="5"/>
    </row>
    <row r="335">
      <c r="A335" s="1"/>
      <c r="B335" s="2"/>
      <c r="C335" s="3"/>
      <c r="G335" s="4"/>
      <c r="V335" s="5"/>
    </row>
    <row r="336">
      <c r="A336" s="1"/>
      <c r="B336" s="2"/>
      <c r="C336" s="3"/>
      <c r="G336" s="4"/>
      <c r="V336" s="5"/>
    </row>
    <row r="337">
      <c r="A337" s="1"/>
      <c r="B337" s="2"/>
      <c r="C337" s="3"/>
      <c r="G337" s="4"/>
      <c r="V337" s="5"/>
    </row>
    <row r="338">
      <c r="A338" s="1"/>
      <c r="B338" s="2"/>
      <c r="C338" s="3"/>
      <c r="G338" s="4"/>
      <c r="V338" s="5"/>
    </row>
    <row r="339">
      <c r="A339" s="1"/>
      <c r="B339" s="2"/>
      <c r="C339" s="3"/>
      <c r="G339" s="4"/>
      <c r="V339" s="5"/>
    </row>
    <row r="340">
      <c r="A340" s="1"/>
      <c r="B340" s="2"/>
      <c r="C340" s="3"/>
      <c r="G340" s="4"/>
      <c r="V340" s="5"/>
    </row>
    <row r="341">
      <c r="A341" s="1"/>
      <c r="B341" s="2"/>
      <c r="C341" s="3"/>
      <c r="G341" s="4"/>
      <c r="V341" s="5"/>
    </row>
    <row r="342">
      <c r="A342" s="1"/>
      <c r="B342" s="2"/>
      <c r="C342" s="3"/>
      <c r="G342" s="4"/>
      <c r="V342" s="5"/>
    </row>
    <row r="343">
      <c r="A343" s="1"/>
      <c r="B343" s="2"/>
      <c r="C343" s="3"/>
      <c r="G343" s="4"/>
      <c r="V343" s="5"/>
    </row>
    <row r="344">
      <c r="A344" s="1"/>
      <c r="B344" s="2"/>
      <c r="C344" s="3"/>
      <c r="G344" s="4"/>
      <c r="V344" s="5"/>
    </row>
    <row r="345">
      <c r="A345" s="1"/>
      <c r="B345" s="2"/>
      <c r="C345" s="3"/>
      <c r="G345" s="4"/>
      <c r="V345" s="5"/>
    </row>
    <row r="346">
      <c r="A346" s="1"/>
      <c r="B346" s="2"/>
      <c r="C346" s="3"/>
      <c r="G346" s="4"/>
      <c r="V346" s="5"/>
    </row>
    <row r="347">
      <c r="A347" s="1"/>
      <c r="B347" s="2"/>
      <c r="C347" s="3"/>
      <c r="G347" s="4"/>
      <c r="V347" s="5"/>
    </row>
    <row r="348">
      <c r="A348" s="1"/>
      <c r="B348" s="2"/>
      <c r="C348" s="3"/>
      <c r="G348" s="4"/>
      <c r="V348" s="5"/>
    </row>
    <row r="349">
      <c r="A349" s="1"/>
      <c r="B349" s="2"/>
      <c r="C349" s="3"/>
      <c r="G349" s="4"/>
      <c r="V349" s="5"/>
    </row>
    <row r="350">
      <c r="A350" s="1"/>
      <c r="B350" s="2"/>
      <c r="C350" s="3"/>
      <c r="G350" s="4"/>
      <c r="V350" s="5"/>
    </row>
    <row r="351">
      <c r="A351" s="1"/>
      <c r="B351" s="2"/>
      <c r="C351" s="3"/>
      <c r="G351" s="4"/>
      <c r="V351" s="5"/>
    </row>
    <row r="352">
      <c r="A352" s="1"/>
      <c r="B352" s="2"/>
      <c r="C352" s="3"/>
      <c r="G352" s="4"/>
      <c r="V352" s="5"/>
    </row>
    <row r="353">
      <c r="A353" s="1"/>
      <c r="B353" s="2"/>
      <c r="C353" s="3"/>
      <c r="G353" s="4"/>
      <c r="V353" s="5"/>
    </row>
    <row r="354">
      <c r="A354" s="1"/>
      <c r="B354" s="2"/>
      <c r="C354" s="3"/>
      <c r="G354" s="4"/>
      <c r="V354" s="5"/>
    </row>
    <row r="355">
      <c r="A355" s="1"/>
      <c r="B355" s="2"/>
      <c r="C355" s="3"/>
      <c r="G355" s="4"/>
      <c r="V355" s="5"/>
    </row>
    <row r="356">
      <c r="A356" s="1"/>
      <c r="B356" s="2"/>
      <c r="C356" s="3"/>
      <c r="G356" s="4"/>
      <c r="V356" s="5"/>
    </row>
    <row r="357">
      <c r="A357" s="1"/>
      <c r="B357" s="2"/>
      <c r="C357" s="3"/>
      <c r="G357" s="4"/>
      <c r="V357" s="5"/>
    </row>
    <row r="358">
      <c r="A358" s="1"/>
      <c r="B358" s="2"/>
      <c r="C358" s="3"/>
      <c r="G358" s="4"/>
      <c r="V358" s="5"/>
    </row>
    <row r="359">
      <c r="A359" s="1"/>
      <c r="B359" s="2"/>
      <c r="C359" s="3"/>
      <c r="G359" s="4"/>
      <c r="V359" s="5"/>
    </row>
    <row r="360">
      <c r="A360" s="1"/>
      <c r="B360" s="2"/>
      <c r="C360" s="3"/>
      <c r="G360" s="4"/>
      <c r="V360" s="5"/>
    </row>
    <row r="361">
      <c r="A361" s="1"/>
      <c r="B361" s="2"/>
      <c r="C361" s="3"/>
      <c r="G361" s="4"/>
      <c r="V361" s="5"/>
    </row>
    <row r="362">
      <c r="A362" s="1"/>
      <c r="B362" s="2"/>
      <c r="C362" s="3"/>
      <c r="G362" s="4"/>
      <c r="V362" s="5"/>
    </row>
    <row r="363">
      <c r="A363" s="1"/>
      <c r="B363" s="2"/>
      <c r="C363" s="3"/>
      <c r="G363" s="4"/>
      <c r="V363" s="5"/>
    </row>
    <row r="364">
      <c r="A364" s="1"/>
      <c r="B364" s="2"/>
      <c r="C364" s="3"/>
      <c r="G364" s="4"/>
      <c r="V364" s="5"/>
    </row>
    <row r="365">
      <c r="A365" s="1"/>
      <c r="B365" s="2"/>
      <c r="C365" s="3"/>
      <c r="G365" s="4"/>
      <c r="V365" s="5"/>
    </row>
    <row r="366">
      <c r="A366" s="1"/>
      <c r="B366" s="2"/>
      <c r="C366" s="3"/>
      <c r="G366" s="4"/>
      <c r="V366" s="5"/>
    </row>
    <row r="367">
      <c r="A367" s="1"/>
      <c r="B367" s="2"/>
      <c r="C367" s="3"/>
      <c r="G367" s="4"/>
      <c r="V367" s="5"/>
    </row>
    <row r="368">
      <c r="A368" s="1"/>
      <c r="B368" s="2"/>
      <c r="C368" s="3"/>
      <c r="G368" s="4"/>
      <c r="V368" s="5"/>
    </row>
    <row r="369">
      <c r="A369" s="1"/>
      <c r="B369" s="2"/>
      <c r="C369" s="3"/>
      <c r="G369" s="4"/>
      <c r="V369" s="5"/>
    </row>
    <row r="370">
      <c r="A370" s="1"/>
      <c r="B370" s="2"/>
      <c r="C370" s="3"/>
      <c r="G370" s="4"/>
      <c r="V370" s="5"/>
    </row>
    <row r="371">
      <c r="A371" s="1"/>
      <c r="B371" s="2"/>
      <c r="C371" s="3"/>
      <c r="G371" s="4"/>
      <c r="V371" s="5"/>
    </row>
    <row r="372">
      <c r="A372" s="1"/>
      <c r="B372" s="2"/>
      <c r="C372" s="3"/>
      <c r="G372" s="4"/>
      <c r="V372" s="5"/>
    </row>
    <row r="373">
      <c r="A373" s="1"/>
      <c r="B373" s="2"/>
      <c r="C373" s="3"/>
      <c r="G373" s="4"/>
      <c r="V373" s="5"/>
    </row>
    <row r="374">
      <c r="A374" s="1"/>
      <c r="B374" s="2"/>
      <c r="C374" s="3"/>
      <c r="G374" s="4"/>
      <c r="V374" s="5"/>
    </row>
    <row r="375">
      <c r="A375" s="1"/>
      <c r="B375" s="2"/>
      <c r="C375" s="3"/>
      <c r="G375" s="4"/>
      <c r="V375" s="5"/>
    </row>
    <row r="376">
      <c r="A376" s="1"/>
      <c r="B376" s="2"/>
      <c r="C376" s="3"/>
      <c r="G376" s="4"/>
      <c r="V376" s="5"/>
    </row>
    <row r="377">
      <c r="A377" s="1"/>
      <c r="B377" s="2"/>
      <c r="C377" s="3"/>
      <c r="G377" s="4"/>
      <c r="V377" s="5"/>
    </row>
    <row r="378">
      <c r="A378" s="1"/>
      <c r="B378" s="2"/>
      <c r="C378" s="3"/>
      <c r="G378" s="4"/>
      <c r="V378" s="5"/>
    </row>
    <row r="379">
      <c r="A379" s="1"/>
      <c r="B379" s="2"/>
      <c r="C379" s="3"/>
      <c r="G379" s="4"/>
      <c r="V379" s="5"/>
    </row>
    <row r="380">
      <c r="A380" s="1"/>
      <c r="B380" s="2"/>
      <c r="C380" s="3"/>
      <c r="G380" s="4"/>
      <c r="V380" s="5"/>
    </row>
    <row r="381">
      <c r="A381" s="1"/>
      <c r="B381" s="2"/>
      <c r="C381" s="3"/>
      <c r="G381" s="4"/>
      <c r="V381" s="5"/>
    </row>
    <row r="382">
      <c r="A382" s="1"/>
      <c r="B382" s="2"/>
      <c r="C382" s="3"/>
      <c r="G382" s="4"/>
      <c r="V382" s="5"/>
    </row>
    <row r="383">
      <c r="A383" s="1"/>
      <c r="B383" s="2"/>
      <c r="C383" s="3"/>
      <c r="G383" s="4"/>
      <c r="V383" s="5"/>
    </row>
    <row r="384">
      <c r="A384" s="1"/>
      <c r="B384" s="2"/>
      <c r="C384" s="3"/>
      <c r="G384" s="4"/>
      <c r="V384" s="5"/>
    </row>
    <row r="385">
      <c r="A385" s="1"/>
      <c r="B385" s="2"/>
      <c r="C385" s="3"/>
      <c r="G385" s="4"/>
      <c r="V385" s="5"/>
    </row>
    <row r="386">
      <c r="A386" s="1"/>
      <c r="B386" s="2"/>
      <c r="C386" s="3"/>
      <c r="G386" s="4"/>
      <c r="V386" s="5"/>
    </row>
    <row r="387">
      <c r="A387" s="1"/>
      <c r="B387" s="2"/>
      <c r="C387" s="3"/>
      <c r="G387" s="4"/>
      <c r="V387" s="5"/>
    </row>
    <row r="388">
      <c r="A388" s="1"/>
      <c r="B388" s="2"/>
      <c r="C388" s="3"/>
      <c r="G388" s="4"/>
      <c r="V388" s="5"/>
    </row>
    <row r="389">
      <c r="A389" s="1"/>
      <c r="B389" s="2"/>
      <c r="C389" s="3"/>
      <c r="G389" s="4"/>
      <c r="V389" s="5"/>
    </row>
    <row r="390">
      <c r="A390" s="1"/>
      <c r="B390" s="2"/>
      <c r="C390" s="3"/>
      <c r="G390" s="4"/>
      <c r="V390" s="5"/>
    </row>
    <row r="391">
      <c r="A391" s="1"/>
      <c r="B391" s="2"/>
      <c r="C391" s="3"/>
      <c r="G391" s="4"/>
      <c r="V391" s="5"/>
    </row>
    <row r="392">
      <c r="A392" s="1"/>
      <c r="B392" s="2"/>
      <c r="C392" s="3"/>
      <c r="G392" s="4"/>
      <c r="V392" s="5"/>
    </row>
    <row r="393">
      <c r="A393" s="1"/>
      <c r="B393" s="2"/>
      <c r="C393" s="3"/>
      <c r="G393" s="4"/>
      <c r="V393" s="5"/>
    </row>
    <row r="394">
      <c r="A394" s="1"/>
      <c r="B394" s="2"/>
      <c r="C394" s="3"/>
      <c r="G394" s="4"/>
      <c r="V394" s="5"/>
    </row>
    <row r="395">
      <c r="A395" s="1"/>
      <c r="B395" s="2"/>
      <c r="C395" s="3"/>
      <c r="G395" s="4"/>
      <c r="V395" s="5"/>
    </row>
    <row r="396">
      <c r="A396" s="1"/>
      <c r="B396" s="2"/>
      <c r="C396" s="3"/>
      <c r="G396" s="4"/>
      <c r="V396" s="5"/>
    </row>
    <row r="397">
      <c r="A397" s="1"/>
      <c r="B397" s="2"/>
      <c r="C397" s="3"/>
      <c r="G397" s="4"/>
      <c r="V397" s="5"/>
    </row>
    <row r="398">
      <c r="A398" s="1"/>
      <c r="B398" s="2"/>
      <c r="C398" s="3"/>
      <c r="G398" s="4"/>
      <c r="V398" s="5"/>
    </row>
    <row r="399">
      <c r="A399" s="1"/>
      <c r="B399" s="2"/>
      <c r="C399" s="3"/>
      <c r="G399" s="4"/>
      <c r="V399" s="5"/>
    </row>
    <row r="400">
      <c r="A400" s="1"/>
      <c r="B400" s="2"/>
      <c r="C400" s="3"/>
      <c r="G400" s="4"/>
      <c r="V400" s="5"/>
    </row>
    <row r="401">
      <c r="A401" s="1"/>
      <c r="B401" s="2"/>
      <c r="C401" s="3"/>
      <c r="G401" s="4"/>
      <c r="V401" s="5"/>
    </row>
    <row r="402">
      <c r="A402" s="1"/>
      <c r="B402" s="2"/>
      <c r="C402" s="3"/>
      <c r="G402" s="4"/>
      <c r="V402" s="5"/>
    </row>
    <row r="403">
      <c r="A403" s="1"/>
      <c r="B403" s="2"/>
      <c r="C403" s="3"/>
      <c r="G403" s="4"/>
      <c r="V403" s="5"/>
    </row>
    <row r="404">
      <c r="A404" s="1"/>
      <c r="B404" s="2"/>
      <c r="C404" s="3"/>
      <c r="G404" s="4"/>
      <c r="V404" s="5"/>
    </row>
    <row r="405">
      <c r="A405" s="1"/>
      <c r="B405" s="2"/>
      <c r="C405" s="3"/>
      <c r="G405" s="4"/>
      <c r="V405" s="5"/>
    </row>
    <row r="406">
      <c r="A406" s="1"/>
      <c r="B406" s="2"/>
      <c r="C406" s="3"/>
      <c r="G406" s="4"/>
      <c r="V406" s="5"/>
    </row>
    <row r="407">
      <c r="A407" s="1"/>
      <c r="B407" s="2"/>
      <c r="C407" s="3"/>
      <c r="G407" s="4"/>
      <c r="V407" s="5"/>
    </row>
    <row r="408">
      <c r="A408" s="1"/>
      <c r="B408" s="2"/>
      <c r="C408" s="3"/>
      <c r="G408" s="4"/>
      <c r="V408" s="5"/>
    </row>
    <row r="409">
      <c r="A409" s="1"/>
      <c r="B409" s="2"/>
      <c r="C409" s="3"/>
      <c r="G409" s="4"/>
      <c r="V409" s="5"/>
    </row>
    <row r="410">
      <c r="A410" s="1"/>
      <c r="B410" s="2"/>
      <c r="C410" s="3"/>
      <c r="G410" s="4"/>
      <c r="V410" s="5"/>
    </row>
    <row r="411">
      <c r="A411" s="1"/>
      <c r="B411" s="2"/>
      <c r="C411" s="3"/>
      <c r="G411" s="4"/>
      <c r="V411" s="5"/>
    </row>
    <row r="412">
      <c r="A412" s="1"/>
      <c r="B412" s="2"/>
      <c r="C412" s="3"/>
      <c r="G412" s="4"/>
      <c r="V412" s="5"/>
    </row>
    <row r="413">
      <c r="A413" s="1"/>
      <c r="B413" s="2"/>
      <c r="C413" s="3"/>
      <c r="G413" s="4"/>
      <c r="V413" s="5"/>
    </row>
    <row r="414">
      <c r="A414" s="1"/>
      <c r="B414" s="2"/>
      <c r="C414" s="3"/>
      <c r="G414" s="4"/>
      <c r="V414" s="5"/>
    </row>
    <row r="415">
      <c r="A415" s="1"/>
      <c r="B415" s="2"/>
      <c r="C415" s="3"/>
      <c r="G415" s="4"/>
      <c r="V415" s="5"/>
    </row>
    <row r="416">
      <c r="A416" s="1"/>
      <c r="B416" s="2"/>
      <c r="C416" s="3"/>
      <c r="G416" s="4"/>
      <c r="V416" s="5"/>
    </row>
    <row r="417">
      <c r="A417" s="1"/>
      <c r="B417" s="2"/>
      <c r="C417" s="3"/>
      <c r="G417" s="4"/>
      <c r="V417" s="5"/>
    </row>
    <row r="418">
      <c r="A418" s="1"/>
      <c r="B418" s="2"/>
      <c r="C418" s="3"/>
      <c r="G418" s="4"/>
      <c r="V418" s="5"/>
    </row>
    <row r="419">
      <c r="A419" s="1"/>
      <c r="B419" s="2"/>
      <c r="C419" s="3"/>
      <c r="G419" s="4"/>
      <c r="V419" s="5"/>
    </row>
    <row r="420">
      <c r="A420" s="1"/>
      <c r="B420" s="2"/>
      <c r="C420" s="3"/>
      <c r="G420" s="4"/>
      <c r="V420" s="5"/>
    </row>
    <row r="421">
      <c r="A421" s="1"/>
      <c r="B421" s="2"/>
      <c r="C421" s="3"/>
      <c r="G421" s="4"/>
      <c r="V421" s="5"/>
    </row>
    <row r="422">
      <c r="A422" s="1"/>
      <c r="B422" s="2"/>
      <c r="C422" s="3"/>
      <c r="G422" s="4"/>
      <c r="V422" s="5"/>
    </row>
    <row r="423">
      <c r="A423" s="1"/>
      <c r="B423" s="2"/>
      <c r="C423" s="3"/>
      <c r="G423" s="4"/>
      <c r="V423" s="5"/>
    </row>
    <row r="424">
      <c r="A424" s="1"/>
      <c r="B424" s="2"/>
      <c r="C424" s="3"/>
      <c r="G424" s="4"/>
      <c r="V424" s="5"/>
    </row>
    <row r="425">
      <c r="A425" s="1"/>
      <c r="B425" s="2"/>
      <c r="C425" s="3"/>
      <c r="G425" s="4"/>
      <c r="V425" s="5"/>
    </row>
    <row r="426">
      <c r="A426" s="1"/>
      <c r="B426" s="2"/>
      <c r="C426" s="3"/>
      <c r="G426" s="4"/>
      <c r="V426" s="5"/>
    </row>
    <row r="427">
      <c r="A427" s="1"/>
      <c r="B427" s="2"/>
      <c r="C427" s="3"/>
      <c r="G427" s="4"/>
      <c r="V427" s="5"/>
    </row>
    <row r="428">
      <c r="A428" s="1"/>
      <c r="B428" s="2"/>
      <c r="C428" s="3"/>
      <c r="G428" s="4"/>
      <c r="V428" s="5"/>
    </row>
    <row r="429">
      <c r="A429" s="1"/>
      <c r="B429" s="2"/>
      <c r="C429" s="3"/>
      <c r="G429" s="4"/>
      <c r="V429" s="5"/>
    </row>
    <row r="430">
      <c r="A430" s="1"/>
      <c r="B430" s="2"/>
      <c r="C430" s="3"/>
      <c r="G430" s="4"/>
      <c r="V430" s="5"/>
    </row>
    <row r="431">
      <c r="A431" s="1"/>
      <c r="B431" s="2"/>
      <c r="C431" s="3"/>
      <c r="G431" s="4"/>
      <c r="V431" s="5"/>
    </row>
    <row r="432">
      <c r="A432" s="1"/>
      <c r="B432" s="2"/>
      <c r="C432" s="3"/>
      <c r="G432" s="4"/>
      <c r="V432" s="5"/>
    </row>
    <row r="433">
      <c r="A433" s="1"/>
      <c r="B433" s="2"/>
      <c r="C433" s="3"/>
      <c r="G433" s="4"/>
      <c r="V433" s="5"/>
    </row>
    <row r="434">
      <c r="A434" s="1"/>
      <c r="B434" s="2"/>
      <c r="C434" s="3"/>
      <c r="G434" s="4"/>
      <c r="V434" s="5"/>
    </row>
    <row r="435">
      <c r="A435" s="1"/>
      <c r="B435" s="2"/>
      <c r="C435" s="3"/>
      <c r="G435" s="4"/>
      <c r="V435" s="5"/>
    </row>
    <row r="436">
      <c r="A436" s="1"/>
      <c r="B436" s="2"/>
      <c r="C436" s="3"/>
      <c r="G436" s="4"/>
      <c r="V436" s="5"/>
    </row>
    <row r="437">
      <c r="A437" s="1"/>
      <c r="B437" s="2"/>
      <c r="C437" s="3"/>
      <c r="G437" s="4"/>
      <c r="V437" s="5"/>
    </row>
    <row r="438">
      <c r="A438" s="1"/>
      <c r="B438" s="2"/>
      <c r="C438" s="3"/>
      <c r="G438" s="4"/>
      <c r="V438" s="5"/>
    </row>
    <row r="439">
      <c r="A439" s="1"/>
      <c r="B439" s="2"/>
      <c r="C439" s="3"/>
      <c r="G439" s="4"/>
      <c r="V439" s="5"/>
    </row>
    <row r="440">
      <c r="A440" s="1"/>
      <c r="B440" s="2"/>
      <c r="C440" s="3"/>
      <c r="G440" s="4"/>
      <c r="V440" s="5"/>
    </row>
    <row r="441">
      <c r="A441" s="1"/>
      <c r="B441" s="2"/>
      <c r="C441" s="3"/>
      <c r="G441" s="4"/>
      <c r="V441" s="5"/>
    </row>
    <row r="442">
      <c r="A442" s="1"/>
      <c r="B442" s="2"/>
      <c r="C442" s="3"/>
      <c r="G442" s="4"/>
      <c r="V442" s="5"/>
    </row>
    <row r="443">
      <c r="A443" s="1"/>
      <c r="B443" s="2"/>
      <c r="C443" s="3"/>
      <c r="G443" s="4"/>
      <c r="V443" s="5"/>
    </row>
    <row r="444">
      <c r="A444" s="1"/>
      <c r="B444" s="2"/>
      <c r="C444" s="3"/>
      <c r="G444" s="4"/>
      <c r="V444" s="5"/>
    </row>
    <row r="445">
      <c r="A445" s="1"/>
      <c r="B445" s="2"/>
      <c r="C445" s="3"/>
      <c r="G445" s="4"/>
      <c r="V445" s="5"/>
    </row>
    <row r="446">
      <c r="A446" s="1"/>
      <c r="B446" s="2"/>
      <c r="C446" s="3"/>
      <c r="G446" s="4"/>
      <c r="V446" s="5"/>
    </row>
    <row r="447">
      <c r="A447" s="1"/>
      <c r="B447" s="2"/>
      <c r="C447" s="3"/>
      <c r="G447" s="4"/>
      <c r="V447" s="5"/>
    </row>
    <row r="448">
      <c r="A448" s="1"/>
      <c r="B448" s="2"/>
      <c r="C448" s="3"/>
      <c r="G448" s="4"/>
      <c r="V448" s="5"/>
    </row>
    <row r="449">
      <c r="A449" s="1"/>
      <c r="B449" s="2"/>
      <c r="C449" s="3"/>
      <c r="G449" s="4"/>
      <c r="V449" s="5"/>
    </row>
    <row r="450">
      <c r="A450" s="1"/>
      <c r="B450" s="2"/>
      <c r="C450" s="3"/>
      <c r="G450" s="4"/>
      <c r="V450" s="5"/>
    </row>
    <row r="451">
      <c r="A451" s="1"/>
      <c r="B451" s="2"/>
      <c r="C451" s="3"/>
      <c r="G451" s="4"/>
      <c r="V451" s="5"/>
    </row>
    <row r="452">
      <c r="A452" s="1"/>
      <c r="B452" s="2"/>
      <c r="C452" s="3"/>
      <c r="G452" s="4"/>
      <c r="V452" s="5"/>
    </row>
    <row r="453">
      <c r="A453" s="1"/>
      <c r="B453" s="2"/>
      <c r="C453" s="3"/>
      <c r="G453" s="4"/>
      <c r="V453" s="5"/>
    </row>
    <row r="454">
      <c r="A454" s="1"/>
      <c r="B454" s="2"/>
      <c r="C454" s="3"/>
      <c r="G454" s="4"/>
      <c r="V454" s="5"/>
    </row>
    <row r="455">
      <c r="A455" s="1"/>
      <c r="B455" s="2"/>
      <c r="C455" s="3"/>
      <c r="G455" s="4"/>
      <c r="V455" s="5"/>
    </row>
    <row r="456">
      <c r="A456" s="1"/>
      <c r="B456" s="2"/>
      <c r="C456" s="3"/>
      <c r="G456" s="4"/>
      <c r="V456" s="5"/>
    </row>
    <row r="457">
      <c r="A457" s="1"/>
      <c r="B457" s="2"/>
      <c r="C457" s="3"/>
      <c r="G457" s="4"/>
      <c r="V457" s="5"/>
    </row>
    <row r="458">
      <c r="A458" s="1"/>
      <c r="B458" s="2"/>
      <c r="C458" s="3"/>
      <c r="G458" s="4"/>
      <c r="V458" s="5"/>
    </row>
    <row r="459">
      <c r="A459" s="1"/>
      <c r="B459" s="2"/>
      <c r="C459" s="3"/>
      <c r="G459" s="4"/>
      <c r="V459" s="5"/>
    </row>
    <row r="460">
      <c r="A460" s="1"/>
      <c r="B460" s="2"/>
      <c r="C460" s="3"/>
      <c r="G460" s="4"/>
      <c r="V460" s="5"/>
    </row>
    <row r="461">
      <c r="A461" s="1"/>
      <c r="B461" s="2"/>
      <c r="C461" s="3"/>
      <c r="G461" s="4"/>
      <c r="V461" s="5"/>
    </row>
    <row r="462">
      <c r="A462" s="1"/>
      <c r="B462" s="2"/>
      <c r="C462" s="3"/>
      <c r="G462" s="4"/>
      <c r="V462" s="5"/>
    </row>
    <row r="463">
      <c r="A463" s="1"/>
      <c r="B463" s="2"/>
      <c r="C463" s="3"/>
      <c r="G463" s="4"/>
      <c r="V463" s="5"/>
    </row>
    <row r="464">
      <c r="A464" s="1"/>
      <c r="B464" s="2"/>
      <c r="C464" s="3"/>
      <c r="G464" s="4"/>
      <c r="V464" s="5"/>
    </row>
    <row r="465">
      <c r="A465" s="1"/>
      <c r="B465" s="2"/>
      <c r="C465" s="3"/>
      <c r="G465" s="4"/>
      <c r="V465" s="5"/>
    </row>
    <row r="466">
      <c r="A466" s="1"/>
      <c r="B466" s="2"/>
      <c r="C466" s="3"/>
      <c r="G466" s="4"/>
      <c r="V466" s="5"/>
    </row>
    <row r="467">
      <c r="A467" s="1"/>
      <c r="B467" s="2"/>
      <c r="C467" s="3"/>
      <c r="G467" s="4"/>
      <c r="V467" s="5"/>
    </row>
    <row r="468">
      <c r="A468" s="1"/>
      <c r="B468" s="2"/>
      <c r="C468" s="3"/>
      <c r="G468" s="4"/>
      <c r="V468" s="5"/>
    </row>
    <row r="469">
      <c r="A469" s="1"/>
      <c r="B469" s="2"/>
      <c r="C469" s="3"/>
      <c r="G469" s="4"/>
      <c r="V469" s="5"/>
    </row>
    <row r="470">
      <c r="A470" s="1"/>
      <c r="B470" s="2"/>
      <c r="C470" s="3"/>
      <c r="G470" s="4"/>
      <c r="V470" s="5"/>
    </row>
    <row r="471">
      <c r="A471" s="1"/>
      <c r="B471" s="2"/>
      <c r="C471" s="3"/>
      <c r="G471" s="4"/>
      <c r="V471" s="5"/>
    </row>
    <row r="472">
      <c r="A472" s="1"/>
      <c r="B472" s="2"/>
      <c r="C472" s="3"/>
      <c r="G472" s="4"/>
      <c r="V472" s="5"/>
    </row>
    <row r="473">
      <c r="A473" s="1"/>
      <c r="B473" s="2"/>
      <c r="C473" s="3"/>
      <c r="G473" s="4"/>
      <c r="V473" s="5"/>
    </row>
    <row r="474">
      <c r="A474" s="1"/>
      <c r="B474" s="2"/>
      <c r="C474" s="3"/>
      <c r="G474" s="4"/>
      <c r="V474" s="5"/>
    </row>
    <row r="475">
      <c r="A475" s="1"/>
      <c r="B475" s="2"/>
      <c r="C475" s="3"/>
      <c r="G475" s="4"/>
      <c r="V475" s="5"/>
    </row>
    <row r="476">
      <c r="A476" s="1"/>
      <c r="B476" s="2"/>
      <c r="C476" s="3"/>
      <c r="G476" s="4"/>
      <c r="V476" s="5"/>
    </row>
    <row r="477">
      <c r="A477" s="1"/>
      <c r="B477" s="2"/>
      <c r="C477" s="3"/>
      <c r="G477" s="4"/>
      <c r="V477" s="5"/>
    </row>
    <row r="478">
      <c r="A478" s="1"/>
      <c r="B478" s="2"/>
      <c r="C478" s="3"/>
      <c r="G478" s="4"/>
      <c r="V478" s="5"/>
    </row>
    <row r="479">
      <c r="A479" s="1"/>
      <c r="B479" s="2"/>
      <c r="C479" s="3"/>
      <c r="G479" s="4"/>
      <c r="V479" s="5"/>
    </row>
    <row r="480">
      <c r="A480" s="1"/>
      <c r="B480" s="2"/>
      <c r="C480" s="3"/>
      <c r="G480" s="4"/>
      <c r="V480" s="5"/>
    </row>
    <row r="481">
      <c r="A481" s="1"/>
      <c r="B481" s="2"/>
      <c r="C481" s="3"/>
      <c r="G481" s="4"/>
      <c r="V481" s="5"/>
    </row>
    <row r="482">
      <c r="A482" s="1"/>
      <c r="B482" s="2"/>
      <c r="C482" s="3"/>
      <c r="G482" s="4"/>
      <c r="V482" s="5"/>
    </row>
    <row r="483">
      <c r="A483" s="1"/>
      <c r="B483" s="2"/>
      <c r="C483" s="3"/>
      <c r="G483" s="4"/>
      <c r="V483" s="5"/>
    </row>
    <row r="484">
      <c r="A484" s="1"/>
      <c r="B484" s="2"/>
      <c r="C484" s="3"/>
      <c r="G484" s="4"/>
      <c r="V484" s="5"/>
    </row>
    <row r="485">
      <c r="A485" s="1"/>
      <c r="B485" s="2"/>
      <c r="C485" s="3"/>
      <c r="G485" s="4"/>
      <c r="V485" s="5"/>
    </row>
    <row r="486">
      <c r="A486" s="1"/>
      <c r="B486" s="2"/>
      <c r="C486" s="3"/>
      <c r="G486" s="4"/>
      <c r="V486" s="5"/>
    </row>
    <row r="487">
      <c r="A487" s="1"/>
      <c r="B487" s="2"/>
      <c r="C487" s="3"/>
      <c r="G487" s="4"/>
      <c r="V487" s="5"/>
    </row>
    <row r="488">
      <c r="A488" s="1"/>
      <c r="B488" s="2"/>
      <c r="C488" s="3"/>
      <c r="G488" s="4"/>
      <c r="V488" s="5"/>
    </row>
    <row r="489">
      <c r="A489" s="1"/>
      <c r="B489" s="2"/>
      <c r="C489" s="3"/>
      <c r="G489" s="4"/>
      <c r="V489" s="5"/>
    </row>
    <row r="490">
      <c r="A490" s="1"/>
      <c r="B490" s="2"/>
      <c r="C490" s="3"/>
      <c r="G490" s="4"/>
      <c r="V490" s="5"/>
    </row>
    <row r="491">
      <c r="A491" s="1"/>
      <c r="B491" s="2"/>
      <c r="C491" s="3"/>
      <c r="G491" s="4"/>
      <c r="V491" s="5"/>
    </row>
    <row r="492">
      <c r="A492" s="1"/>
      <c r="B492" s="2"/>
      <c r="C492" s="3"/>
      <c r="G492" s="4"/>
      <c r="V492" s="5"/>
    </row>
    <row r="493">
      <c r="A493" s="1"/>
      <c r="B493" s="2"/>
      <c r="C493" s="3"/>
      <c r="G493" s="4"/>
      <c r="V493" s="5"/>
    </row>
    <row r="494">
      <c r="A494" s="1"/>
      <c r="B494" s="2"/>
      <c r="C494" s="3"/>
      <c r="G494" s="4"/>
      <c r="V494" s="5"/>
    </row>
    <row r="495">
      <c r="A495" s="1"/>
      <c r="B495" s="2"/>
      <c r="C495" s="3"/>
      <c r="G495" s="4"/>
      <c r="V495" s="5"/>
    </row>
    <row r="496">
      <c r="A496" s="1"/>
      <c r="B496" s="2"/>
      <c r="C496" s="3"/>
      <c r="G496" s="4"/>
      <c r="V496" s="5"/>
    </row>
    <row r="497">
      <c r="A497" s="1"/>
      <c r="B497" s="2"/>
      <c r="C497" s="3"/>
      <c r="G497" s="4"/>
      <c r="V497" s="5"/>
    </row>
    <row r="498">
      <c r="A498" s="1"/>
      <c r="B498" s="2"/>
      <c r="C498" s="3"/>
      <c r="G498" s="4"/>
      <c r="V498" s="5"/>
    </row>
    <row r="499">
      <c r="A499" s="1"/>
      <c r="B499" s="2"/>
      <c r="C499" s="3"/>
      <c r="G499" s="4"/>
      <c r="V499" s="5"/>
    </row>
    <row r="500">
      <c r="A500" s="1"/>
      <c r="B500" s="2"/>
      <c r="C500" s="3"/>
      <c r="G500" s="4"/>
      <c r="V500" s="5"/>
    </row>
    <row r="501">
      <c r="A501" s="1"/>
      <c r="B501" s="2"/>
      <c r="C501" s="3"/>
      <c r="G501" s="4"/>
      <c r="V501" s="5"/>
    </row>
    <row r="502">
      <c r="A502" s="1"/>
      <c r="B502" s="2"/>
      <c r="C502" s="3"/>
      <c r="G502" s="4"/>
      <c r="V502" s="5"/>
    </row>
    <row r="503">
      <c r="A503" s="1"/>
      <c r="B503" s="2"/>
      <c r="C503" s="3"/>
      <c r="G503" s="4"/>
      <c r="V503" s="5"/>
    </row>
    <row r="504">
      <c r="A504" s="1"/>
      <c r="B504" s="2"/>
      <c r="C504" s="3"/>
      <c r="G504" s="4"/>
      <c r="V504" s="5"/>
    </row>
    <row r="505">
      <c r="A505" s="1"/>
      <c r="B505" s="2"/>
      <c r="C505" s="3"/>
      <c r="G505" s="4"/>
      <c r="V505" s="5"/>
    </row>
    <row r="506">
      <c r="A506" s="1"/>
      <c r="B506" s="2"/>
      <c r="C506" s="3"/>
      <c r="G506" s="4"/>
      <c r="V506" s="5"/>
    </row>
    <row r="507">
      <c r="A507" s="1"/>
      <c r="B507" s="2"/>
      <c r="C507" s="3"/>
      <c r="G507" s="4"/>
      <c r="V507" s="5"/>
    </row>
    <row r="508">
      <c r="A508" s="1"/>
      <c r="B508" s="2"/>
      <c r="C508" s="3"/>
      <c r="G508" s="4"/>
      <c r="V508" s="5"/>
    </row>
    <row r="509">
      <c r="A509" s="1"/>
      <c r="B509" s="2"/>
      <c r="C509" s="3"/>
      <c r="G509" s="4"/>
      <c r="V509" s="5"/>
    </row>
    <row r="510">
      <c r="A510" s="1"/>
      <c r="B510" s="2"/>
      <c r="C510" s="3"/>
      <c r="G510" s="4"/>
      <c r="V510" s="5"/>
    </row>
    <row r="511">
      <c r="A511" s="1"/>
      <c r="B511" s="2"/>
      <c r="C511" s="3"/>
      <c r="G511" s="4"/>
      <c r="V511" s="5"/>
    </row>
    <row r="512">
      <c r="A512" s="1"/>
      <c r="B512" s="2"/>
      <c r="C512" s="3"/>
      <c r="G512" s="4"/>
      <c r="V512" s="5"/>
    </row>
    <row r="513">
      <c r="A513" s="1"/>
      <c r="B513" s="2"/>
      <c r="C513" s="3"/>
      <c r="G513" s="4"/>
      <c r="V513" s="5"/>
    </row>
    <row r="514">
      <c r="A514" s="1"/>
      <c r="B514" s="2"/>
      <c r="C514" s="3"/>
      <c r="G514" s="4"/>
      <c r="V514" s="5"/>
    </row>
    <row r="515">
      <c r="A515" s="1"/>
      <c r="B515" s="2"/>
      <c r="C515" s="3"/>
      <c r="G515" s="4"/>
      <c r="V515" s="5"/>
    </row>
    <row r="516">
      <c r="A516" s="1"/>
      <c r="B516" s="2"/>
      <c r="C516" s="3"/>
      <c r="G516" s="4"/>
      <c r="V516" s="5"/>
    </row>
    <row r="517">
      <c r="A517" s="1"/>
      <c r="B517" s="2"/>
      <c r="C517" s="3"/>
      <c r="G517" s="4"/>
      <c r="V517" s="5"/>
    </row>
    <row r="518">
      <c r="A518" s="1"/>
      <c r="B518" s="2"/>
      <c r="C518" s="3"/>
      <c r="G518" s="4"/>
      <c r="V518" s="5"/>
    </row>
    <row r="519">
      <c r="A519" s="1"/>
      <c r="B519" s="2"/>
      <c r="C519" s="3"/>
      <c r="G519" s="4"/>
      <c r="V519" s="5"/>
    </row>
    <row r="520">
      <c r="A520" s="1"/>
      <c r="B520" s="2"/>
      <c r="C520" s="3"/>
      <c r="G520" s="4"/>
      <c r="V520" s="5"/>
    </row>
    <row r="521">
      <c r="A521" s="1"/>
      <c r="B521" s="2"/>
      <c r="C521" s="3"/>
      <c r="G521" s="4"/>
      <c r="V521" s="5"/>
    </row>
    <row r="522">
      <c r="A522" s="1"/>
      <c r="B522" s="2"/>
      <c r="C522" s="3"/>
      <c r="G522" s="4"/>
      <c r="V522" s="5"/>
    </row>
    <row r="523">
      <c r="A523" s="1"/>
      <c r="B523" s="2"/>
      <c r="C523" s="3"/>
      <c r="G523" s="4"/>
      <c r="V523" s="5"/>
    </row>
    <row r="524">
      <c r="A524" s="1"/>
      <c r="B524" s="2"/>
      <c r="C524" s="3"/>
      <c r="G524" s="4"/>
      <c r="V524" s="5"/>
    </row>
    <row r="525">
      <c r="A525" s="1"/>
      <c r="B525" s="2"/>
      <c r="C525" s="3"/>
      <c r="G525" s="4"/>
      <c r="V525" s="5"/>
    </row>
    <row r="526">
      <c r="A526" s="1"/>
      <c r="B526" s="2"/>
      <c r="C526" s="3"/>
      <c r="G526" s="4"/>
      <c r="V526" s="5"/>
    </row>
    <row r="527">
      <c r="A527" s="1"/>
      <c r="B527" s="2"/>
      <c r="C527" s="3"/>
      <c r="G527" s="4"/>
      <c r="V527" s="5"/>
    </row>
    <row r="528">
      <c r="A528" s="1"/>
      <c r="B528" s="2"/>
      <c r="C528" s="3"/>
      <c r="G528" s="4"/>
      <c r="V528" s="5"/>
    </row>
    <row r="529">
      <c r="A529" s="1"/>
      <c r="B529" s="2"/>
      <c r="C529" s="3"/>
      <c r="G529" s="4"/>
      <c r="V529" s="5"/>
    </row>
    <row r="530">
      <c r="A530" s="1"/>
      <c r="B530" s="2"/>
      <c r="C530" s="3"/>
      <c r="G530" s="4"/>
      <c r="V530" s="5"/>
    </row>
    <row r="531">
      <c r="A531" s="1"/>
      <c r="B531" s="2"/>
      <c r="C531" s="3"/>
      <c r="G531" s="4"/>
      <c r="V531" s="5"/>
    </row>
    <row r="532">
      <c r="A532" s="1"/>
      <c r="B532" s="2"/>
      <c r="C532" s="3"/>
      <c r="G532" s="4"/>
      <c r="V532" s="5"/>
    </row>
    <row r="533">
      <c r="A533" s="1"/>
      <c r="B533" s="2"/>
      <c r="C533" s="3"/>
      <c r="G533" s="4"/>
      <c r="V533" s="5"/>
    </row>
    <row r="534">
      <c r="A534" s="1"/>
      <c r="B534" s="2"/>
      <c r="C534" s="3"/>
      <c r="G534" s="4"/>
      <c r="V534" s="5"/>
    </row>
    <row r="535">
      <c r="A535" s="1"/>
      <c r="B535" s="2"/>
      <c r="C535" s="3"/>
      <c r="G535" s="4"/>
      <c r="V535" s="5"/>
    </row>
    <row r="536">
      <c r="A536" s="1"/>
      <c r="B536" s="2"/>
      <c r="C536" s="3"/>
      <c r="G536" s="4"/>
      <c r="V536" s="5"/>
    </row>
    <row r="537">
      <c r="A537" s="1"/>
      <c r="B537" s="2"/>
      <c r="C537" s="3"/>
      <c r="G537" s="4"/>
      <c r="V537" s="5"/>
    </row>
    <row r="538">
      <c r="A538" s="1"/>
      <c r="B538" s="2"/>
      <c r="C538" s="3"/>
      <c r="G538" s="4"/>
      <c r="V538" s="5"/>
    </row>
    <row r="539">
      <c r="A539" s="1"/>
      <c r="B539" s="2"/>
      <c r="C539" s="3"/>
      <c r="G539" s="4"/>
      <c r="V539" s="5"/>
    </row>
    <row r="540">
      <c r="A540" s="1"/>
      <c r="B540" s="2"/>
      <c r="C540" s="3"/>
      <c r="G540" s="4"/>
      <c r="V540" s="5"/>
    </row>
    <row r="541">
      <c r="A541" s="1"/>
      <c r="B541" s="2"/>
      <c r="C541" s="3"/>
      <c r="G541" s="4"/>
      <c r="V541" s="5"/>
    </row>
    <row r="542">
      <c r="A542" s="1"/>
      <c r="B542" s="2"/>
      <c r="C542" s="3"/>
      <c r="G542" s="4"/>
      <c r="V542" s="5"/>
    </row>
    <row r="543">
      <c r="A543" s="1"/>
      <c r="B543" s="2"/>
      <c r="C543" s="3"/>
      <c r="G543" s="4"/>
      <c r="V543" s="5"/>
    </row>
    <row r="544">
      <c r="A544" s="1"/>
      <c r="B544" s="2"/>
      <c r="C544" s="3"/>
      <c r="G544" s="4"/>
      <c r="V544" s="5"/>
    </row>
    <row r="545">
      <c r="A545" s="1"/>
      <c r="B545" s="2"/>
      <c r="C545" s="3"/>
      <c r="G545" s="4"/>
      <c r="V545" s="5"/>
    </row>
    <row r="546">
      <c r="A546" s="1"/>
      <c r="B546" s="2"/>
      <c r="C546" s="3"/>
      <c r="G546" s="4"/>
      <c r="V546" s="5"/>
    </row>
    <row r="547">
      <c r="A547" s="1"/>
      <c r="B547" s="2"/>
      <c r="C547" s="3"/>
      <c r="G547" s="4"/>
      <c r="V547" s="5"/>
    </row>
    <row r="548">
      <c r="A548" s="1"/>
      <c r="B548" s="2"/>
      <c r="C548" s="3"/>
      <c r="G548" s="4"/>
      <c r="V548" s="5"/>
    </row>
    <row r="549">
      <c r="A549" s="1"/>
      <c r="B549" s="2"/>
      <c r="C549" s="3"/>
      <c r="G549" s="4"/>
      <c r="V549" s="5"/>
    </row>
    <row r="550">
      <c r="A550" s="1"/>
      <c r="B550" s="2"/>
      <c r="C550" s="3"/>
      <c r="G550" s="4"/>
      <c r="V550" s="5"/>
    </row>
    <row r="551">
      <c r="A551" s="1"/>
      <c r="B551" s="2"/>
      <c r="C551" s="3"/>
      <c r="G551" s="4"/>
      <c r="V551" s="5"/>
    </row>
    <row r="552">
      <c r="A552" s="1"/>
      <c r="B552" s="2"/>
      <c r="C552" s="3"/>
      <c r="G552" s="4"/>
      <c r="V552" s="5"/>
    </row>
    <row r="553">
      <c r="A553" s="1"/>
      <c r="B553" s="2"/>
      <c r="C553" s="3"/>
      <c r="G553" s="4"/>
      <c r="V553" s="5"/>
    </row>
    <row r="554">
      <c r="A554" s="1"/>
      <c r="B554" s="2"/>
      <c r="C554" s="3"/>
      <c r="G554" s="4"/>
      <c r="V554" s="5"/>
    </row>
    <row r="555">
      <c r="A555" s="1"/>
      <c r="B555" s="2"/>
      <c r="C555" s="3"/>
      <c r="G555" s="4"/>
      <c r="V555" s="5"/>
    </row>
    <row r="556">
      <c r="A556" s="1"/>
      <c r="B556" s="2"/>
      <c r="C556" s="3"/>
      <c r="G556" s="4"/>
      <c r="V556" s="5"/>
    </row>
    <row r="557">
      <c r="A557" s="1"/>
      <c r="B557" s="2"/>
      <c r="C557" s="3"/>
      <c r="G557" s="4"/>
      <c r="V557" s="5"/>
    </row>
    <row r="558">
      <c r="A558" s="1"/>
      <c r="B558" s="2"/>
      <c r="C558" s="3"/>
      <c r="G558" s="4"/>
      <c r="V558" s="5"/>
    </row>
    <row r="559">
      <c r="A559" s="1"/>
      <c r="B559" s="2"/>
      <c r="C559" s="3"/>
      <c r="G559" s="4"/>
      <c r="V559" s="5"/>
    </row>
    <row r="560">
      <c r="A560" s="1"/>
      <c r="B560" s="2"/>
      <c r="C560" s="3"/>
      <c r="G560" s="4"/>
      <c r="V560" s="5"/>
    </row>
    <row r="561">
      <c r="A561" s="1"/>
      <c r="B561" s="2"/>
      <c r="C561" s="3"/>
      <c r="G561" s="4"/>
      <c r="V561" s="5"/>
    </row>
    <row r="562">
      <c r="A562" s="1"/>
      <c r="B562" s="2"/>
      <c r="C562" s="3"/>
      <c r="G562" s="4"/>
      <c r="V562" s="5"/>
    </row>
    <row r="563">
      <c r="A563" s="1"/>
      <c r="B563" s="2"/>
      <c r="C563" s="3"/>
      <c r="G563" s="4"/>
      <c r="V563" s="5"/>
    </row>
    <row r="564">
      <c r="A564" s="1"/>
      <c r="B564" s="2"/>
      <c r="C564" s="3"/>
      <c r="G564" s="4"/>
      <c r="V564" s="5"/>
    </row>
    <row r="565">
      <c r="A565" s="1"/>
      <c r="B565" s="2"/>
      <c r="C565" s="3"/>
      <c r="G565" s="4"/>
      <c r="V565" s="5"/>
    </row>
    <row r="566">
      <c r="A566" s="1"/>
      <c r="B566" s="2"/>
      <c r="C566" s="3"/>
      <c r="G566" s="4"/>
      <c r="V566" s="5"/>
    </row>
    <row r="567">
      <c r="A567" s="1"/>
      <c r="B567" s="2"/>
      <c r="C567" s="3"/>
      <c r="G567" s="4"/>
      <c r="V567" s="5"/>
    </row>
    <row r="568">
      <c r="A568" s="1"/>
      <c r="B568" s="2"/>
      <c r="C568" s="3"/>
      <c r="G568" s="4"/>
      <c r="V568" s="5"/>
    </row>
    <row r="569">
      <c r="A569" s="1"/>
      <c r="B569" s="2"/>
      <c r="C569" s="3"/>
      <c r="G569" s="4"/>
      <c r="V569" s="5"/>
    </row>
    <row r="570">
      <c r="A570" s="1"/>
      <c r="B570" s="2"/>
      <c r="C570" s="3"/>
      <c r="G570" s="4"/>
      <c r="V570" s="5"/>
    </row>
    <row r="571">
      <c r="A571" s="1"/>
      <c r="B571" s="2"/>
      <c r="C571" s="3"/>
      <c r="G571" s="4"/>
      <c r="V571" s="5"/>
    </row>
    <row r="572">
      <c r="A572" s="1"/>
      <c r="B572" s="2"/>
      <c r="C572" s="3"/>
      <c r="G572" s="4"/>
      <c r="V572" s="5"/>
    </row>
    <row r="573">
      <c r="A573" s="1"/>
      <c r="B573" s="2"/>
      <c r="C573" s="3"/>
      <c r="G573" s="4"/>
      <c r="V573" s="5"/>
    </row>
    <row r="574">
      <c r="A574" s="1"/>
      <c r="B574" s="2"/>
      <c r="C574" s="3"/>
      <c r="G574" s="4"/>
      <c r="V574" s="5"/>
    </row>
    <row r="575">
      <c r="A575" s="1"/>
      <c r="B575" s="2"/>
      <c r="C575" s="3"/>
      <c r="G575" s="4"/>
      <c r="V575" s="5"/>
    </row>
    <row r="576">
      <c r="A576" s="1"/>
      <c r="B576" s="2"/>
      <c r="C576" s="3"/>
      <c r="G576" s="4"/>
      <c r="V576" s="5"/>
    </row>
    <row r="577">
      <c r="A577" s="1"/>
      <c r="B577" s="2"/>
      <c r="C577" s="3"/>
      <c r="G577" s="4"/>
      <c r="V577" s="5"/>
    </row>
    <row r="578">
      <c r="A578" s="1"/>
      <c r="B578" s="2"/>
      <c r="C578" s="3"/>
      <c r="G578" s="4"/>
      <c r="V578" s="5"/>
    </row>
    <row r="579">
      <c r="A579" s="1"/>
      <c r="B579" s="2"/>
      <c r="C579" s="3"/>
      <c r="G579" s="4"/>
      <c r="V579" s="5"/>
    </row>
    <row r="580">
      <c r="A580" s="1"/>
      <c r="B580" s="2"/>
      <c r="C580" s="3"/>
      <c r="G580" s="4"/>
      <c r="V580" s="5"/>
    </row>
    <row r="581">
      <c r="A581" s="1"/>
      <c r="B581" s="2"/>
      <c r="C581" s="3"/>
      <c r="G581" s="4"/>
      <c r="V581" s="5"/>
    </row>
    <row r="582">
      <c r="A582" s="1"/>
      <c r="B582" s="2"/>
      <c r="C582" s="3"/>
      <c r="G582" s="4"/>
      <c r="V582" s="5"/>
    </row>
    <row r="583">
      <c r="A583" s="1"/>
      <c r="B583" s="2"/>
      <c r="C583" s="3"/>
      <c r="G583" s="4"/>
      <c r="V583" s="5"/>
    </row>
    <row r="584">
      <c r="A584" s="1"/>
      <c r="B584" s="2"/>
      <c r="C584" s="3"/>
      <c r="G584" s="4"/>
      <c r="V584" s="5"/>
    </row>
    <row r="585">
      <c r="A585" s="1"/>
      <c r="B585" s="2"/>
      <c r="C585" s="3"/>
      <c r="G585" s="4"/>
      <c r="V585" s="5"/>
    </row>
    <row r="586">
      <c r="A586" s="1"/>
      <c r="B586" s="2"/>
      <c r="C586" s="3"/>
      <c r="G586" s="4"/>
      <c r="V586" s="5"/>
    </row>
    <row r="587">
      <c r="A587" s="1"/>
      <c r="B587" s="2"/>
      <c r="C587" s="3"/>
      <c r="G587" s="4"/>
      <c r="V587" s="5"/>
    </row>
    <row r="588">
      <c r="A588" s="1"/>
      <c r="B588" s="2"/>
      <c r="C588" s="3"/>
      <c r="G588" s="4"/>
      <c r="V588" s="5"/>
    </row>
    <row r="589">
      <c r="A589" s="1"/>
      <c r="B589" s="2"/>
      <c r="C589" s="3"/>
      <c r="G589" s="4"/>
      <c r="V589" s="5"/>
    </row>
    <row r="590">
      <c r="A590" s="1"/>
      <c r="B590" s="2"/>
      <c r="C590" s="3"/>
      <c r="G590" s="4"/>
      <c r="V590" s="5"/>
    </row>
    <row r="591">
      <c r="A591" s="1"/>
      <c r="B591" s="2"/>
      <c r="C591" s="3"/>
      <c r="G591" s="4"/>
      <c r="V591" s="5"/>
    </row>
    <row r="592">
      <c r="A592" s="1"/>
      <c r="B592" s="2"/>
      <c r="C592" s="3"/>
      <c r="G592" s="4"/>
      <c r="V592" s="5"/>
    </row>
    <row r="593">
      <c r="A593" s="1"/>
      <c r="B593" s="2"/>
      <c r="C593" s="3"/>
      <c r="G593" s="4"/>
      <c r="V593" s="5"/>
    </row>
    <row r="594">
      <c r="A594" s="1"/>
      <c r="B594" s="2"/>
      <c r="C594" s="3"/>
      <c r="G594" s="4"/>
      <c r="V594" s="5"/>
    </row>
    <row r="595">
      <c r="A595" s="1"/>
      <c r="B595" s="2"/>
      <c r="C595" s="3"/>
      <c r="G595" s="4"/>
      <c r="V595" s="5"/>
    </row>
    <row r="596">
      <c r="A596" s="1"/>
      <c r="B596" s="2"/>
      <c r="C596" s="3"/>
      <c r="G596" s="4"/>
      <c r="V596" s="5"/>
    </row>
    <row r="597">
      <c r="A597" s="1"/>
      <c r="B597" s="2"/>
      <c r="C597" s="3"/>
      <c r="G597" s="4"/>
      <c r="V597" s="5"/>
    </row>
    <row r="598">
      <c r="A598" s="1"/>
      <c r="B598" s="2"/>
      <c r="C598" s="3"/>
      <c r="G598" s="4"/>
      <c r="V598" s="5"/>
    </row>
    <row r="599">
      <c r="A599" s="1"/>
      <c r="B599" s="2"/>
      <c r="C599" s="3"/>
      <c r="G599" s="4"/>
      <c r="V599" s="5"/>
    </row>
    <row r="600">
      <c r="A600" s="1"/>
      <c r="B600" s="2"/>
      <c r="C600" s="3"/>
      <c r="G600" s="4"/>
      <c r="V600" s="5"/>
    </row>
    <row r="601">
      <c r="A601" s="1"/>
      <c r="B601" s="2"/>
      <c r="C601" s="3"/>
      <c r="G601" s="4"/>
      <c r="V601" s="5"/>
    </row>
    <row r="602">
      <c r="A602" s="1"/>
      <c r="B602" s="2"/>
      <c r="C602" s="3"/>
      <c r="G602" s="4"/>
      <c r="V602" s="5"/>
    </row>
    <row r="603">
      <c r="A603" s="1"/>
      <c r="B603" s="2"/>
      <c r="C603" s="3"/>
      <c r="G603" s="4"/>
      <c r="V603" s="5"/>
    </row>
    <row r="604">
      <c r="A604" s="1"/>
      <c r="B604" s="2"/>
      <c r="C604" s="3"/>
      <c r="G604" s="4"/>
      <c r="V604" s="5"/>
    </row>
    <row r="605">
      <c r="A605" s="1"/>
      <c r="B605" s="2"/>
      <c r="C605" s="3"/>
      <c r="G605" s="4"/>
      <c r="V605" s="5"/>
    </row>
    <row r="606">
      <c r="A606" s="1"/>
      <c r="B606" s="2"/>
      <c r="C606" s="3"/>
      <c r="G606" s="4"/>
      <c r="V606" s="5"/>
    </row>
    <row r="607">
      <c r="A607" s="1"/>
      <c r="B607" s="2"/>
      <c r="C607" s="3"/>
      <c r="G607" s="4"/>
      <c r="V607" s="5"/>
    </row>
    <row r="608">
      <c r="A608" s="1"/>
      <c r="B608" s="2"/>
      <c r="C608" s="3"/>
      <c r="G608" s="4"/>
      <c r="V608" s="5"/>
    </row>
    <row r="609">
      <c r="A609" s="1"/>
      <c r="B609" s="2"/>
      <c r="C609" s="3"/>
      <c r="G609" s="4"/>
      <c r="V609" s="5"/>
    </row>
    <row r="610">
      <c r="A610" s="1"/>
      <c r="B610" s="2"/>
      <c r="C610" s="3"/>
      <c r="G610" s="4"/>
      <c r="V610" s="5"/>
    </row>
    <row r="611">
      <c r="A611" s="1"/>
      <c r="B611" s="2"/>
      <c r="C611" s="3"/>
      <c r="G611" s="4"/>
      <c r="V611" s="5"/>
    </row>
    <row r="612">
      <c r="A612" s="1"/>
      <c r="B612" s="2"/>
      <c r="C612" s="3"/>
      <c r="G612" s="4"/>
      <c r="V612" s="5"/>
    </row>
    <row r="613">
      <c r="A613" s="1"/>
      <c r="B613" s="2"/>
      <c r="C613" s="3"/>
      <c r="G613" s="4"/>
      <c r="V613" s="5"/>
    </row>
    <row r="614">
      <c r="A614" s="1"/>
      <c r="B614" s="2"/>
      <c r="C614" s="3"/>
      <c r="G614" s="4"/>
      <c r="V614" s="5"/>
    </row>
    <row r="615">
      <c r="A615" s="1"/>
      <c r="B615" s="2"/>
      <c r="C615" s="3"/>
      <c r="G615" s="4"/>
      <c r="V615" s="5"/>
    </row>
    <row r="616">
      <c r="A616" s="1"/>
      <c r="B616" s="2"/>
      <c r="C616" s="3"/>
      <c r="G616" s="4"/>
      <c r="V616" s="5"/>
    </row>
    <row r="617">
      <c r="A617" s="1"/>
      <c r="B617" s="2"/>
      <c r="C617" s="3"/>
      <c r="G617" s="4"/>
      <c r="V617" s="5"/>
    </row>
    <row r="618">
      <c r="A618" s="1"/>
      <c r="B618" s="2"/>
      <c r="C618" s="3"/>
      <c r="G618" s="4"/>
      <c r="V618" s="5"/>
    </row>
    <row r="619">
      <c r="A619" s="1"/>
      <c r="B619" s="2"/>
      <c r="C619" s="3"/>
      <c r="G619" s="4"/>
      <c r="V619" s="5"/>
    </row>
    <row r="620">
      <c r="A620" s="1"/>
      <c r="B620" s="2"/>
      <c r="C620" s="3"/>
      <c r="G620" s="4"/>
      <c r="V620" s="5"/>
    </row>
    <row r="621">
      <c r="A621" s="1"/>
      <c r="B621" s="2"/>
      <c r="C621" s="3"/>
      <c r="G621" s="4"/>
      <c r="V621" s="5"/>
    </row>
    <row r="622">
      <c r="A622" s="1"/>
      <c r="B622" s="2"/>
      <c r="C622" s="3"/>
      <c r="G622" s="4"/>
      <c r="V622" s="5"/>
    </row>
    <row r="623">
      <c r="A623" s="1"/>
      <c r="B623" s="2"/>
      <c r="C623" s="3"/>
      <c r="G623" s="4"/>
      <c r="V623" s="5"/>
    </row>
    <row r="624">
      <c r="A624" s="1"/>
      <c r="B624" s="2"/>
      <c r="C624" s="3"/>
      <c r="G624" s="4"/>
      <c r="V624" s="5"/>
    </row>
    <row r="625">
      <c r="A625" s="1"/>
      <c r="B625" s="2"/>
      <c r="C625" s="3"/>
      <c r="G625" s="4"/>
      <c r="V625" s="5"/>
    </row>
    <row r="626">
      <c r="A626" s="1"/>
      <c r="B626" s="2"/>
      <c r="C626" s="3"/>
      <c r="G626" s="4"/>
      <c r="V626" s="5"/>
    </row>
    <row r="627">
      <c r="A627" s="1"/>
      <c r="B627" s="2"/>
      <c r="C627" s="3"/>
      <c r="G627" s="4"/>
      <c r="V627" s="5"/>
    </row>
    <row r="628">
      <c r="A628" s="1"/>
      <c r="B628" s="2"/>
      <c r="C628" s="3"/>
      <c r="G628" s="4"/>
      <c r="V628" s="5"/>
    </row>
    <row r="629">
      <c r="A629" s="1"/>
      <c r="B629" s="2"/>
      <c r="C629" s="3"/>
      <c r="G629" s="4"/>
      <c r="V629" s="5"/>
    </row>
    <row r="630">
      <c r="A630" s="1"/>
      <c r="B630" s="2"/>
      <c r="C630" s="3"/>
      <c r="G630" s="4"/>
      <c r="V630" s="5"/>
    </row>
    <row r="631">
      <c r="A631" s="1"/>
      <c r="B631" s="2"/>
      <c r="C631" s="3"/>
      <c r="G631" s="4"/>
      <c r="V631" s="5"/>
    </row>
    <row r="632">
      <c r="A632" s="1"/>
      <c r="B632" s="2"/>
      <c r="C632" s="3"/>
      <c r="G632" s="4"/>
      <c r="V632" s="5"/>
    </row>
    <row r="633">
      <c r="A633" s="1"/>
      <c r="B633" s="2"/>
      <c r="C633" s="3"/>
      <c r="G633" s="4"/>
      <c r="V633" s="5"/>
    </row>
    <row r="634">
      <c r="A634" s="1"/>
      <c r="B634" s="2"/>
      <c r="C634" s="3"/>
      <c r="G634" s="4"/>
      <c r="V634" s="5"/>
    </row>
    <row r="635">
      <c r="A635" s="1"/>
      <c r="B635" s="2"/>
      <c r="C635" s="3"/>
      <c r="G635" s="4"/>
      <c r="V635" s="5"/>
    </row>
    <row r="636">
      <c r="A636" s="1"/>
      <c r="B636" s="2"/>
      <c r="C636" s="3"/>
      <c r="G636" s="4"/>
      <c r="V636" s="5"/>
    </row>
    <row r="637">
      <c r="A637" s="1"/>
      <c r="B637" s="2"/>
      <c r="C637" s="3"/>
      <c r="G637" s="4"/>
      <c r="V637" s="5"/>
    </row>
    <row r="638">
      <c r="A638" s="1"/>
      <c r="B638" s="2"/>
      <c r="C638" s="3"/>
      <c r="G638" s="4"/>
      <c r="V638" s="5"/>
    </row>
    <row r="639">
      <c r="A639" s="1"/>
      <c r="B639" s="2"/>
      <c r="C639" s="3"/>
      <c r="G639" s="4"/>
      <c r="V639" s="5"/>
    </row>
    <row r="640">
      <c r="A640" s="1"/>
      <c r="B640" s="2"/>
      <c r="C640" s="3"/>
      <c r="G640" s="4"/>
      <c r="V640" s="5"/>
    </row>
    <row r="641">
      <c r="A641" s="1"/>
      <c r="B641" s="2"/>
      <c r="C641" s="3"/>
      <c r="G641" s="4"/>
      <c r="V641" s="5"/>
    </row>
    <row r="642">
      <c r="A642" s="1"/>
      <c r="B642" s="2"/>
      <c r="C642" s="3"/>
      <c r="G642" s="4"/>
      <c r="V642" s="5"/>
    </row>
    <row r="643">
      <c r="A643" s="1"/>
      <c r="B643" s="2"/>
      <c r="C643" s="3"/>
      <c r="G643" s="4"/>
      <c r="V643" s="5"/>
    </row>
    <row r="644">
      <c r="A644" s="1"/>
      <c r="B644" s="2"/>
      <c r="C644" s="3"/>
      <c r="G644" s="4"/>
      <c r="V644" s="5"/>
    </row>
    <row r="645">
      <c r="A645" s="1"/>
      <c r="B645" s="2"/>
      <c r="C645" s="3"/>
      <c r="G645" s="4"/>
      <c r="V645" s="5"/>
    </row>
    <row r="646">
      <c r="A646" s="1"/>
      <c r="B646" s="2"/>
      <c r="C646" s="3"/>
      <c r="G646" s="4"/>
      <c r="V646" s="5"/>
    </row>
    <row r="647">
      <c r="A647" s="1"/>
      <c r="B647" s="2"/>
      <c r="C647" s="3"/>
      <c r="G647" s="4"/>
      <c r="V647" s="5"/>
    </row>
    <row r="648">
      <c r="A648" s="1"/>
      <c r="B648" s="2"/>
      <c r="C648" s="3"/>
      <c r="G648" s="4"/>
      <c r="V648" s="5"/>
    </row>
    <row r="649">
      <c r="A649" s="1"/>
      <c r="B649" s="2"/>
      <c r="C649" s="3"/>
      <c r="G649" s="4"/>
      <c r="V649" s="5"/>
    </row>
    <row r="650">
      <c r="A650" s="1"/>
      <c r="B650" s="2"/>
      <c r="C650" s="3"/>
      <c r="G650" s="4"/>
      <c r="V650" s="5"/>
    </row>
    <row r="651">
      <c r="A651" s="1"/>
      <c r="B651" s="2"/>
      <c r="C651" s="3"/>
      <c r="G651" s="4"/>
      <c r="V651" s="5"/>
    </row>
    <row r="652">
      <c r="A652" s="1"/>
      <c r="B652" s="2"/>
      <c r="C652" s="3"/>
      <c r="G652" s="4"/>
      <c r="V652" s="5"/>
    </row>
    <row r="653">
      <c r="A653" s="1"/>
      <c r="B653" s="2"/>
      <c r="C653" s="3"/>
      <c r="G653" s="4"/>
      <c r="V653" s="5"/>
    </row>
    <row r="654">
      <c r="A654" s="1"/>
      <c r="B654" s="2"/>
      <c r="C654" s="3"/>
      <c r="G654" s="4"/>
      <c r="V654" s="5"/>
    </row>
    <row r="655">
      <c r="A655" s="1"/>
      <c r="B655" s="2"/>
      <c r="C655" s="3"/>
      <c r="G655" s="4"/>
      <c r="V655" s="5"/>
    </row>
    <row r="656">
      <c r="A656" s="1"/>
      <c r="B656" s="2"/>
      <c r="C656" s="3"/>
      <c r="G656" s="4"/>
      <c r="V656" s="5"/>
    </row>
    <row r="657">
      <c r="A657" s="1"/>
      <c r="B657" s="2"/>
      <c r="C657" s="3"/>
      <c r="G657" s="4"/>
      <c r="V657" s="5"/>
    </row>
    <row r="658">
      <c r="A658" s="1"/>
      <c r="B658" s="2"/>
      <c r="C658" s="3"/>
      <c r="G658" s="4"/>
      <c r="V658" s="5"/>
    </row>
    <row r="659">
      <c r="A659" s="1"/>
      <c r="B659" s="2"/>
      <c r="C659" s="3"/>
      <c r="G659" s="4"/>
      <c r="V659" s="5"/>
    </row>
    <row r="660">
      <c r="A660" s="1"/>
      <c r="B660" s="2"/>
      <c r="C660" s="3"/>
      <c r="G660" s="4"/>
      <c r="V660" s="5"/>
    </row>
    <row r="661">
      <c r="A661" s="1"/>
      <c r="B661" s="2"/>
      <c r="C661" s="3"/>
      <c r="G661" s="4"/>
      <c r="V661" s="5"/>
    </row>
    <row r="662">
      <c r="A662" s="1"/>
      <c r="B662" s="2"/>
      <c r="C662" s="3"/>
      <c r="G662" s="4"/>
      <c r="V662" s="5"/>
    </row>
    <row r="663">
      <c r="A663" s="1"/>
      <c r="B663" s="2"/>
      <c r="C663" s="3"/>
      <c r="G663" s="4"/>
      <c r="V663" s="5"/>
    </row>
    <row r="664">
      <c r="A664" s="1"/>
      <c r="B664" s="2"/>
      <c r="C664" s="3"/>
      <c r="G664" s="4"/>
      <c r="V664" s="5"/>
    </row>
    <row r="665">
      <c r="A665" s="1"/>
      <c r="B665" s="2"/>
      <c r="C665" s="3"/>
      <c r="G665" s="4"/>
      <c r="V665" s="5"/>
    </row>
    <row r="666">
      <c r="A666" s="1"/>
      <c r="B666" s="2"/>
      <c r="C666" s="3"/>
      <c r="G666" s="4"/>
      <c r="V666" s="5"/>
    </row>
    <row r="667">
      <c r="A667" s="1"/>
      <c r="B667" s="2"/>
      <c r="C667" s="3"/>
      <c r="G667" s="4"/>
      <c r="V667" s="5"/>
    </row>
    <row r="668">
      <c r="A668" s="1"/>
      <c r="B668" s="2"/>
      <c r="C668" s="3"/>
      <c r="G668" s="4"/>
      <c r="V668" s="5"/>
    </row>
    <row r="669">
      <c r="A669" s="1"/>
      <c r="B669" s="2"/>
      <c r="C669" s="3"/>
      <c r="G669" s="4"/>
      <c r="V669" s="5"/>
    </row>
    <row r="670">
      <c r="A670" s="1"/>
      <c r="B670" s="2"/>
      <c r="C670" s="3"/>
      <c r="G670" s="4"/>
      <c r="V670" s="5"/>
    </row>
    <row r="671">
      <c r="A671" s="1"/>
      <c r="B671" s="2"/>
      <c r="C671" s="3"/>
      <c r="G671" s="4"/>
      <c r="V671" s="5"/>
    </row>
    <row r="672">
      <c r="A672" s="1"/>
      <c r="B672" s="2"/>
      <c r="C672" s="3"/>
      <c r="G672" s="4"/>
      <c r="V672" s="5"/>
    </row>
    <row r="673">
      <c r="A673" s="1"/>
      <c r="B673" s="2"/>
      <c r="C673" s="3"/>
      <c r="G673" s="4"/>
      <c r="V673" s="5"/>
    </row>
    <row r="674">
      <c r="A674" s="1"/>
      <c r="B674" s="2"/>
      <c r="C674" s="3"/>
      <c r="G674" s="4"/>
      <c r="V674" s="5"/>
    </row>
    <row r="675">
      <c r="A675" s="1"/>
      <c r="B675" s="2"/>
      <c r="C675" s="3"/>
      <c r="G675" s="4"/>
      <c r="V675" s="5"/>
    </row>
    <row r="676">
      <c r="A676" s="1"/>
      <c r="B676" s="2"/>
      <c r="C676" s="3"/>
      <c r="G676" s="4"/>
      <c r="V676" s="5"/>
    </row>
    <row r="677">
      <c r="A677" s="1"/>
      <c r="B677" s="2"/>
      <c r="C677" s="3"/>
      <c r="G677" s="4"/>
      <c r="V677" s="5"/>
    </row>
    <row r="678">
      <c r="A678" s="1"/>
      <c r="B678" s="2"/>
      <c r="C678" s="3"/>
      <c r="G678" s="4"/>
      <c r="V678" s="5"/>
    </row>
    <row r="679">
      <c r="A679" s="1"/>
      <c r="B679" s="2"/>
      <c r="C679" s="3"/>
      <c r="G679" s="4"/>
      <c r="V679" s="5"/>
    </row>
    <row r="680">
      <c r="A680" s="1"/>
      <c r="B680" s="2"/>
      <c r="C680" s="3"/>
      <c r="G680" s="4"/>
      <c r="V680" s="5"/>
    </row>
    <row r="681">
      <c r="A681" s="1"/>
      <c r="B681" s="2"/>
      <c r="C681" s="3"/>
      <c r="G681" s="4"/>
      <c r="V681" s="5"/>
    </row>
    <row r="682">
      <c r="A682" s="1"/>
      <c r="B682" s="2"/>
      <c r="C682" s="3"/>
      <c r="G682" s="4"/>
      <c r="V682" s="5"/>
    </row>
    <row r="683">
      <c r="A683" s="1"/>
      <c r="B683" s="2"/>
      <c r="C683" s="3"/>
      <c r="G683" s="4"/>
      <c r="V683" s="5"/>
    </row>
    <row r="684">
      <c r="A684" s="1"/>
      <c r="B684" s="2"/>
      <c r="C684" s="3"/>
      <c r="G684" s="4"/>
      <c r="V684" s="5"/>
    </row>
    <row r="685">
      <c r="A685" s="1"/>
      <c r="B685" s="2"/>
      <c r="C685" s="3"/>
      <c r="G685" s="4"/>
      <c r="V685" s="5"/>
    </row>
    <row r="686">
      <c r="A686" s="1"/>
      <c r="B686" s="2"/>
      <c r="C686" s="3"/>
      <c r="G686" s="4"/>
      <c r="V686" s="5"/>
    </row>
    <row r="687">
      <c r="A687" s="1"/>
      <c r="B687" s="2"/>
      <c r="C687" s="3"/>
      <c r="G687" s="4"/>
      <c r="V687" s="5"/>
    </row>
    <row r="688">
      <c r="A688" s="1"/>
      <c r="B688" s="2"/>
      <c r="C688" s="3"/>
      <c r="G688" s="4"/>
      <c r="V688" s="5"/>
    </row>
    <row r="689">
      <c r="A689" s="1"/>
      <c r="B689" s="2"/>
      <c r="C689" s="3"/>
      <c r="G689" s="4"/>
      <c r="V689" s="5"/>
    </row>
    <row r="690">
      <c r="A690" s="1"/>
      <c r="B690" s="2"/>
      <c r="C690" s="3"/>
      <c r="G690" s="4"/>
      <c r="V690" s="5"/>
    </row>
    <row r="691">
      <c r="A691" s="1"/>
      <c r="B691" s="2"/>
      <c r="C691" s="3"/>
      <c r="G691" s="4"/>
      <c r="V691" s="5"/>
    </row>
    <row r="692">
      <c r="A692" s="1"/>
      <c r="B692" s="2"/>
      <c r="C692" s="3"/>
      <c r="G692" s="4"/>
      <c r="V692" s="5"/>
    </row>
    <row r="693">
      <c r="A693" s="1"/>
      <c r="B693" s="2"/>
      <c r="C693" s="3"/>
      <c r="G693" s="4"/>
      <c r="V693" s="5"/>
    </row>
    <row r="694">
      <c r="A694" s="1"/>
      <c r="B694" s="2"/>
      <c r="C694" s="3"/>
      <c r="G694" s="4"/>
      <c r="V694" s="5"/>
    </row>
    <row r="695">
      <c r="A695" s="1"/>
      <c r="B695" s="2"/>
      <c r="C695" s="3"/>
      <c r="G695" s="4"/>
      <c r="V695" s="5"/>
    </row>
    <row r="696">
      <c r="A696" s="1"/>
      <c r="B696" s="2"/>
      <c r="C696" s="3"/>
      <c r="G696" s="4"/>
      <c r="V696" s="5"/>
    </row>
    <row r="697">
      <c r="A697" s="1"/>
      <c r="B697" s="2"/>
      <c r="C697" s="3"/>
      <c r="G697" s="4"/>
      <c r="V697" s="5"/>
    </row>
    <row r="698">
      <c r="A698" s="1"/>
      <c r="B698" s="2"/>
      <c r="C698" s="3"/>
      <c r="G698" s="4"/>
      <c r="V698" s="5"/>
    </row>
    <row r="699">
      <c r="A699" s="1"/>
      <c r="B699" s="2"/>
      <c r="C699" s="3"/>
      <c r="G699" s="4"/>
      <c r="V699" s="5"/>
    </row>
    <row r="700">
      <c r="A700" s="1"/>
      <c r="B700" s="2"/>
      <c r="C700" s="3"/>
      <c r="G700" s="4"/>
      <c r="V700" s="5"/>
    </row>
    <row r="701">
      <c r="A701" s="1"/>
      <c r="B701" s="2"/>
      <c r="C701" s="3"/>
      <c r="G701" s="4"/>
      <c r="V701" s="5"/>
    </row>
    <row r="702">
      <c r="A702" s="1"/>
      <c r="B702" s="2"/>
      <c r="C702" s="3"/>
      <c r="G702" s="4"/>
      <c r="V702" s="5"/>
    </row>
    <row r="703">
      <c r="A703" s="1"/>
      <c r="B703" s="2"/>
      <c r="C703" s="3"/>
      <c r="G703" s="4"/>
      <c r="V703" s="5"/>
    </row>
    <row r="704">
      <c r="A704" s="1"/>
      <c r="B704" s="2"/>
      <c r="C704" s="3"/>
      <c r="G704" s="4"/>
      <c r="V704" s="5"/>
    </row>
    <row r="705">
      <c r="A705" s="1"/>
      <c r="B705" s="2"/>
      <c r="C705" s="3"/>
      <c r="G705" s="4"/>
      <c r="V705" s="5"/>
    </row>
    <row r="706">
      <c r="A706" s="1"/>
      <c r="B706" s="2"/>
      <c r="C706" s="3"/>
      <c r="G706" s="4"/>
      <c r="V706" s="5"/>
    </row>
    <row r="707">
      <c r="A707" s="1"/>
      <c r="B707" s="2"/>
      <c r="C707" s="3"/>
      <c r="G707" s="4"/>
      <c r="V707" s="5"/>
    </row>
    <row r="708">
      <c r="A708" s="1"/>
      <c r="B708" s="2"/>
      <c r="C708" s="3"/>
      <c r="G708" s="4"/>
      <c r="V708" s="5"/>
    </row>
    <row r="709">
      <c r="A709" s="1"/>
      <c r="B709" s="2"/>
      <c r="C709" s="3"/>
      <c r="G709" s="4"/>
      <c r="V709" s="5"/>
    </row>
    <row r="710">
      <c r="A710" s="1"/>
      <c r="B710" s="2"/>
      <c r="C710" s="3"/>
      <c r="G710" s="4"/>
      <c r="V710" s="5"/>
    </row>
    <row r="711">
      <c r="A711" s="1"/>
      <c r="B711" s="2"/>
      <c r="C711" s="3"/>
      <c r="G711" s="4"/>
      <c r="V711" s="5"/>
    </row>
    <row r="712">
      <c r="A712" s="1"/>
      <c r="B712" s="2"/>
      <c r="C712" s="3"/>
      <c r="G712" s="4"/>
      <c r="V712" s="5"/>
    </row>
    <row r="713">
      <c r="A713" s="1"/>
      <c r="B713" s="2"/>
      <c r="C713" s="3"/>
      <c r="G713" s="4"/>
      <c r="V713" s="5"/>
    </row>
    <row r="714">
      <c r="A714" s="1"/>
      <c r="B714" s="2"/>
      <c r="C714" s="3"/>
      <c r="G714" s="4"/>
      <c r="V714" s="5"/>
    </row>
    <row r="715">
      <c r="A715" s="1"/>
      <c r="B715" s="2"/>
      <c r="C715" s="3"/>
      <c r="G715" s="4"/>
      <c r="V715" s="5"/>
    </row>
    <row r="716">
      <c r="A716" s="1"/>
      <c r="B716" s="2"/>
      <c r="C716" s="3"/>
      <c r="G716" s="4"/>
      <c r="V716" s="5"/>
    </row>
    <row r="717">
      <c r="A717" s="1"/>
      <c r="B717" s="2"/>
      <c r="C717" s="3"/>
      <c r="G717" s="4"/>
      <c r="V717" s="5"/>
    </row>
    <row r="718">
      <c r="A718" s="1"/>
      <c r="B718" s="2"/>
      <c r="C718" s="3"/>
      <c r="G718" s="4"/>
      <c r="V718" s="5"/>
    </row>
    <row r="719">
      <c r="A719" s="1"/>
      <c r="B719" s="2"/>
      <c r="C719" s="3"/>
      <c r="G719" s="4"/>
      <c r="V719" s="5"/>
    </row>
    <row r="720">
      <c r="A720" s="1"/>
      <c r="B720" s="2"/>
      <c r="C720" s="3"/>
      <c r="G720" s="4"/>
      <c r="V720" s="5"/>
    </row>
    <row r="721">
      <c r="A721" s="1"/>
      <c r="B721" s="2"/>
      <c r="C721" s="3"/>
      <c r="G721" s="4"/>
      <c r="V721" s="5"/>
    </row>
    <row r="722">
      <c r="A722" s="1"/>
      <c r="B722" s="2"/>
      <c r="C722" s="3"/>
      <c r="G722" s="4"/>
      <c r="V722" s="5"/>
    </row>
    <row r="723">
      <c r="A723" s="1"/>
      <c r="B723" s="2"/>
      <c r="C723" s="3"/>
      <c r="G723" s="4"/>
      <c r="V723" s="5"/>
    </row>
    <row r="724">
      <c r="A724" s="1"/>
      <c r="B724" s="2"/>
      <c r="C724" s="3"/>
      <c r="G724" s="4"/>
      <c r="V724" s="5"/>
    </row>
    <row r="725">
      <c r="A725" s="1"/>
      <c r="B725" s="2"/>
      <c r="C725" s="3"/>
      <c r="G725" s="4"/>
      <c r="V725" s="5"/>
    </row>
    <row r="726">
      <c r="A726" s="1"/>
      <c r="B726" s="2"/>
      <c r="C726" s="3"/>
      <c r="G726" s="4"/>
      <c r="V726" s="5"/>
    </row>
    <row r="727">
      <c r="A727" s="1"/>
      <c r="B727" s="2"/>
      <c r="C727" s="3"/>
      <c r="G727" s="4"/>
      <c r="V727" s="5"/>
    </row>
    <row r="728">
      <c r="A728" s="1"/>
      <c r="B728" s="2"/>
      <c r="C728" s="3"/>
      <c r="G728" s="4"/>
      <c r="V728" s="5"/>
    </row>
    <row r="729">
      <c r="A729" s="1"/>
      <c r="B729" s="2"/>
      <c r="C729" s="3"/>
      <c r="G729" s="4"/>
      <c r="V729" s="5"/>
    </row>
    <row r="730">
      <c r="A730" s="1"/>
      <c r="B730" s="2"/>
      <c r="C730" s="3"/>
      <c r="G730" s="4"/>
      <c r="V730" s="5"/>
    </row>
    <row r="731">
      <c r="A731" s="1"/>
      <c r="B731" s="2"/>
      <c r="C731" s="3"/>
      <c r="G731" s="4"/>
      <c r="V731" s="5"/>
    </row>
    <row r="732">
      <c r="A732" s="1"/>
      <c r="B732" s="2"/>
      <c r="C732" s="3"/>
      <c r="G732" s="4"/>
      <c r="V732" s="5"/>
    </row>
    <row r="733">
      <c r="A733" s="1"/>
      <c r="B733" s="2"/>
      <c r="C733" s="3"/>
      <c r="G733" s="4"/>
      <c r="V733" s="5"/>
    </row>
    <row r="734">
      <c r="A734" s="1"/>
      <c r="B734" s="2"/>
      <c r="C734" s="3"/>
      <c r="G734" s="4"/>
      <c r="V734" s="5"/>
    </row>
    <row r="735">
      <c r="A735" s="1"/>
      <c r="B735" s="2"/>
      <c r="C735" s="3"/>
      <c r="G735" s="4"/>
      <c r="V735" s="5"/>
    </row>
    <row r="736">
      <c r="A736" s="1"/>
      <c r="B736" s="2"/>
      <c r="C736" s="3"/>
      <c r="G736" s="4"/>
      <c r="V736" s="5"/>
    </row>
    <row r="737">
      <c r="A737" s="1"/>
      <c r="B737" s="2"/>
      <c r="C737" s="3"/>
      <c r="G737" s="4"/>
      <c r="V737" s="5"/>
    </row>
    <row r="738">
      <c r="A738" s="1"/>
      <c r="B738" s="2"/>
      <c r="C738" s="3"/>
      <c r="G738" s="4"/>
      <c r="V738" s="5"/>
    </row>
    <row r="739">
      <c r="A739" s="1"/>
      <c r="B739" s="2"/>
      <c r="C739" s="3"/>
      <c r="G739" s="4"/>
      <c r="V739" s="5"/>
    </row>
    <row r="740">
      <c r="A740" s="1"/>
      <c r="B740" s="2"/>
      <c r="C740" s="3"/>
      <c r="G740" s="4"/>
      <c r="V740" s="5"/>
    </row>
    <row r="741">
      <c r="A741" s="1"/>
      <c r="B741" s="2"/>
      <c r="C741" s="3"/>
      <c r="G741" s="4"/>
      <c r="V741" s="5"/>
    </row>
    <row r="742">
      <c r="A742" s="1"/>
      <c r="B742" s="2"/>
      <c r="C742" s="3"/>
      <c r="G742" s="4"/>
      <c r="V742" s="5"/>
    </row>
    <row r="743">
      <c r="A743" s="1"/>
      <c r="B743" s="2"/>
      <c r="C743" s="3"/>
      <c r="G743" s="4"/>
      <c r="V743" s="5"/>
    </row>
    <row r="744">
      <c r="A744" s="1"/>
      <c r="B744" s="2"/>
      <c r="C744" s="3"/>
      <c r="G744" s="4"/>
      <c r="V744" s="5"/>
    </row>
    <row r="745">
      <c r="A745" s="1"/>
      <c r="B745" s="2"/>
      <c r="C745" s="3"/>
      <c r="G745" s="4"/>
      <c r="V745" s="5"/>
    </row>
    <row r="746">
      <c r="A746" s="1"/>
      <c r="B746" s="2"/>
      <c r="C746" s="3"/>
      <c r="G746" s="4"/>
      <c r="V746" s="5"/>
    </row>
    <row r="747">
      <c r="A747" s="1"/>
      <c r="B747" s="2"/>
      <c r="C747" s="3"/>
      <c r="G747" s="4"/>
      <c r="V747" s="5"/>
    </row>
    <row r="748">
      <c r="A748" s="1"/>
      <c r="B748" s="2"/>
      <c r="C748" s="3"/>
      <c r="G748" s="4"/>
      <c r="V748" s="5"/>
    </row>
    <row r="749">
      <c r="A749" s="1"/>
      <c r="B749" s="2"/>
      <c r="C749" s="3"/>
      <c r="G749" s="4"/>
      <c r="V749" s="5"/>
    </row>
    <row r="750">
      <c r="A750" s="1"/>
      <c r="B750" s="2"/>
      <c r="C750" s="3"/>
      <c r="G750" s="4"/>
      <c r="V750" s="5"/>
    </row>
    <row r="751">
      <c r="A751" s="1"/>
      <c r="B751" s="2"/>
      <c r="C751" s="3"/>
      <c r="G751" s="4"/>
      <c r="V751" s="5"/>
    </row>
    <row r="752">
      <c r="A752" s="1"/>
      <c r="B752" s="2"/>
      <c r="C752" s="3"/>
      <c r="G752" s="4"/>
      <c r="V752" s="5"/>
    </row>
    <row r="753">
      <c r="A753" s="1"/>
      <c r="B753" s="2"/>
      <c r="C753" s="3"/>
      <c r="G753" s="4"/>
      <c r="V753" s="5"/>
    </row>
    <row r="754">
      <c r="A754" s="1"/>
      <c r="B754" s="2"/>
      <c r="C754" s="3"/>
      <c r="G754" s="4"/>
      <c r="V754" s="5"/>
    </row>
    <row r="755">
      <c r="A755" s="1"/>
      <c r="B755" s="2"/>
      <c r="C755" s="3"/>
      <c r="G755" s="4"/>
      <c r="V755" s="5"/>
    </row>
    <row r="756">
      <c r="A756" s="1"/>
      <c r="B756" s="2"/>
      <c r="C756" s="3"/>
      <c r="G756" s="4"/>
      <c r="V756" s="5"/>
    </row>
    <row r="757">
      <c r="A757" s="1"/>
      <c r="B757" s="2"/>
      <c r="C757" s="3"/>
      <c r="G757" s="4"/>
      <c r="V757" s="5"/>
    </row>
    <row r="758">
      <c r="A758" s="1"/>
      <c r="B758" s="2"/>
      <c r="C758" s="3"/>
      <c r="G758" s="4"/>
      <c r="V758" s="5"/>
    </row>
    <row r="759">
      <c r="A759" s="1"/>
      <c r="B759" s="2"/>
      <c r="C759" s="3"/>
      <c r="G759" s="4"/>
      <c r="V759" s="5"/>
    </row>
    <row r="760">
      <c r="A760" s="1"/>
      <c r="B760" s="2"/>
      <c r="C760" s="3"/>
      <c r="G760" s="4"/>
      <c r="V760" s="5"/>
    </row>
    <row r="761">
      <c r="A761" s="1"/>
      <c r="B761" s="2"/>
      <c r="C761" s="3"/>
      <c r="G761" s="4"/>
      <c r="V761" s="5"/>
    </row>
    <row r="762">
      <c r="A762" s="1"/>
      <c r="B762" s="2"/>
      <c r="C762" s="3"/>
      <c r="G762" s="4"/>
      <c r="V762" s="5"/>
    </row>
    <row r="763">
      <c r="A763" s="1"/>
      <c r="B763" s="2"/>
      <c r="C763" s="3"/>
      <c r="G763" s="4"/>
      <c r="V763" s="5"/>
    </row>
    <row r="764">
      <c r="A764" s="1"/>
      <c r="B764" s="2"/>
      <c r="C764" s="3"/>
      <c r="G764" s="4"/>
      <c r="V764" s="5"/>
    </row>
    <row r="765">
      <c r="A765" s="1"/>
      <c r="B765" s="2"/>
      <c r="C765" s="3"/>
      <c r="G765" s="4"/>
      <c r="V765" s="5"/>
    </row>
    <row r="766">
      <c r="A766" s="1"/>
      <c r="B766" s="2"/>
      <c r="C766" s="3"/>
      <c r="G766" s="4"/>
      <c r="V766" s="5"/>
    </row>
    <row r="767">
      <c r="A767" s="1"/>
      <c r="B767" s="2"/>
      <c r="C767" s="3"/>
      <c r="G767" s="4"/>
      <c r="V767" s="5"/>
    </row>
    <row r="768">
      <c r="A768" s="1"/>
      <c r="B768" s="2"/>
      <c r="C768" s="3"/>
      <c r="G768" s="4"/>
      <c r="V768" s="5"/>
    </row>
    <row r="769">
      <c r="A769" s="1"/>
      <c r="B769" s="2"/>
      <c r="C769" s="3"/>
      <c r="G769" s="4"/>
      <c r="V769" s="5"/>
    </row>
    <row r="770">
      <c r="A770" s="1"/>
      <c r="B770" s="2"/>
      <c r="C770" s="3"/>
      <c r="G770" s="4"/>
      <c r="V770" s="5"/>
    </row>
    <row r="771">
      <c r="A771" s="1"/>
      <c r="B771" s="2"/>
      <c r="C771" s="3"/>
      <c r="G771" s="4"/>
      <c r="V771" s="5"/>
    </row>
    <row r="772">
      <c r="A772" s="1"/>
      <c r="B772" s="2"/>
      <c r="C772" s="3"/>
      <c r="G772" s="4"/>
      <c r="V772" s="5"/>
    </row>
    <row r="773">
      <c r="A773" s="1"/>
      <c r="B773" s="2"/>
      <c r="C773" s="3"/>
      <c r="G773" s="4"/>
      <c r="V773" s="5"/>
    </row>
    <row r="774">
      <c r="A774" s="1"/>
      <c r="B774" s="2"/>
      <c r="C774" s="3"/>
      <c r="G774" s="4"/>
      <c r="V774" s="5"/>
    </row>
    <row r="775">
      <c r="A775" s="1"/>
      <c r="B775" s="2"/>
      <c r="C775" s="3"/>
      <c r="G775" s="4"/>
      <c r="V775" s="5"/>
    </row>
    <row r="776">
      <c r="A776" s="1"/>
      <c r="B776" s="2"/>
      <c r="C776" s="3"/>
      <c r="G776" s="4"/>
      <c r="V776" s="5"/>
    </row>
    <row r="777">
      <c r="A777" s="1"/>
      <c r="B777" s="2"/>
      <c r="C777" s="3"/>
      <c r="G777" s="4"/>
      <c r="V777" s="5"/>
    </row>
    <row r="778">
      <c r="A778" s="1"/>
      <c r="B778" s="2"/>
      <c r="C778" s="3"/>
      <c r="G778" s="4"/>
      <c r="V778" s="5"/>
    </row>
    <row r="779">
      <c r="A779" s="1"/>
      <c r="B779" s="2"/>
      <c r="C779" s="3"/>
      <c r="G779" s="4"/>
      <c r="V779" s="5"/>
    </row>
    <row r="780">
      <c r="A780" s="1"/>
      <c r="B780" s="2"/>
      <c r="C780" s="3"/>
      <c r="G780" s="4"/>
      <c r="V780" s="5"/>
    </row>
    <row r="781">
      <c r="A781" s="1"/>
      <c r="B781" s="2"/>
      <c r="C781" s="3"/>
      <c r="G781" s="4"/>
      <c r="V781" s="5"/>
    </row>
    <row r="782">
      <c r="A782" s="1"/>
      <c r="B782" s="2"/>
      <c r="C782" s="3"/>
      <c r="G782" s="4"/>
      <c r="V782" s="5"/>
    </row>
    <row r="783">
      <c r="A783" s="1"/>
      <c r="B783" s="2"/>
      <c r="C783" s="3"/>
      <c r="G783" s="4"/>
      <c r="V783" s="5"/>
    </row>
    <row r="784">
      <c r="A784" s="1"/>
      <c r="B784" s="2"/>
      <c r="C784" s="3"/>
      <c r="G784" s="4"/>
      <c r="V784" s="5"/>
    </row>
    <row r="785">
      <c r="A785" s="1"/>
      <c r="B785" s="2"/>
      <c r="C785" s="3"/>
      <c r="G785" s="4"/>
      <c r="V785" s="5"/>
    </row>
    <row r="786">
      <c r="A786" s="1"/>
      <c r="B786" s="2"/>
      <c r="C786" s="3"/>
      <c r="G786" s="4"/>
      <c r="V786" s="5"/>
    </row>
    <row r="787">
      <c r="A787" s="1"/>
      <c r="B787" s="2"/>
      <c r="C787" s="3"/>
      <c r="G787" s="4"/>
      <c r="V787" s="5"/>
    </row>
    <row r="788">
      <c r="A788" s="1"/>
      <c r="B788" s="2"/>
      <c r="C788" s="3"/>
      <c r="G788" s="4"/>
      <c r="V788" s="5"/>
    </row>
    <row r="789">
      <c r="A789" s="1"/>
      <c r="B789" s="2"/>
      <c r="C789" s="3"/>
      <c r="G789" s="4"/>
      <c r="V789" s="5"/>
    </row>
    <row r="790">
      <c r="A790" s="1"/>
      <c r="B790" s="2"/>
      <c r="C790" s="3"/>
      <c r="G790" s="4"/>
      <c r="V790" s="5"/>
    </row>
    <row r="791">
      <c r="A791" s="1"/>
      <c r="B791" s="2"/>
      <c r="C791" s="3"/>
      <c r="G791" s="4"/>
      <c r="V791" s="5"/>
    </row>
    <row r="792">
      <c r="A792" s="1"/>
      <c r="B792" s="2"/>
      <c r="C792" s="3"/>
      <c r="G792" s="4"/>
      <c r="V792" s="5"/>
    </row>
    <row r="793">
      <c r="A793" s="1"/>
      <c r="B793" s="2"/>
      <c r="C793" s="3"/>
      <c r="G793" s="4"/>
      <c r="V793" s="5"/>
    </row>
    <row r="794">
      <c r="A794" s="1"/>
      <c r="B794" s="2"/>
      <c r="C794" s="3"/>
      <c r="G794" s="4"/>
      <c r="V794" s="5"/>
    </row>
    <row r="795">
      <c r="A795" s="1"/>
      <c r="B795" s="2"/>
      <c r="C795" s="3"/>
      <c r="G795" s="4"/>
      <c r="V795" s="5"/>
    </row>
    <row r="796">
      <c r="A796" s="1"/>
      <c r="B796" s="2"/>
      <c r="C796" s="3"/>
      <c r="G796" s="4"/>
      <c r="V796" s="5"/>
    </row>
    <row r="797">
      <c r="A797" s="1"/>
      <c r="B797" s="2"/>
      <c r="C797" s="3"/>
      <c r="G797" s="4"/>
      <c r="V797" s="5"/>
    </row>
    <row r="798">
      <c r="A798" s="1"/>
      <c r="B798" s="2"/>
      <c r="C798" s="3"/>
      <c r="G798" s="4"/>
      <c r="V798" s="5"/>
    </row>
    <row r="799">
      <c r="A799" s="1"/>
      <c r="B799" s="2"/>
      <c r="C799" s="3"/>
      <c r="G799" s="4"/>
      <c r="V799" s="5"/>
    </row>
    <row r="800">
      <c r="A800" s="1"/>
      <c r="B800" s="2"/>
      <c r="C800" s="3"/>
      <c r="G800" s="4"/>
      <c r="V800" s="5"/>
    </row>
    <row r="801">
      <c r="A801" s="1"/>
      <c r="B801" s="2"/>
      <c r="C801" s="3"/>
      <c r="G801" s="4"/>
      <c r="V801" s="5"/>
    </row>
    <row r="802">
      <c r="A802" s="1"/>
      <c r="B802" s="2"/>
      <c r="C802" s="3"/>
      <c r="G802" s="4"/>
      <c r="V802" s="5"/>
    </row>
    <row r="803">
      <c r="A803" s="1"/>
      <c r="B803" s="2"/>
      <c r="C803" s="3"/>
      <c r="G803" s="4"/>
      <c r="V803" s="5"/>
    </row>
    <row r="804">
      <c r="A804" s="1"/>
      <c r="B804" s="2"/>
      <c r="C804" s="3"/>
      <c r="G804" s="4"/>
      <c r="V804" s="5"/>
    </row>
    <row r="805">
      <c r="A805" s="1"/>
      <c r="B805" s="2"/>
      <c r="C805" s="3"/>
      <c r="G805" s="4"/>
      <c r="V805" s="5"/>
    </row>
    <row r="806">
      <c r="A806" s="1"/>
      <c r="B806" s="2"/>
      <c r="C806" s="3"/>
      <c r="G806" s="4"/>
      <c r="V806" s="5"/>
    </row>
    <row r="807">
      <c r="A807" s="1"/>
      <c r="B807" s="2"/>
      <c r="C807" s="3"/>
      <c r="G807" s="4"/>
      <c r="V807" s="5"/>
    </row>
    <row r="808">
      <c r="A808" s="1"/>
      <c r="B808" s="2"/>
      <c r="C808" s="3"/>
      <c r="G808" s="4"/>
      <c r="V808" s="5"/>
    </row>
    <row r="809">
      <c r="A809" s="1"/>
      <c r="B809" s="2"/>
      <c r="C809" s="3"/>
      <c r="G809" s="4"/>
      <c r="V809" s="5"/>
    </row>
    <row r="810">
      <c r="A810" s="1"/>
      <c r="B810" s="2"/>
      <c r="C810" s="3"/>
      <c r="G810" s="4"/>
      <c r="V810" s="5"/>
    </row>
    <row r="811">
      <c r="A811" s="1"/>
      <c r="B811" s="2"/>
      <c r="C811" s="3"/>
      <c r="G811" s="4"/>
      <c r="V811" s="5"/>
    </row>
    <row r="812">
      <c r="A812" s="1"/>
      <c r="B812" s="2"/>
      <c r="C812" s="3"/>
      <c r="G812" s="4"/>
      <c r="V812" s="5"/>
    </row>
    <row r="813">
      <c r="A813" s="1"/>
      <c r="B813" s="2"/>
      <c r="C813" s="3"/>
      <c r="G813" s="4"/>
      <c r="V813" s="5"/>
    </row>
    <row r="814">
      <c r="A814" s="1"/>
      <c r="B814" s="2"/>
      <c r="C814" s="3"/>
      <c r="G814" s="4"/>
      <c r="V814" s="5"/>
    </row>
    <row r="815">
      <c r="A815" s="1"/>
      <c r="B815" s="2"/>
      <c r="C815" s="3"/>
      <c r="G815" s="4"/>
      <c r="V815" s="5"/>
    </row>
    <row r="816">
      <c r="A816" s="1"/>
      <c r="B816" s="2"/>
      <c r="C816" s="3"/>
      <c r="G816" s="4"/>
      <c r="V816" s="5"/>
    </row>
    <row r="817">
      <c r="A817" s="1"/>
      <c r="B817" s="2"/>
      <c r="C817" s="3"/>
      <c r="G817" s="4"/>
      <c r="V817" s="5"/>
    </row>
    <row r="818">
      <c r="A818" s="1"/>
      <c r="B818" s="2"/>
      <c r="C818" s="3"/>
      <c r="G818" s="4"/>
      <c r="V818" s="5"/>
    </row>
    <row r="819">
      <c r="A819" s="1"/>
      <c r="B819" s="2"/>
      <c r="C819" s="3"/>
      <c r="G819" s="4"/>
      <c r="V819" s="5"/>
    </row>
    <row r="820">
      <c r="A820" s="1"/>
      <c r="B820" s="2"/>
      <c r="C820" s="3"/>
      <c r="G820" s="4"/>
      <c r="V820" s="5"/>
    </row>
    <row r="821">
      <c r="A821" s="1"/>
      <c r="B821" s="2"/>
      <c r="C821" s="3"/>
      <c r="G821" s="4"/>
      <c r="V821" s="5"/>
    </row>
    <row r="822">
      <c r="A822" s="1"/>
      <c r="B822" s="2"/>
      <c r="C822" s="3"/>
      <c r="G822" s="4"/>
      <c r="V822" s="5"/>
    </row>
    <row r="823">
      <c r="A823" s="1"/>
      <c r="B823" s="2"/>
      <c r="C823" s="3"/>
      <c r="G823" s="4"/>
      <c r="V823" s="5"/>
    </row>
    <row r="824">
      <c r="A824" s="1"/>
      <c r="B824" s="2"/>
      <c r="C824" s="3"/>
      <c r="G824" s="4"/>
      <c r="V824" s="5"/>
    </row>
    <row r="825">
      <c r="A825" s="1"/>
      <c r="B825" s="2"/>
      <c r="C825" s="3"/>
      <c r="G825" s="4"/>
      <c r="V825" s="5"/>
    </row>
    <row r="826">
      <c r="A826" s="1"/>
      <c r="B826" s="2"/>
      <c r="C826" s="3"/>
      <c r="G826" s="4"/>
      <c r="V826" s="5"/>
    </row>
    <row r="827">
      <c r="A827" s="1"/>
      <c r="B827" s="2"/>
      <c r="C827" s="3"/>
      <c r="G827" s="4"/>
      <c r="V827" s="5"/>
    </row>
    <row r="828">
      <c r="A828" s="1"/>
      <c r="B828" s="2"/>
      <c r="C828" s="3"/>
      <c r="G828" s="4"/>
      <c r="V828" s="5"/>
    </row>
    <row r="829">
      <c r="A829" s="1"/>
      <c r="B829" s="2"/>
      <c r="C829" s="3"/>
      <c r="G829" s="4"/>
      <c r="V829" s="5"/>
    </row>
    <row r="830">
      <c r="A830" s="1"/>
      <c r="B830" s="2"/>
      <c r="C830" s="3"/>
      <c r="G830" s="4"/>
      <c r="V830" s="5"/>
    </row>
    <row r="831">
      <c r="A831" s="1"/>
      <c r="B831" s="2"/>
      <c r="C831" s="3"/>
      <c r="G831" s="4"/>
      <c r="V831" s="5"/>
    </row>
    <row r="832">
      <c r="A832" s="1"/>
      <c r="B832" s="2"/>
      <c r="C832" s="3"/>
      <c r="G832" s="4"/>
      <c r="V832" s="5"/>
    </row>
    <row r="833">
      <c r="A833" s="1"/>
      <c r="B833" s="2"/>
      <c r="C833" s="3"/>
      <c r="G833" s="4"/>
      <c r="V833" s="5"/>
    </row>
    <row r="834">
      <c r="A834" s="1"/>
      <c r="B834" s="2"/>
      <c r="C834" s="3"/>
      <c r="G834" s="4"/>
      <c r="V834" s="5"/>
    </row>
    <row r="835">
      <c r="A835" s="1"/>
      <c r="B835" s="2"/>
      <c r="C835" s="3"/>
      <c r="G835" s="4"/>
      <c r="V835" s="5"/>
    </row>
    <row r="836">
      <c r="A836" s="1"/>
      <c r="B836" s="2"/>
      <c r="C836" s="3"/>
      <c r="G836" s="4"/>
      <c r="V836" s="5"/>
    </row>
    <row r="837">
      <c r="A837" s="1"/>
      <c r="B837" s="2"/>
      <c r="C837" s="3"/>
      <c r="G837" s="4"/>
      <c r="V837" s="5"/>
    </row>
    <row r="838">
      <c r="A838" s="1"/>
      <c r="B838" s="2"/>
      <c r="C838" s="3"/>
      <c r="G838" s="4"/>
      <c r="V838" s="5"/>
    </row>
    <row r="839">
      <c r="A839" s="1"/>
      <c r="B839" s="2"/>
      <c r="C839" s="3"/>
      <c r="G839" s="4"/>
      <c r="V839" s="5"/>
    </row>
    <row r="840">
      <c r="A840" s="1"/>
      <c r="B840" s="2"/>
      <c r="C840" s="3"/>
      <c r="G840" s="4"/>
      <c r="V840" s="5"/>
    </row>
    <row r="841">
      <c r="A841" s="1"/>
      <c r="B841" s="2"/>
      <c r="C841" s="3"/>
      <c r="G841" s="4"/>
      <c r="V841" s="5"/>
    </row>
    <row r="842">
      <c r="A842" s="1"/>
      <c r="B842" s="2"/>
      <c r="C842" s="3"/>
      <c r="G842" s="4"/>
      <c r="V842" s="5"/>
    </row>
    <row r="843">
      <c r="A843" s="1"/>
      <c r="B843" s="2"/>
      <c r="C843" s="3"/>
      <c r="G843" s="4"/>
      <c r="V843" s="5"/>
    </row>
    <row r="844">
      <c r="A844" s="1"/>
      <c r="B844" s="2"/>
      <c r="C844" s="3"/>
      <c r="G844" s="4"/>
      <c r="V844" s="5"/>
    </row>
    <row r="845">
      <c r="A845" s="1"/>
      <c r="B845" s="2"/>
      <c r="C845" s="3"/>
      <c r="G845" s="4"/>
      <c r="V845" s="5"/>
    </row>
    <row r="846">
      <c r="A846" s="1"/>
      <c r="B846" s="2"/>
      <c r="C846" s="3"/>
      <c r="G846" s="4"/>
      <c r="V846" s="5"/>
    </row>
    <row r="847">
      <c r="A847" s="1"/>
      <c r="B847" s="2"/>
      <c r="C847" s="3"/>
      <c r="G847" s="4"/>
      <c r="V847" s="5"/>
    </row>
    <row r="848">
      <c r="A848" s="1"/>
      <c r="B848" s="2"/>
      <c r="C848" s="3"/>
      <c r="G848" s="4"/>
      <c r="V848" s="5"/>
    </row>
    <row r="849">
      <c r="A849" s="1"/>
      <c r="B849" s="2"/>
      <c r="C849" s="3"/>
      <c r="G849" s="4"/>
      <c r="V849" s="5"/>
    </row>
    <row r="850">
      <c r="A850" s="1"/>
      <c r="B850" s="2"/>
      <c r="C850" s="3"/>
      <c r="G850" s="4"/>
      <c r="V850" s="5"/>
    </row>
    <row r="851">
      <c r="A851" s="1"/>
      <c r="B851" s="2"/>
      <c r="C851" s="3"/>
      <c r="G851" s="4"/>
      <c r="V851" s="5"/>
    </row>
    <row r="852">
      <c r="A852" s="1"/>
      <c r="B852" s="2"/>
      <c r="C852" s="3"/>
      <c r="G852" s="4"/>
      <c r="V852" s="5"/>
    </row>
    <row r="853">
      <c r="A853" s="1"/>
      <c r="B853" s="2"/>
      <c r="C853" s="3"/>
      <c r="G853" s="4"/>
      <c r="V853" s="5"/>
    </row>
    <row r="854">
      <c r="A854" s="1"/>
      <c r="B854" s="2"/>
      <c r="C854" s="3"/>
      <c r="G854" s="4"/>
      <c r="V854" s="5"/>
    </row>
    <row r="855">
      <c r="A855" s="1"/>
      <c r="B855" s="2"/>
      <c r="C855" s="3"/>
      <c r="G855" s="4"/>
      <c r="V855" s="5"/>
    </row>
    <row r="856">
      <c r="A856" s="1"/>
      <c r="B856" s="2"/>
      <c r="C856" s="3"/>
      <c r="G856" s="4"/>
      <c r="V856" s="5"/>
    </row>
    <row r="857">
      <c r="A857" s="1"/>
      <c r="B857" s="2"/>
      <c r="C857" s="3"/>
      <c r="G857" s="4"/>
      <c r="V857" s="5"/>
    </row>
    <row r="858">
      <c r="A858" s="1"/>
      <c r="B858" s="2"/>
      <c r="C858" s="3"/>
      <c r="G858" s="4"/>
      <c r="V858" s="5"/>
    </row>
    <row r="859">
      <c r="A859" s="1"/>
      <c r="B859" s="2"/>
      <c r="C859" s="3"/>
      <c r="G859" s="4"/>
      <c r="V859" s="5"/>
    </row>
    <row r="860">
      <c r="A860" s="1"/>
      <c r="B860" s="2"/>
      <c r="C860" s="3"/>
      <c r="G860" s="4"/>
      <c r="V860" s="5"/>
    </row>
    <row r="861">
      <c r="A861" s="1"/>
      <c r="B861" s="2"/>
      <c r="C861" s="3"/>
      <c r="G861" s="4"/>
      <c r="V861" s="5"/>
    </row>
    <row r="862">
      <c r="A862" s="1"/>
      <c r="B862" s="2"/>
      <c r="C862" s="3"/>
      <c r="G862" s="4"/>
      <c r="V862" s="5"/>
    </row>
    <row r="863">
      <c r="A863" s="1"/>
      <c r="B863" s="2"/>
      <c r="C863" s="3"/>
      <c r="G863" s="4"/>
      <c r="V863" s="5"/>
    </row>
    <row r="864">
      <c r="A864" s="1"/>
      <c r="B864" s="2"/>
      <c r="C864" s="3"/>
      <c r="G864" s="4"/>
      <c r="V864" s="5"/>
    </row>
    <row r="865">
      <c r="A865" s="1"/>
      <c r="B865" s="2"/>
      <c r="C865" s="3"/>
      <c r="G865" s="4"/>
      <c r="V865" s="5"/>
    </row>
    <row r="866">
      <c r="A866" s="1"/>
      <c r="B866" s="2"/>
      <c r="C866" s="3"/>
      <c r="G866" s="4"/>
      <c r="V866" s="5"/>
    </row>
    <row r="867">
      <c r="A867" s="1"/>
      <c r="B867" s="2"/>
      <c r="C867" s="3"/>
      <c r="G867" s="4"/>
      <c r="V867" s="5"/>
    </row>
    <row r="868">
      <c r="A868" s="1"/>
      <c r="B868" s="2"/>
      <c r="C868" s="3"/>
      <c r="G868" s="4"/>
      <c r="V868" s="5"/>
    </row>
    <row r="869">
      <c r="A869" s="1"/>
      <c r="B869" s="2"/>
      <c r="C869" s="3"/>
      <c r="G869" s="4"/>
      <c r="V869" s="5"/>
    </row>
    <row r="870">
      <c r="A870" s="1"/>
      <c r="B870" s="2"/>
      <c r="C870" s="3"/>
      <c r="G870" s="4"/>
      <c r="V870" s="5"/>
    </row>
    <row r="871">
      <c r="A871" s="1"/>
      <c r="B871" s="2"/>
      <c r="C871" s="3"/>
      <c r="G871" s="4"/>
      <c r="V871" s="5"/>
    </row>
    <row r="872">
      <c r="A872" s="1"/>
      <c r="B872" s="2"/>
      <c r="C872" s="3"/>
      <c r="G872" s="4"/>
      <c r="V872" s="5"/>
    </row>
    <row r="873">
      <c r="A873" s="1"/>
      <c r="B873" s="2"/>
      <c r="C873" s="3"/>
      <c r="G873" s="4"/>
      <c r="V873" s="5"/>
    </row>
    <row r="874">
      <c r="A874" s="1"/>
      <c r="B874" s="2"/>
      <c r="C874" s="3"/>
      <c r="G874" s="4"/>
      <c r="V874" s="5"/>
    </row>
    <row r="875">
      <c r="A875" s="1"/>
      <c r="B875" s="2"/>
      <c r="C875" s="3"/>
      <c r="G875" s="4"/>
      <c r="V875" s="5"/>
    </row>
    <row r="876">
      <c r="A876" s="1"/>
      <c r="B876" s="2"/>
      <c r="C876" s="3"/>
      <c r="G876" s="4"/>
      <c r="V876" s="5"/>
    </row>
    <row r="877">
      <c r="A877" s="1"/>
      <c r="B877" s="2"/>
      <c r="C877" s="3"/>
      <c r="G877" s="4"/>
      <c r="V877" s="5"/>
    </row>
    <row r="878">
      <c r="A878" s="1"/>
      <c r="B878" s="2"/>
      <c r="C878" s="3"/>
      <c r="G878" s="4"/>
      <c r="V878" s="5"/>
    </row>
    <row r="879">
      <c r="A879" s="1"/>
      <c r="B879" s="2"/>
      <c r="C879" s="3"/>
      <c r="G879" s="4"/>
      <c r="V879" s="5"/>
    </row>
    <row r="880">
      <c r="A880" s="1"/>
      <c r="B880" s="2"/>
      <c r="C880" s="3"/>
      <c r="G880" s="4"/>
      <c r="V880" s="5"/>
    </row>
    <row r="881">
      <c r="A881" s="1"/>
      <c r="B881" s="2"/>
      <c r="C881" s="3"/>
      <c r="G881" s="4"/>
      <c r="V881" s="5"/>
    </row>
    <row r="882">
      <c r="A882" s="1"/>
      <c r="B882" s="2"/>
      <c r="C882" s="3"/>
      <c r="G882" s="4"/>
      <c r="V882" s="5"/>
    </row>
    <row r="883">
      <c r="A883" s="1"/>
      <c r="B883" s="2"/>
      <c r="C883" s="3"/>
      <c r="G883" s="4"/>
      <c r="V883" s="5"/>
    </row>
    <row r="884">
      <c r="A884" s="1"/>
      <c r="B884" s="2"/>
      <c r="C884" s="3"/>
      <c r="G884" s="4"/>
      <c r="V884" s="5"/>
    </row>
    <row r="885">
      <c r="A885" s="1"/>
      <c r="B885" s="2"/>
      <c r="C885" s="3"/>
      <c r="G885" s="4"/>
      <c r="V885" s="5"/>
    </row>
    <row r="886">
      <c r="A886" s="1"/>
      <c r="B886" s="2"/>
      <c r="C886" s="3"/>
      <c r="G886" s="4"/>
      <c r="V886" s="5"/>
    </row>
    <row r="887">
      <c r="A887" s="1"/>
      <c r="B887" s="2"/>
      <c r="C887" s="3"/>
      <c r="G887" s="4"/>
      <c r="V887" s="5"/>
    </row>
    <row r="888">
      <c r="A888" s="1"/>
      <c r="B888" s="2"/>
      <c r="C888" s="3"/>
      <c r="G888" s="4"/>
      <c r="V888" s="5"/>
    </row>
    <row r="889">
      <c r="A889" s="1"/>
      <c r="B889" s="2"/>
      <c r="C889" s="3"/>
      <c r="G889" s="4"/>
      <c r="V889" s="5"/>
    </row>
    <row r="890">
      <c r="A890" s="1"/>
      <c r="B890" s="2"/>
      <c r="C890" s="3"/>
      <c r="G890" s="4"/>
      <c r="V890" s="5"/>
    </row>
    <row r="891">
      <c r="A891" s="1"/>
      <c r="B891" s="2"/>
      <c r="C891" s="3"/>
      <c r="G891" s="4"/>
      <c r="V891" s="5"/>
    </row>
    <row r="892">
      <c r="A892" s="1"/>
      <c r="B892" s="2"/>
      <c r="C892" s="3"/>
      <c r="G892" s="4"/>
      <c r="V892" s="5"/>
    </row>
    <row r="893">
      <c r="A893" s="1"/>
      <c r="B893" s="2"/>
      <c r="C893" s="3"/>
      <c r="G893" s="4"/>
      <c r="V893" s="5"/>
    </row>
    <row r="894">
      <c r="A894" s="1"/>
      <c r="B894" s="2"/>
      <c r="C894" s="3"/>
      <c r="G894" s="4"/>
      <c r="V894" s="5"/>
    </row>
    <row r="895">
      <c r="A895" s="1"/>
      <c r="B895" s="2"/>
      <c r="C895" s="3"/>
      <c r="G895" s="4"/>
      <c r="V895" s="5"/>
    </row>
    <row r="896">
      <c r="A896" s="1"/>
      <c r="B896" s="2"/>
      <c r="C896" s="3"/>
      <c r="G896" s="4"/>
      <c r="V896" s="5"/>
    </row>
    <row r="897">
      <c r="A897" s="1"/>
      <c r="B897" s="2"/>
      <c r="C897" s="3"/>
      <c r="G897" s="4"/>
      <c r="V897" s="5"/>
    </row>
    <row r="898">
      <c r="A898" s="1"/>
      <c r="B898" s="2"/>
      <c r="C898" s="3"/>
      <c r="G898" s="4"/>
      <c r="V898" s="5"/>
    </row>
    <row r="899">
      <c r="A899" s="1"/>
      <c r="B899" s="2"/>
      <c r="C899" s="3"/>
      <c r="G899" s="4"/>
      <c r="V899" s="5"/>
    </row>
    <row r="900">
      <c r="A900" s="1"/>
      <c r="B900" s="2"/>
      <c r="C900" s="3"/>
      <c r="G900" s="4"/>
      <c r="V900" s="5"/>
    </row>
    <row r="901">
      <c r="A901" s="1"/>
      <c r="B901" s="2"/>
      <c r="C901" s="3"/>
      <c r="G901" s="4"/>
      <c r="V901" s="5"/>
    </row>
    <row r="902">
      <c r="A902" s="1"/>
      <c r="B902" s="2"/>
      <c r="C902" s="3"/>
      <c r="G902" s="4"/>
      <c r="V902" s="5"/>
    </row>
    <row r="903">
      <c r="A903" s="1"/>
      <c r="B903" s="2"/>
      <c r="C903" s="3"/>
      <c r="G903" s="4"/>
      <c r="V903" s="5"/>
    </row>
    <row r="904">
      <c r="A904" s="1"/>
      <c r="B904" s="2"/>
      <c r="C904" s="3"/>
      <c r="G904" s="4"/>
      <c r="V904" s="5"/>
    </row>
    <row r="905">
      <c r="A905" s="1"/>
      <c r="B905" s="2"/>
      <c r="C905" s="3"/>
      <c r="G905" s="4"/>
      <c r="V905" s="5"/>
    </row>
    <row r="906">
      <c r="A906" s="1"/>
      <c r="B906" s="2"/>
      <c r="C906" s="3"/>
      <c r="G906" s="4"/>
      <c r="V906" s="5"/>
    </row>
    <row r="907">
      <c r="A907" s="1"/>
      <c r="B907" s="2"/>
      <c r="C907" s="3"/>
      <c r="G907" s="4"/>
      <c r="V907" s="5"/>
    </row>
    <row r="908">
      <c r="A908" s="1"/>
      <c r="B908" s="2"/>
      <c r="C908" s="3"/>
      <c r="G908" s="4"/>
      <c r="V908" s="5"/>
    </row>
    <row r="909">
      <c r="A909" s="1"/>
      <c r="B909" s="2"/>
      <c r="C909" s="3"/>
      <c r="G909" s="4"/>
      <c r="V909" s="5"/>
    </row>
    <row r="910">
      <c r="A910" s="1"/>
      <c r="B910" s="2"/>
      <c r="C910" s="3"/>
      <c r="G910" s="4"/>
      <c r="V910" s="5"/>
    </row>
    <row r="911">
      <c r="A911" s="1"/>
      <c r="B911" s="2"/>
      <c r="C911" s="3"/>
      <c r="G911" s="4"/>
      <c r="V911" s="5"/>
    </row>
    <row r="912">
      <c r="A912" s="1"/>
      <c r="B912" s="2"/>
      <c r="C912" s="3"/>
      <c r="G912" s="4"/>
      <c r="V912" s="5"/>
    </row>
    <row r="913">
      <c r="A913" s="1"/>
      <c r="B913" s="2"/>
      <c r="C913" s="3"/>
      <c r="G913" s="4"/>
      <c r="V913" s="5"/>
    </row>
    <row r="914">
      <c r="A914" s="1"/>
      <c r="B914" s="2"/>
      <c r="C914" s="3"/>
      <c r="G914" s="4"/>
      <c r="V914" s="5"/>
    </row>
    <row r="915">
      <c r="A915" s="1"/>
      <c r="B915" s="2"/>
      <c r="C915" s="3"/>
      <c r="G915" s="4"/>
      <c r="V915" s="5"/>
    </row>
    <row r="916">
      <c r="A916" s="1"/>
      <c r="B916" s="2"/>
      <c r="C916" s="3"/>
      <c r="G916" s="4"/>
      <c r="V916" s="5"/>
    </row>
    <row r="917">
      <c r="A917" s="1"/>
      <c r="B917" s="2"/>
      <c r="C917" s="3"/>
      <c r="G917" s="4"/>
      <c r="V917" s="5"/>
    </row>
    <row r="918">
      <c r="A918" s="1"/>
      <c r="B918" s="2"/>
      <c r="C918" s="3"/>
      <c r="G918" s="4"/>
      <c r="V918" s="5"/>
    </row>
    <row r="919">
      <c r="A919" s="1"/>
      <c r="B919" s="2"/>
      <c r="C919" s="3"/>
      <c r="G919" s="4"/>
      <c r="V919" s="5"/>
    </row>
    <row r="920">
      <c r="A920" s="1"/>
      <c r="B920" s="2"/>
      <c r="C920" s="3"/>
      <c r="G920" s="4"/>
      <c r="V920" s="5"/>
    </row>
    <row r="921">
      <c r="A921" s="1"/>
      <c r="B921" s="2"/>
      <c r="C921" s="3"/>
      <c r="G921" s="4"/>
      <c r="V921" s="5"/>
    </row>
    <row r="922">
      <c r="A922" s="1"/>
      <c r="B922" s="2"/>
      <c r="C922" s="3"/>
      <c r="G922" s="4"/>
      <c r="V922" s="5"/>
    </row>
    <row r="923">
      <c r="A923" s="1"/>
      <c r="B923" s="2"/>
      <c r="C923" s="3"/>
      <c r="G923" s="4"/>
      <c r="V923" s="5"/>
    </row>
    <row r="924">
      <c r="A924" s="1"/>
      <c r="B924" s="2"/>
      <c r="C924" s="3"/>
      <c r="G924" s="4"/>
      <c r="V924" s="5"/>
    </row>
    <row r="925">
      <c r="A925" s="1"/>
      <c r="B925" s="2"/>
      <c r="C925" s="3"/>
      <c r="G925" s="4"/>
      <c r="V925" s="5"/>
    </row>
    <row r="926">
      <c r="A926" s="1"/>
      <c r="B926" s="2"/>
      <c r="C926" s="3"/>
      <c r="G926" s="4"/>
      <c r="V926" s="5"/>
    </row>
    <row r="927">
      <c r="A927" s="1"/>
      <c r="B927" s="2"/>
      <c r="C927" s="3"/>
      <c r="G927" s="4"/>
      <c r="V927" s="5"/>
    </row>
    <row r="928">
      <c r="A928" s="1"/>
      <c r="B928" s="2"/>
      <c r="C928" s="3"/>
      <c r="G928" s="4"/>
      <c r="V928" s="5"/>
    </row>
    <row r="929">
      <c r="A929" s="1"/>
      <c r="B929" s="2"/>
      <c r="C929" s="3"/>
      <c r="G929" s="4"/>
      <c r="V929" s="5"/>
    </row>
    <row r="930">
      <c r="A930" s="1"/>
      <c r="B930" s="2"/>
      <c r="C930" s="3"/>
      <c r="G930" s="4"/>
      <c r="V930" s="5"/>
    </row>
    <row r="931">
      <c r="A931" s="1"/>
      <c r="B931" s="2"/>
      <c r="C931" s="3"/>
      <c r="G931" s="4"/>
      <c r="V931" s="5"/>
    </row>
    <row r="932">
      <c r="A932" s="1"/>
      <c r="B932" s="2"/>
      <c r="C932" s="3"/>
      <c r="G932" s="4"/>
      <c r="V932" s="5"/>
    </row>
    <row r="933">
      <c r="A933" s="1"/>
      <c r="B933" s="2"/>
      <c r="C933" s="3"/>
      <c r="G933" s="4"/>
      <c r="V933" s="5"/>
    </row>
    <row r="934">
      <c r="A934" s="1"/>
      <c r="B934" s="2"/>
      <c r="C934" s="3"/>
      <c r="G934" s="4"/>
      <c r="V934" s="5"/>
    </row>
    <row r="935">
      <c r="A935" s="1"/>
      <c r="B935" s="2"/>
      <c r="C935" s="3"/>
      <c r="G935" s="4"/>
      <c r="V935" s="5"/>
    </row>
    <row r="936">
      <c r="A936" s="1"/>
      <c r="B936" s="2"/>
      <c r="C936" s="3"/>
      <c r="G936" s="4"/>
      <c r="V936" s="5"/>
    </row>
    <row r="937">
      <c r="A937" s="1"/>
      <c r="B937" s="2"/>
      <c r="C937" s="3"/>
      <c r="G937" s="4"/>
      <c r="V937" s="5"/>
    </row>
    <row r="938">
      <c r="A938" s="1"/>
      <c r="B938" s="2"/>
      <c r="C938" s="3"/>
      <c r="G938" s="4"/>
      <c r="V938" s="5"/>
    </row>
    <row r="939">
      <c r="A939" s="1"/>
      <c r="B939" s="2"/>
      <c r="C939" s="3"/>
      <c r="G939" s="4"/>
      <c r="V939" s="5"/>
    </row>
    <row r="940">
      <c r="A940" s="1"/>
      <c r="B940" s="2"/>
      <c r="C940" s="3"/>
      <c r="G940" s="4"/>
      <c r="V940" s="5"/>
    </row>
    <row r="941">
      <c r="A941" s="1"/>
      <c r="B941" s="2"/>
      <c r="C941" s="3"/>
      <c r="G941" s="4"/>
      <c r="V941" s="5"/>
    </row>
    <row r="942">
      <c r="A942" s="1"/>
      <c r="B942" s="2"/>
      <c r="C942" s="3"/>
      <c r="G942" s="4"/>
      <c r="V942" s="5"/>
    </row>
    <row r="943">
      <c r="A943" s="1"/>
      <c r="B943" s="2"/>
      <c r="C943" s="3"/>
      <c r="G943" s="4"/>
      <c r="V943" s="5"/>
    </row>
    <row r="944">
      <c r="A944" s="1"/>
      <c r="B944" s="2"/>
      <c r="C944" s="3"/>
      <c r="G944" s="4"/>
      <c r="V944" s="5"/>
    </row>
    <row r="945">
      <c r="A945" s="1"/>
      <c r="B945" s="2"/>
      <c r="C945" s="3"/>
      <c r="G945" s="4"/>
      <c r="V945" s="5"/>
    </row>
    <row r="946">
      <c r="A946" s="1"/>
      <c r="B946" s="2"/>
      <c r="C946" s="3"/>
      <c r="G946" s="4"/>
      <c r="V946" s="5"/>
    </row>
    <row r="947">
      <c r="A947" s="1"/>
      <c r="B947" s="2"/>
      <c r="C947" s="3"/>
      <c r="G947" s="4"/>
      <c r="V947" s="5"/>
    </row>
    <row r="948">
      <c r="A948" s="1"/>
      <c r="B948" s="2"/>
      <c r="C948" s="3"/>
      <c r="G948" s="4"/>
      <c r="V948" s="5"/>
    </row>
    <row r="949">
      <c r="A949" s="1"/>
      <c r="B949" s="2"/>
      <c r="C949" s="3"/>
      <c r="G949" s="4"/>
      <c r="V949" s="5"/>
    </row>
    <row r="950">
      <c r="A950" s="1"/>
      <c r="B950" s="2"/>
      <c r="C950" s="3"/>
      <c r="G950" s="4"/>
      <c r="V950" s="5"/>
    </row>
    <row r="951">
      <c r="A951" s="1"/>
      <c r="B951" s="2"/>
      <c r="C951" s="3"/>
      <c r="G951" s="4"/>
      <c r="V951" s="5"/>
    </row>
    <row r="952">
      <c r="A952" s="1"/>
      <c r="B952" s="2"/>
      <c r="C952" s="3"/>
      <c r="G952" s="4"/>
      <c r="V952" s="5"/>
    </row>
    <row r="953">
      <c r="A953" s="1"/>
      <c r="B953" s="2"/>
      <c r="C953" s="3"/>
      <c r="G953" s="4"/>
      <c r="V953" s="5"/>
    </row>
    <row r="954">
      <c r="A954" s="1"/>
      <c r="B954" s="2"/>
      <c r="C954" s="3"/>
      <c r="G954" s="4"/>
      <c r="V954" s="5"/>
    </row>
    <row r="955">
      <c r="A955" s="1"/>
      <c r="B955" s="2"/>
      <c r="C955" s="3"/>
      <c r="G955" s="4"/>
      <c r="V955" s="5"/>
    </row>
    <row r="956">
      <c r="A956" s="1"/>
      <c r="B956" s="2"/>
      <c r="C956" s="3"/>
      <c r="G956" s="4"/>
      <c r="V956" s="5"/>
    </row>
    <row r="957">
      <c r="A957" s="1"/>
      <c r="B957" s="2"/>
      <c r="C957" s="3"/>
      <c r="G957" s="4"/>
      <c r="V957" s="5"/>
    </row>
    <row r="958">
      <c r="A958" s="1"/>
      <c r="B958" s="2"/>
      <c r="C958" s="3"/>
      <c r="G958" s="4"/>
      <c r="V958" s="5"/>
    </row>
    <row r="959">
      <c r="A959" s="1"/>
      <c r="B959" s="2"/>
      <c r="C959" s="3"/>
      <c r="G959" s="4"/>
      <c r="V959" s="5"/>
    </row>
    <row r="960">
      <c r="A960" s="1"/>
      <c r="B960" s="2"/>
      <c r="C960" s="3"/>
      <c r="G960" s="4"/>
      <c r="V960" s="5"/>
    </row>
    <row r="961">
      <c r="A961" s="1"/>
      <c r="B961" s="2"/>
      <c r="C961" s="3"/>
      <c r="G961" s="4"/>
      <c r="V961" s="5"/>
    </row>
    <row r="962">
      <c r="A962" s="1"/>
      <c r="B962" s="2"/>
      <c r="C962" s="3"/>
      <c r="G962" s="4"/>
      <c r="V962" s="5"/>
    </row>
    <row r="963">
      <c r="A963" s="1"/>
      <c r="B963" s="2"/>
      <c r="C963" s="3"/>
      <c r="G963" s="4"/>
      <c r="V963" s="5"/>
    </row>
    <row r="964">
      <c r="A964" s="1"/>
      <c r="B964" s="2"/>
      <c r="C964" s="3"/>
      <c r="G964" s="4"/>
      <c r="V964" s="5"/>
    </row>
    <row r="965">
      <c r="A965" s="1"/>
      <c r="B965" s="2"/>
      <c r="C965" s="3"/>
      <c r="G965" s="4"/>
      <c r="V965" s="5"/>
    </row>
    <row r="966">
      <c r="A966" s="1"/>
      <c r="B966" s="2"/>
      <c r="C966" s="3"/>
      <c r="G966" s="4"/>
      <c r="V966" s="5"/>
    </row>
    <row r="967">
      <c r="A967" s="1"/>
      <c r="B967" s="2"/>
      <c r="C967" s="3"/>
      <c r="G967" s="4"/>
      <c r="V967" s="5"/>
    </row>
    <row r="968">
      <c r="A968" s="1"/>
      <c r="B968" s="2"/>
      <c r="C968" s="3"/>
      <c r="G968" s="4"/>
      <c r="V968" s="5"/>
    </row>
    <row r="969">
      <c r="A969" s="1"/>
      <c r="B969" s="2"/>
      <c r="C969" s="3"/>
      <c r="G969" s="4"/>
      <c r="V969" s="5"/>
    </row>
    <row r="970">
      <c r="A970" s="1"/>
      <c r="B970" s="2"/>
      <c r="C970" s="3"/>
      <c r="G970" s="4"/>
      <c r="V970" s="5"/>
    </row>
    <row r="971">
      <c r="A971" s="1"/>
      <c r="B971" s="2"/>
      <c r="C971" s="3"/>
      <c r="G971" s="4"/>
      <c r="V971" s="5"/>
    </row>
    <row r="972">
      <c r="A972" s="1"/>
      <c r="B972" s="2"/>
      <c r="C972" s="3"/>
      <c r="G972" s="4"/>
      <c r="V972" s="5"/>
    </row>
    <row r="973">
      <c r="A973" s="1"/>
      <c r="B973" s="2"/>
      <c r="C973" s="3"/>
      <c r="G973" s="4"/>
      <c r="V973" s="5"/>
    </row>
    <row r="974">
      <c r="A974" s="1"/>
      <c r="B974" s="2"/>
      <c r="C974" s="3"/>
      <c r="G974" s="4"/>
      <c r="V974" s="5"/>
    </row>
    <row r="975">
      <c r="A975" s="1"/>
      <c r="B975" s="2"/>
      <c r="C975" s="3"/>
      <c r="G975" s="4"/>
      <c r="V975" s="5"/>
    </row>
    <row r="976">
      <c r="A976" s="1"/>
      <c r="B976" s="2"/>
      <c r="C976" s="3"/>
      <c r="G976" s="4"/>
      <c r="V976" s="5"/>
    </row>
    <row r="977">
      <c r="A977" s="1"/>
      <c r="B977" s="2"/>
      <c r="C977" s="3"/>
      <c r="G977" s="4"/>
      <c r="V977" s="5"/>
    </row>
    <row r="978">
      <c r="A978" s="1"/>
      <c r="B978" s="2"/>
      <c r="C978" s="3"/>
      <c r="G978" s="4"/>
      <c r="V978" s="5"/>
    </row>
    <row r="979">
      <c r="A979" s="1"/>
      <c r="B979" s="2"/>
      <c r="C979" s="3"/>
      <c r="G979" s="4"/>
      <c r="V979" s="5"/>
    </row>
    <row r="980">
      <c r="A980" s="1"/>
      <c r="B980" s="2"/>
      <c r="C980" s="3"/>
      <c r="G980" s="4"/>
      <c r="V980" s="5"/>
    </row>
    <row r="981">
      <c r="A981" s="1"/>
      <c r="B981" s="2"/>
      <c r="C981" s="3"/>
      <c r="G981" s="4"/>
      <c r="V981" s="5"/>
    </row>
    <row r="982">
      <c r="A982" s="1"/>
      <c r="B982" s="2"/>
      <c r="C982" s="3"/>
      <c r="G982" s="4"/>
      <c r="V982" s="5"/>
    </row>
    <row r="983">
      <c r="A983" s="1"/>
      <c r="B983" s="2"/>
      <c r="C983" s="3"/>
      <c r="G983" s="4"/>
      <c r="V983" s="5"/>
    </row>
    <row r="984">
      <c r="A984" s="1"/>
      <c r="B984" s="2"/>
      <c r="C984" s="3"/>
      <c r="G984" s="4"/>
      <c r="V984" s="5"/>
    </row>
    <row r="985">
      <c r="A985" s="1"/>
      <c r="B985" s="2"/>
      <c r="C985" s="3"/>
      <c r="G985" s="4"/>
      <c r="V985" s="5"/>
    </row>
    <row r="986">
      <c r="A986" s="1"/>
      <c r="B986" s="2"/>
      <c r="C986" s="3"/>
      <c r="G986" s="4"/>
      <c r="V986" s="5"/>
    </row>
    <row r="987">
      <c r="A987" s="1"/>
      <c r="B987" s="2"/>
      <c r="C987" s="3"/>
      <c r="G987" s="4"/>
      <c r="V987" s="5"/>
    </row>
    <row r="988">
      <c r="A988" s="1"/>
      <c r="B988" s="2"/>
      <c r="C988" s="3"/>
      <c r="G988" s="4"/>
      <c r="V988" s="5"/>
    </row>
    <row r="989">
      <c r="A989" s="1"/>
      <c r="B989" s="2"/>
      <c r="C989" s="3"/>
      <c r="G989" s="4"/>
      <c r="V989" s="5"/>
    </row>
    <row r="990">
      <c r="A990" s="1"/>
      <c r="B990" s="2"/>
      <c r="C990" s="3"/>
      <c r="G990" s="4"/>
      <c r="V990" s="5"/>
    </row>
    <row r="991">
      <c r="A991" s="1"/>
      <c r="B991" s="2"/>
      <c r="C991" s="3"/>
      <c r="G991" s="4"/>
      <c r="V991" s="5"/>
    </row>
    <row r="992">
      <c r="A992" s="1"/>
      <c r="B992" s="2"/>
      <c r="C992" s="3"/>
      <c r="G992" s="4"/>
      <c r="V992" s="5"/>
    </row>
    <row r="993">
      <c r="A993" s="1"/>
      <c r="B993" s="2"/>
      <c r="C993" s="3"/>
      <c r="G993" s="4"/>
      <c r="V993" s="5"/>
    </row>
    <row r="994">
      <c r="A994" s="1"/>
      <c r="B994" s="2"/>
      <c r="C994" s="3"/>
      <c r="G994" s="4"/>
      <c r="V994" s="5"/>
    </row>
    <row r="995">
      <c r="A995" s="1"/>
      <c r="B995" s="2"/>
      <c r="C995" s="3"/>
      <c r="G995" s="4"/>
      <c r="V995" s="5"/>
    </row>
    <row r="996">
      <c r="A996" s="1"/>
      <c r="B996" s="2"/>
      <c r="C996" s="3"/>
      <c r="G996" s="4"/>
      <c r="V996" s="5"/>
    </row>
    <row r="997">
      <c r="A997" s="1"/>
      <c r="B997" s="2"/>
      <c r="C997" s="3"/>
      <c r="G997" s="4"/>
      <c r="V997" s="5"/>
    </row>
    <row r="998">
      <c r="A998" s="1"/>
      <c r="B998" s="2"/>
      <c r="C998" s="3"/>
      <c r="G998" s="4"/>
      <c r="V998" s="5"/>
    </row>
    <row r="999">
      <c r="A999" s="1"/>
      <c r="B999" s="2"/>
      <c r="C999" s="3"/>
      <c r="G999" s="4"/>
      <c r="V999" s="5"/>
    </row>
    <row r="1000">
      <c r="A1000" s="1"/>
      <c r="B1000" s="2"/>
      <c r="C1000" s="3"/>
      <c r="G1000" s="4"/>
      <c r="V1000" s="5"/>
    </row>
    <row r="1001">
      <c r="A1001" s="1"/>
      <c r="B1001" s="2"/>
      <c r="C1001" s="3"/>
      <c r="G1001" s="4"/>
      <c r="V1001" s="5"/>
    </row>
    <row r="1002">
      <c r="A1002" s="1"/>
      <c r="B1002" s="2"/>
      <c r="C1002" s="3"/>
      <c r="G1002" s="4"/>
      <c r="V1002" s="5"/>
    </row>
    <row r="1003">
      <c r="A1003" s="1"/>
      <c r="B1003" s="2"/>
      <c r="C1003" s="3"/>
      <c r="G1003" s="4"/>
      <c r="V1003" s="5"/>
    </row>
    <row r="1004">
      <c r="A1004" s="1"/>
      <c r="B1004" s="2"/>
      <c r="C1004" s="3"/>
      <c r="G1004" s="4"/>
      <c r="V1004" s="5"/>
    </row>
    <row r="1005">
      <c r="A1005" s="1"/>
      <c r="B1005" s="2"/>
      <c r="C1005" s="3"/>
      <c r="G1005" s="4"/>
      <c r="V1005" s="5"/>
    </row>
    <row r="1006">
      <c r="A1006" s="1"/>
      <c r="B1006" s="2"/>
      <c r="C1006" s="3"/>
      <c r="G1006" s="4"/>
      <c r="V1006" s="5"/>
    </row>
    <row r="1007">
      <c r="A1007" s="1"/>
      <c r="B1007" s="2"/>
      <c r="C1007" s="3"/>
      <c r="G1007" s="4"/>
      <c r="V1007" s="5"/>
    </row>
    <row r="1008">
      <c r="A1008" s="1"/>
      <c r="B1008" s="2"/>
      <c r="C1008" s="3"/>
      <c r="G1008" s="4"/>
      <c r="V1008" s="5"/>
    </row>
    <row r="1009">
      <c r="A1009" s="1"/>
      <c r="B1009" s="2"/>
      <c r="C1009" s="3"/>
      <c r="G1009" s="4"/>
      <c r="V1009" s="5"/>
    </row>
    <row r="1010">
      <c r="A1010" s="1"/>
      <c r="B1010" s="2"/>
      <c r="C1010" s="3"/>
      <c r="G1010" s="4"/>
      <c r="V1010" s="5"/>
    </row>
    <row r="1011">
      <c r="A1011" s="1"/>
      <c r="B1011" s="2"/>
      <c r="C1011" s="3"/>
      <c r="G1011" s="4"/>
      <c r="V1011" s="5"/>
    </row>
    <row r="1012">
      <c r="A1012" s="1"/>
      <c r="B1012" s="2"/>
      <c r="C1012" s="3"/>
      <c r="G1012" s="4"/>
      <c r="V1012" s="5"/>
    </row>
    <row r="1013">
      <c r="A1013" s="1"/>
      <c r="B1013" s="2"/>
      <c r="C1013" s="3"/>
      <c r="G1013" s="4"/>
      <c r="V1013" s="5"/>
    </row>
    <row r="1014">
      <c r="A1014" s="1"/>
      <c r="B1014" s="2"/>
      <c r="C1014" s="3"/>
      <c r="G1014" s="4"/>
      <c r="V1014" s="5"/>
    </row>
    <row r="1015">
      <c r="A1015" s="1"/>
      <c r="B1015" s="2"/>
      <c r="C1015" s="3"/>
      <c r="G1015" s="4"/>
      <c r="V1015" s="5"/>
    </row>
    <row r="1016">
      <c r="A1016" s="1"/>
      <c r="B1016" s="2"/>
      <c r="C1016" s="3"/>
      <c r="G1016" s="4"/>
      <c r="V1016" s="5"/>
    </row>
    <row r="1017">
      <c r="A1017" s="1"/>
      <c r="B1017" s="2"/>
      <c r="C1017" s="3"/>
      <c r="G1017" s="4"/>
      <c r="V1017" s="5"/>
    </row>
    <row r="1018">
      <c r="A1018" s="1"/>
      <c r="B1018" s="2"/>
      <c r="C1018" s="3"/>
      <c r="G1018" s="4"/>
      <c r="V1018" s="5"/>
    </row>
    <row r="1019">
      <c r="A1019" s="1"/>
      <c r="B1019" s="2"/>
      <c r="C1019" s="3"/>
      <c r="G1019" s="4"/>
      <c r="V1019" s="5"/>
    </row>
    <row r="1020">
      <c r="A1020" s="1"/>
      <c r="B1020" s="2"/>
      <c r="C1020" s="3"/>
      <c r="G1020" s="4"/>
      <c r="V1020" s="5"/>
    </row>
    <row r="1021">
      <c r="A1021" s="1"/>
      <c r="B1021" s="2"/>
      <c r="C1021" s="3"/>
      <c r="G1021" s="4"/>
      <c r="V1021" s="5"/>
    </row>
    <row r="1022">
      <c r="A1022" s="1"/>
      <c r="B1022" s="2"/>
      <c r="C1022" s="3"/>
      <c r="G1022" s="4"/>
      <c r="V1022" s="5"/>
    </row>
    <row r="1023">
      <c r="A1023" s="1"/>
      <c r="B1023" s="2"/>
      <c r="C1023" s="3"/>
      <c r="G1023" s="4"/>
      <c r="V1023" s="5"/>
    </row>
    <row r="1024">
      <c r="A1024" s="1"/>
      <c r="B1024" s="2"/>
      <c r="C1024" s="3"/>
      <c r="G1024" s="4"/>
      <c r="V1024" s="5"/>
    </row>
    <row r="1025">
      <c r="A1025" s="1"/>
      <c r="B1025" s="2"/>
      <c r="C1025" s="3"/>
      <c r="G1025" s="4"/>
      <c r="V1025" s="5"/>
    </row>
    <row r="1026">
      <c r="A1026" s="1"/>
      <c r="B1026" s="2"/>
      <c r="C1026" s="3"/>
      <c r="G1026" s="4"/>
      <c r="V1026" s="5"/>
    </row>
    <row r="1027">
      <c r="A1027" s="1"/>
      <c r="B1027" s="2"/>
      <c r="C1027" s="3"/>
      <c r="G1027" s="4"/>
      <c r="V1027" s="5"/>
    </row>
    <row r="1028">
      <c r="A1028" s="1"/>
      <c r="B1028" s="2"/>
      <c r="C1028" s="3"/>
      <c r="G1028" s="4"/>
      <c r="V1028" s="5"/>
    </row>
    <row r="1029">
      <c r="A1029" s="1"/>
      <c r="B1029" s="2"/>
      <c r="C1029" s="3"/>
      <c r="G1029" s="4"/>
      <c r="V1029" s="5"/>
    </row>
    <row r="1030">
      <c r="A1030" s="1"/>
      <c r="B1030" s="2"/>
      <c r="C1030" s="3"/>
      <c r="G1030" s="4"/>
      <c r="V1030" s="5"/>
    </row>
    <row r="1031">
      <c r="A1031" s="1"/>
      <c r="B1031" s="2"/>
      <c r="C1031" s="3"/>
      <c r="G1031" s="4"/>
      <c r="V1031" s="5"/>
    </row>
  </sheetData>
  <conditionalFormatting sqref="H38:T38">
    <cfRule type="expression" dxfId="0" priority="1">
      <formula>"&lt;C6"</formula>
    </cfRule>
  </conditionalFormatting>
  <conditionalFormatting sqref="AB1:AB1031">
    <cfRule type="colorScale" priority="2">
      <colorScale>
        <cfvo type="min"/>
        <cfvo type="formula" val="1"/>
        <cfvo type="max"/>
        <color rgb="FFE67C73"/>
        <color rgb="FFFFFFFF"/>
        <color rgb="FF57BB8A"/>
      </colorScale>
    </cfRule>
  </conditionalFormatting>
  <conditionalFormatting sqref="D77:G157">
    <cfRule type="colorScale" priority="3">
      <colorScale>
        <cfvo type="min"/>
        <cfvo type="percentile" val="50"/>
        <cfvo type="max"/>
        <color rgb="FF00FFFF"/>
        <color rgb="FFFFFFFF"/>
        <color rgb="FFFF00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38"/>
    <col customWidth="1" min="3" max="3" width="17.75"/>
    <col customWidth="1" min="4" max="4" width="28.75"/>
    <col customWidth="1" min="5" max="5" width="33.88"/>
  </cols>
  <sheetData>
    <row r="1">
      <c r="B1" s="17" t="s">
        <v>28</v>
      </c>
      <c r="C1" s="11" t="s">
        <v>49</v>
      </c>
      <c r="D1" s="11" t="s">
        <v>48</v>
      </c>
    </row>
    <row r="2">
      <c r="A2" s="7">
        <v>40.0</v>
      </c>
      <c r="B2" s="26">
        <v>56.0</v>
      </c>
      <c r="C2" s="26">
        <v>13.0</v>
      </c>
      <c r="D2" s="26">
        <v>10.0</v>
      </c>
    </row>
    <row r="3">
      <c r="A3" s="7">
        <v>41.0</v>
      </c>
      <c r="B3" s="4"/>
      <c r="C3" s="26">
        <v>18.0</v>
      </c>
      <c r="D3" s="26">
        <v>15.0</v>
      </c>
    </row>
    <row r="4">
      <c r="A4" s="7">
        <v>42.0</v>
      </c>
      <c r="B4" s="4"/>
      <c r="C4" s="26">
        <v>22.0</v>
      </c>
      <c r="D4" s="26">
        <v>15.0</v>
      </c>
    </row>
    <row r="5">
      <c r="A5" s="7">
        <v>43.0</v>
      </c>
      <c r="B5" s="4"/>
      <c r="C5" s="26">
        <v>28.0</v>
      </c>
      <c r="D5" s="26">
        <v>19.0</v>
      </c>
    </row>
    <row r="6">
      <c r="A6" s="7">
        <v>44.0</v>
      </c>
      <c r="B6" s="4"/>
      <c r="C6" s="26">
        <v>35.0</v>
      </c>
      <c r="D6" s="26">
        <v>23.0</v>
      </c>
    </row>
    <row r="7">
      <c r="A7" s="7">
        <v>45.0</v>
      </c>
      <c r="B7" s="26">
        <v>185.0</v>
      </c>
      <c r="C7" s="26">
        <v>43.0</v>
      </c>
      <c r="D7" s="26">
        <v>31.0</v>
      </c>
    </row>
    <row r="8">
      <c r="A8" s="7">
        <v>46.0</v>
      </c>
      <c r="B8" s="4"/>
      <c r="C8" s="26">
        <v>55.0</v>
      </c>
      <c r="D8" s="26">
        <v>46.0</v>
      </c>
    </row>
    <row r="9">
      <c r="A9" s="7">
        <v>47.0</v>
      </c>
      <c r="B9" s="4"/>
      <c r="C9" s="26">
        <v>77.0</v>
      </c>
      <c r="D9" s="26">
        <v>57.0</v>
      </c>
    </row>
    <row r="10">
      <c r="A10" s="7">
        <v>48.0</v>
      </c>
      <c r="B10" s="4"/>
      <c r="C10" s="26">
        <v>95.0</v>
      </c>
      <c r="D10" s="26">
        <v>65.0</v>
      </c>
    </row>
    <row r="11">
      <c r="A11" s="7">
        <v>49.0</v>
      </c>
      <c r="B11" s="4"/>
      <c r="C11" s="26">
        <v>126.0</v>
      </c>
      <c r="D11" s="26">
        <v>77.0</v>
      </c>
    </row>
    <row r="12">
      <c r="A12" s="7">
        <v>50.0</v>
      </c>
      <c r="B12" s="26">
        <v>599.0</v>
      </c>
      <c r="C12" s="26">
        <v>150.0</v>
      </c>
      <c r="D12" s="26">
        <v>97.0</v>
      </c>
    </row>
    <row r="13">
      <c r="A13" s="7">
        <v>51.0</v>
      </c>
      <c r="B13" s="4"/>
      <c r="C13" s="26">
        <v>205.0</v>
      </c>
      <c r="D13" s="26">
        <v>132.0</v>
      </c>
    </row>
    <row r="14">
      <c r="A14" s="7">
        <v>52.0</v>
      </c>
      <c r="B14" s="4"/>
      <c r="C14" s="26">
        <v>267.0</v>
      </c>
      <c r="D14" s="26">
        <v>179.0</v>
      </c>
    </row>
    <row r="15">
      <c r="A15" s="7">
        <v>53.0</v>
      </c>
      <c r="B15" s="4"/>
      <c r="C15" s="26">
        <v>323.0</v>
      </c>
      <c r="D15" s="26">
        <v>202.0</v>
      </c>
    </row>
    <row r="16">
      <c r="A16" s="7">
        <v>54.0</v>
      </c>
      <c r="B16" s="4"/>
      <c r="C16" s="26">
        <v>396.0</v>
      </c>
      <c r="D16" s="26">
        <v>257.0</v>
      </c>
    </row>
    <row r="17">
      <c r="A17" s="7">
        <v>55.0</v>
      </c>
      <c r="B17" s="26">
        <v>2112.0</v>
      </c>
      <c r="C17" s="26">
        <v>512.0</v>
      </c>
      <c r="D17" s="26">
        <v>336.0</v>
      </c>
    </row>
    <row r="18">
      <c r="A18" s="7">
        <v>56.0</v>
      </c>
      <c r="B18" s="4"/>
      <c r="C18" s="26">
        <v>704.0</v>
      </c>
      <c r="D18" s="26">
        <v>420.0</v>
      </c>
    </row>
    <row r="19">
      <c r="A19" s="7">
        <v>57.0</v>
      </c>
      <c r="B19" s="4"/>
      <c r="C19" s="26">
        <v>880.0</v>
      </c>
      <c r="D19" s="26">
        <v>581.0</v>
      </c>
    </row>
    <row r="20">
      <c r="A20" s="7">
        <v>58.0</v>
      </c>
      <c r="B20" s="4"/>
      <c r="C20" s="26">
        <v>1059.0</v>
      </c>
      <c r="D20" s="26">
        <v>720.0</v>
      </c>
    </row>
    <row r="21">
      <c r="A21" s="7">
        <v>59.0</v>
      </c>
      <c r="B21" s="4"/>
      <c r="C21" s="26">
        <v>1361.0</v>
      </c>
      <c r="D21" s="26">
        <v>893.0</v>
      </c>
      <c r="O21" s="7">
        <f>2000/6</f>
        <v>333.3333333</v>
      </c>
    </row>
    <row r="22">
      <c r="A22" s="7">
        <v>60.0</v>
      </c>
      <c r="B22" s="26">
        <v>7046.0</v>
      </c>
      <c r="C22" s="26">
        <v>1713.0</v>
      </c>
      <c r="D22" s="26">
        <v>1142.0</v>
      </c>
    </row>
    <row r="23">
      <c r="A23" s="7">
        <v>61.0</v>
      </c>
      <c r="B23" s="4"/>
      <c r="C23" s="28">
        <v>2161.0</v>
      </c>
      <c r="D23" s="28">
        <v>1544.0</v>
      </c>
    </row>
    <row r="24">
      <c r="A24" s="7">
        <v>62.0</v>
      </c>
      <c r="B24" s="4"/>
      <c r="C24" s="26">
        <v>2682.0</v>
      </c>
      <c r="D24" s="26">
        <v>1663.0</v>
      </c>
    </row>
    <row r="25">
      <c r="A25" s="7">
        <v>63.0</v>
      </c>
      <c r="B25" s="4"/>
      <c r="C25" s="26">
        <v>3577.0</v>
      </c>
      <c r="D25" s="26">
        <v>2144.0</v>
      </c>
    </row>
    <row r="26">
      <c r="A26" s="7">
        <v>64.0</v>
      </c>
      <c r="B26" s="4"/>
      <c r="C26" s="26">
        <v>4385.0</v>
      </c>
      <c r="D26" s="26">
        <v>2849.0</v>
      </c>
      <c r="H26" s="16"/>
    </row>
    <row r="27">
      <c r="A27" s="7">
        <v>65.0</v>
      </c>
      <c r="B27" s="26">
        <v>21808.0</v>
      </c>
      <c r="C27" s="26">
        <v>5251.0</v>
      </c>
      <c r="D27" s="26">
        <v>3609.0</v>
      </c>
    </row>
    <row r="28">
      <c r="A28" s="7">
        <v>66.0</v>
      </c>
      <c r="B28" s="4"/>
      <c r="C28" s="26">
        <v>6616.0</v>
      </c>
      <c r="D28" s="26">
        <v>4487.0</v>
      </c>
    </row>
    <row r="29">
      <c r="A29" s="7">
        <v>67.0</v>
      </c>
      <c r="B29" s="4"/>
      <c r="C29" s="26">
        <v>8460.0</v>
      </c>
      <c r="D29" s="26">
        <v>5601.0</v>
      </c>
    </row>
    <row r="30">
      <c r="A30" s="7">
        <v>68.0</v>
      </c>
      <c r="B30" s="4"/>
      <c r="C30" s="26">
        <v>11004.0</v>
      </c>
      <c r="D30" s="26">
        <v>6884.0</v>
      </c>
    </row>
    <row r="31">
      <c r="A31" s="7">
        <v>69.0</v>
      </c>
      <c r="B31" s="4"/>
      <c r="C31" s="26">
        <v>13957.0</v>
      </c>
      <c r="D31" s="26">
        <v>8880.0</v>
      </c>
    </row>
    <row r="32">
      <c r="A32" s="7">
        <v>70.0</v>
      </c>
      <c r="B32" s="26">
        <v>65897.0</v>
      </c>
      <c r="C32" s="26">
        <v>16058.0</v>
      </c>
      <c r="D32" s="26">
        <v>10755.0</v>
      </c>
      <c r="G32" s="25">
        <f>B44</f>
        <v>1</v>
      </c>
      <c r="H32" s="25">
        <f>D44</f>
        <v>6.172927276</v>
      </c>
      <c r="I32" s="52">
        <f>C102</f>
        <v>1.773857604</v>
      </c>
      <c r="J32" s="52">
        <f>D179</f>
        <v>2.663286966</v>
      </c>
      <c r="K32" s="25">
        <f>E179/D179</f>
        <v>1.15652104</v>
      </c>
      <c r="L32" s="52">
        <f>C231</f>
        <v>2.361858566</v>
      </c>
      <c r="M32" s="25">
        <f>E413</f>
        <v>6.017882859</v>
      </c>
    </row>
    <row r="33">
      <c r="A33" s="7">
        <v>71.0</v>
      </c>
      <c r="B33" s="4"/>
      <c r="C33" s="26">
        <v>20606.0</v>
      </c>
      <c r="D33" s="26">
        <v>13609.0</v>
      </c>
      <c r="G33" s="25">
        <f>B44</f>
        <v>1</v>
      </c>
      <c r="H33" s="25">
        <f>D44</f>
        <v>6.172927276</v>
      </c>
      <c r="I33" s="25">
        <f>H33*C102</f>
        <v>10.94989399</v>
      </c>
      <c r="J33" s="25">
        <f>I33*D179</f>
        <v>29.16270994</v>
      </c>
      <c r="K33" s="25">
        <f>I33*E179</f>
        <v>33.72728763</v>
      </c>
      <c r="L33" s="25">
        <f>K33*C231</f>
        <v>79.65908318</v>
      </c>
      <c r="M33" s="25">
        <f>L33*E413</f>
        <v>479.3790312</v>
      </c>
    </row>
    <row r="34">
      <c r="A34" s="7">
        <v>72.0</v>
      </c>
      <c r="B34" s="4"/>
      <c r="C34" s="26">
        <v>27857.0</v>
      </c>
      <c r="D34" s="26">
        <v>17309.0</v>
      </c>
      <c r="G34" s="7" t="s">
        <v>58</v>
      </c>
      <c r="H34" s="7" t="s">
        <v>59</v>
      </c>
      <c r="I34" s="7" t="s">
        <v>60</v>
      </c>
      <c r="J34" s="7" t="s">
        <v>61</v>
      </c>
      <c r="K34" s="7" t="s">
        <v>62</v>
      </c>
      <c r="L34" s="7" t="s">
        <v>63</v>
      </c>
      <c r="M34" s="7" t="s">
        <v>64</v>
      </c>
    </row>
    <row r="35">
      <c r="A35" s="7">
        <v>73.0</v>
      </c>
      <c r="B35" s="4"/>
      <c r="C35" s="26">
        <v>33269.0</v>
      </c>
      <c r="D35" s="26">
        <v>21912.0</v>
      </c>
    </row>
    <row r="36">
      <c r="A36" s="7">
        <v>74.0</v>
      </c>
      <c r="B36" s="4"/>
      <c r="C36" s="26">
        <v>40023.0</v>
      </c>
      <c r="D36" s="26">
        <v>26506.0</v>
      </c>
    </row>
    <row r="37">
      <c r="A37" s="7">
        <v>75.0</v>
      </c>
      <c r="B37" s="26">
        <v>205326.0</v>
      </c>
      <c r="C37" s="26">
        <v>50505.0</v>
      </c>
      <c r="D37" s="26">
        <v>33110.0</v>
      </c>
    </row>
    <row r="38">
      <c r="A38" s="7">
        <v>76.0</v>
      </c>
      <c r="B38" s="4"/>
      <c r="C38" s="26">
        <v>65943.0</v>
      </c>
      <c r="D38" s="26">
        <v>41261.0</v>
      </c>
    </row>
    <row r="39">
      <c r="A39" s="7">
        <v>77.0</v>
      </c>
      <c r="B39" s="4"/>
      <c r="C39" s="26">
        <v>79377.0</v>
      </c>
      <c r="D39" s="26">
        <v>51009.0</v>
      </c>
    </row>
    <row r="40">
      <c r="A40" s="7">
        <v>78.0</v>
      </c>
      <c r="B40" s="4"/>
      <c r="C40" s="37"/>
      <c r="D40" s="26">
        <v>63846.0</v>
      </c>
    </row>
    <row r="41">
      <c r="A41" s="7">
        <v>79.0</v>
      </c>
      <c r="B41" s="4"/>
      <c r="D41" s="26">
        <v>80136.0</v>
      </c>
    </row>
    <row r="42">
      <c r="A42" s="7">
        <v>80.0</v>
      </c>
      <c r="B42" s="26">
        <v>625413.0</v>
      </c>
      <c r="C42" s="37"/>
      <c r="D42" s="26">
        <v>96302.0</v>
      </c>
    </row>
    <row r="43">
      <c r="B43" s="4">
        <f t="shared" ref="B43:D43" si="1">sum(B37,B32,B27,B22,B17,B12,B7,B2)</f>
        <v>303029</v>
      </c>
      <c r="C43" s="4">
        <f t="shared" si="1"/>
        <v>74245</v>
      </c>
      <c r="D43" s="4">
        <f t="shared" si="1"/>
        <v>49090</v>
      </c>
    </row>
    <row r="44">
      <c r="B44" s="7">
        <v>1.0</v>
      </c>
      <c r="C44" s="25">
        <f>B43/C43</f>
        <v>4.0814735</v>
      </c>
      <c r="D44" s="25">
        <f>B43/D43</f>
        <v>6.172927276</v>
      </c>
    </row>
    <row r="47">
      <c r="B47" s="11" t="s">
        <v>10</v>
      </c>
      <c r="C47" s="11" t="s">
        <v>8</v>
      </c>
    </row>
    <row r="48">
      <c r="B48" s="19" t="s">
        <v>26</v>
      </c>
      <c r="C48" s="11" t="s">
        <v>24</v>
      </c>
    </row>
    <row r="49">
      <c r="B49" s="11" t="s">
        <v>48</v>
      </c>
      <c r="C49" s="61" t="s">
        <v>65</v>
      </c>
    </row>
    <row r="50" hidden="1">
      <c r="A50" s="7">
        <v>30.0</v>
      </c>
      <c r="B50" s="26">
        <v>1.0</v>
      </c>
      <c r="C50" s="26">
        <v>5.0</v>
      </c>
    </row>
    <row r="51" hidden="1">
      <c r="A51" s="7">
        <v>31.0</v>
      </c>
      <c r="B51" s="26">
        <v>1.0</v>
      </c>
      <c r="C51" s="26">
        <v>4.0</v>
      </c>
    </row>
    <row r="52" hidden="1">
      <c r="A52" s="7">
        <v>32.0</v>
      </c>
      <c r="B52" s="26">
        <v>2.0</v>
      </c>
      <c r="C52" s="26">
        <v>3.0</v>
      </c>
    </row>
    <row r="53" hidden="1">
      <c r="A53" s="7">
        <v>33.0</v>
      </c>
      <c r="B53" s="26">
        <v>2.0</v>
      </c>
      <c r="C53" s="26">
        <v>7.0</v>
      </c>
    </row>
    <row r="54" hidden="1">
      <c r="A54" s="7">
        <v>34.0</v>
      </c>
      <c r="B54" s="26">
        <v>2.0</v>
      </c>
      <c r="C54" s="26">
        <v>2.0</v>
      </c>
    </row>
    <row r="55" hidden="1">
      <c r="A55" s="7">
        <v>35.0</v>
      </c>
      <c r="B55" s="26">
        <v>2.0</v>
      </c>
      <c r="C55" s="26">
        <v>3.0</v>
      </c>
    </row>
    <row r="56" hidden="1">
      <c r="A56" s="7">
        <v>36.0</v>
      </c>
      <c r="B56" s="26">
        <v>3.0</v>
      </c>
      <c r="C56" s="26">
        <v>3.0</v>
      </c>
    </row>
    <row r="57" hidden="1">
      <c r="A57" s="7">
        <v>37.0</v>
      </c>
      <c r="B57" s="26">
        <v>14.0</v>
      </c>
      <c r="C57" s="26">
        <v>4.0</v>
      </c>
    </row>
    <row r="58" hidden="1">
      <c r="A58" s="7">
        <v>38.0</v>
      </c>
      <c r="B58" s="26">
        <v>15.0</v>
      </c>
      <c r="C58" s="26">
        <v>4.0</v>
      </c>
    </row>
    <row r="59" hidden="1">
      <c r="A59" s="7">
        <v>39.0</v>
      </c>
      <c r="B59" s="26">
        <v>10.0</v>
      </c>
      <c r="C59" s="26">
        <v>6.0</v>
      </c>
    </row>
    <row r="60" hidden="1">
      <c r="A60" s="7">
        <v>40.0</v>
      </c>
      <c r="B60" s="26">
        <v>10.0</v>
      </c>
      <c r="C60" s="26">
        <v>6.0</v>
      </c>
    </row>
    <row r="61" hidden="1">
      <c r="A61" s="7">
        <v>41.0</v>
      </c>
      <c r="B61" s="26">
        <v>15.0</v>
      </c>
      <c r="C61" s="26">
        <v>7.0</v>
      </c>
    </row>
    <row r="62" hidden="1">
      <c r="A62" s="7">
        <v>42.0</v>
      </c>
      <c r="B62" s="26">
        <v>15.0</v>
      </c>
      <c r="C62" s="26">
        <v>9.0</v>
      </c>
    </row>
    <row r="63" hidden="1">
      <c r="A63" s="7">
        <v>43.0</v>
      </c>
      <c r="B63" s="26">
        <v>19.0</v>
      </c>
      <c r="C63" s="26">
        <v>11.0</v>
      </c>
    </row>
    <row r="64" hidden="1">
      <c r="A64" s="7">
        <v>44.0</v>
      </c>
      <c r="B64" s="26">
        <v>23.0</v>
      </c>
      <c r="C64" s="26">
        <v>12.0</v>
      </c>
    </row>
    <row r="65" hidden="1">
      <c r="A65" s="7">
        <v>45.0</v>
      </c>
      <c r="B65" s="26">
        <v>31.0</v>
      </c>
      <c r="C65" s="26">
        <v>15.0</v>
      </c>
    </row>
    <row r="66">
      <c r="A66" s="7">
        <v>46.0</v>
      </c>
      <c r="B66" s="26">
        <v>46.0</v>
      </c>
      <c r="C66" s="26">
        <v>18.0</v>
      </c>
    </row>
    <row r="67">
      <c r="A67" s="7">
        <v>47.0</v>
      </c>
      <c r="B67" s="26">
        <v>57.0</v>
      </c>
      <c r="C67" s="26">
        <v>25.0</v>
      </c>
    </row>
    <row r="68">
      <c r="A68" s="7">
        <v>48.0</v>
      </c>
      <c r="B68" s="26">
        <v>65.0</v>
      </c>
      <c r="C68" s="26">
        <v>34.0</v>
      </c>
    </row>
    <row r="69">
      <c r="A69" s="7">
        <v>49.0</v>
      </c>
      <c r="B69" s="26">
        <v>77.0</v>
      </c>
      <c r="C69" s="26">
        <v>40.0</v>
      </c>
    </row>
    <row r="70">
      <c r="A70" s="7">
        <v>50.0</v>
      </c>
      <c r="B70" s="26">
        <v>97.0</v>
      </c>
      <c r="C70" s="26">
        <v>53.0</v>
      </c>
    </row>
    <row r="71">
      <c r="A71" s="7">
        <v>51.0</v>
      </c>
      <c r="B71" s="26">
        <v>132.0</v>
      </c>
      <c r="C71" s="26">
        <v>69.0</v>
      </c>
    </row>
    <row r="72">
      <c r="A72" s="7">
        <v>52.0</v>
      </c>
      <c r="B72" s="26">
        <v>179.0</v>
      </c>
      <c r="C72" s="26">
        <v>102.0</v>
      </c>
    </row>
    <row r="73">
      <c r="A73" s="7">
        <v>53.0</v>
      </c>
      <c r="B73" s="26">
        <v>202.0</v>
      </c>
      <c r="C73" s="26">
        <v>111.0</v>
      </c>
    </row>
    <row r="74">
      <c r="A74" s="7">
        <v>54.0</v>
      </c>
      <c r="B74" s="26">
        <v>257.0</v>
      </c>
      <c r="C74" s="26">
        <v>123.0</v>
      </c>
    </row>
    <row r="75">
      <c r="A75" s="7">
        <v>55.0</v>
      </c>
      <c r="B75" s="26">
        <v>336.0</v>
      </c>
      <c r="C75" s="26">
        <v>175.0</v>
      </c>
    </row>
    <row r="76">
      <c r="A76" s="7">
        <v>56.0</v>
      </c>
      <c r="B76" s="26">
        <v>420.0</v>
      </c>
      <c r="C76" s="26">
        <v>248.0</v>
      </c>
    </row>
    <row r="77">
      <c r="A77" s="7">
        <v>57.0</v>
      </c>
      <c r="B77" s="26">
        <v>581.0</v>
      </c>
      <c r="C77" s="26">
        <v>301.0</v>
      </c>
    </row>
    <row r="78">
      <c r="A78" s="7">
        <v>58.0</v>
      </c>
      <c r="B78" s="26">
        <v>720.0</v>
      </c>
      <c r="C78" s="26">
        <v>355.0</v>
      </c>
    </row>
    <row r="79">
      <c r="A79" s="7">
        <v>59.0</v>
      </c>
      <c r="B79" s="26">
        <v>893.0</v>
      </c>
      <c r="C79" s="26">
        <v>462.0</v>
      </c>
    </row>
    <row r="80">
      <c r="A80" s="7">
        <v>60.0</v>
      </c>
      <c r="B80" s="26">
        <v>1142.0</v>
      </c>
      <c r="C80" s="26">
        <v>703.0</v>
      </c>
    </row>
    <row r="81">
      <c r="A81" s="7">
        <v>61.0</v>
      </c>
      <c r="B81" s="28">
        <v>1544.0</v>
      </c>
      <c r="C81" s="26">
        <v>772.0</v>
      </c>
    </row>
    <row r="82">
      <c r="A82" s="7">
        <v>62.0</v>
      </c>
      <c r="B82" s="26">
        <v>1663.0</v>
      </c>
      <c r="C82" s="26">
        <v>953.0</v>
      </c>
    </row>
    <row r="83">
      <c r="A83" s="7">
        <v>63.0</v>
      </c>
      <c r="B83" s="26">
        <v>2144.0</v>
      </c>
      <c r="C83" s="26">
        <v>1241.0</v>
      </c>
    </row>
    <row r="84">
      <c r="A84" s="7">
        <v>64.0</v>
      </c>
      <c r="B84" s="26">
        <v>2849.0</v>
      </c>
      <c r="C84" s="26">
        <v>1548.0</v>
      </c>
    </row>
    <row r="85">
      <c r="A85" s="7">
        <v>65.0</v>
      </c>
      <c r="B85" s="26">
        <v>3609.0</v>
      </c>
      <c r="C85" s="26">
        <v>2008.0</v>
      </c>
    </row>
    <row r="86">
      <c r="A86" s="7">
        <v>66.0</v>
      </c>
      <c r="B86" s="26">
        <v>4487.0</v>
      </c>
      <c r="C86" s="26">
        <v>2483.0</v>
      </c>
    </row>
    <row r="87">
      <c r="A87" s="7">
        <v>67.0</v>
      </c>
      <c r="B87" s="26">
        <v>5601.0</v>
      </c>
      <c r="C87" s="26">
        <v>3254.0</v>
      </c>
    </row>
    <row r="88">
      <c r="A88" s="7">
        <v>68.0</v>
      </c>
      <c r="B88" s="26">
        <v>6884.0</v>
      </c>
      <c r="C88" s="26">
        <v>4475.0</v>
      </c>
    </row>
    <row r="89">
      <c r="A89" s="7">
        <v>69.0</v>
      </c>
      <c r="B89" s="26">
        <v>8880.0</v>
      </c>
      <c r="C89" s="26">
        <v>4839.0</v>
      </c>
    </row>
    <row r="90">
      <c r="A90" s="7">
        <v>70.0</v>
      </c>
      <c r="B90" s="26">
        <v>10755.0</v>
      </c>
      <c r="C90" s="26">
        <v>5890.0</v>
      </c>
    </row>
    <row r="91">
      <c r="A91" s="7">
        <v>71.0</v>
      </c>
      <c r="B91" s="26">
        <v>13609.0</v>
      </c>
      <c r="C91" s="26">
        <v>7457.0</v>
      </c>
    </row>
    <row r="92">
      <c r="A92" s="7">
        <v>72.0</v>
      </c>
      <c r="B92" s="26">
        <v>17309.0</v>
      </c>
      <c r="C92" s="26">
        <v>10253.0</v>
      </c>
    </row>
    <row r="93">
      <c r="A93" s="7">
        <v>73.0</v>
      </c>
      <c r="B93" s="26">
        <v>21912.0</v>
      </c>
      <c r="C93" s="26">
        <v>12668.0</v>
      </c>
    </row>
    <row r="94">
      <c r="A94" s="7">
        <v>74.0</v>
      </c>
      <c r="B94" s="26">
        <v>26506.0</v>
      </c>
      <c r="C94" s="26">
        <v>14382.0</v>
      </c>
    </row>
    <row r="95">
      <c r="A95" s="7">
        <v>75.0</v>
      </c>
      <c r="B95" s="26">
        <v>33110.0</v>
      </c>
      <c r="C95" s="37">
        <v>18988.0</v>
      </c>
    </row>
    <row r="96">
      <c r="A96" s="7">
        <v>76.0</v>
      </c>
      <c r="B96" s="26">
        <v>41261.0</v>
      </c>
      <c r="C96" s="37">
        <v>23820.0</v>
      </c>
    </row>
    <row r="97">
      <c r="A97" s="7">
        <v>77.0</v>
      </c>
      <c r="B97" s="26">
        <v>51009.0</v>
      </c>
      <c r="C97" s="37">
        <v>28465.0</v>
      </c>
    </row>
    <row r="98">
      <c r="A98" s="7">
        <v>78.0</v>
      </c>
      <c r="B98" s="26">
        <v>63846.0</v>
      </c>
      <c r="C98" s="37">
        <v>36357.0</v>
      </c>
    </row>
    <row r="99">
      <c r="A99" s="7">
        <v>79.0</v>
      </c>
      <c r="B99" s="26">
        <v>80136.0</v>
      </c>
      <c r="C99" s="37">
        <v>44031.0</v>
      </c>
    </row>
    <row r="100">
      <c r="A100" s="7">
        <v>80.0</v>
      </c>
      <c r="B100" s="26">
        <v>96302.0</v>
      </c>
      <c r="C100" s="37"/>
    </row>
    <row r="101">
      <c r="B101" s="4">
        <f>sum(B66:B99)</f>
        <v>402318</v>
      </c>
      <c r="C101" s="4">
        <f>SUM(C48:C100)</f>
        <v>226804</v>
      </c>
    </row>
    <row r="102">
      <c r="B102" s="62">
        <v>1.0</v>
      </c>
      <c r="C102" s="52">
        <f>B101/C101</f>
        <v>1.773857604</v>
      </c>
    </row>
    <row r="103">
      <c r="B103" s="4"/>
      <c r="C103" s="38"/>
      <c r="D103" s="4"/>
    </row>
    <row r="104">
      <c r="B104" s="4"/>
      <c r="C104" s="38"/>
      <c r="D104" s="4"/>
    </row>
    <row r="105">
      <c r="B105" s="4"/>
      <c r="C105" s="38"/>
      <c r="D105" s="4"/>
    </row>
    <row r="109">
      <c r="B109" s="11" t="s">
        <v>8</v>
      </c>
      <c r="C109" s="11" t="s">
        <v>7</v>
      </c>
      <c r="D109" s="14" t="s">
        <v>7</v>
      </c>
      <c r="E109" s="11" t="s">
        <v>6</v>
      </c>
      <c r="G109" s="11"/>
    </row>
    <row r="110">
      <c r="B110" s="11" t="s">
        <v>24</v>
      </c>
      <c r="C110" s="11" t="s">
        <v>23</v>
      </c>
      <c r="D110" s="11" t="s">
        <v>22</v>
      </c>
      <c r="E110" s="11" t="s">
        <v>21</v>
      </c>
      <c r="G110" s="11"/>
    </row>
    <row r="111">
      <c r="B111" s="11" t="s">
        <v>66</v>
      </c>
      <c r="C111" s="61" t="s">
        <v>67</v>
      </c>
      <c r="D111" s="61" t="s">
        <v>68</v>
      </c>
      <c r="E111" s="61" t="s">
        <v>69</v>
      </c>
      <c r="G111" s="11"/>
    </row>
    <row r="112" hidden="1">
      <c r="A112" s="7">
        <v>30.0</v>
      </c>
      <c r="B112" s="26">
        <v>5.0</v>
      </c>
      <c r="C112" s="26">
        <v>0.0</v>
      </c>
      <c r="D112" s="26">
        <v>0.0</v>
      </c>
      <c r="F112" s="26"/>
    </row>
    <row r="113" hidden="1">
      <c r="A113" s="7">
        <v>31.0</v>
      </c>
      <c r="B113" s="26">
        <v>4.0</v>
      </c>
      <c r="C113" s="26">
        <v>0.0</v>
      </c>
      <c r="D113" s="26">
        <v>0.0</v>
      </c>
      <c r="F113" s="26"/>
    </row>
    <row r="114" hidden="1">
      <c r="A114" s="7">
        <v>32.0</v>
      </c>
      <c r="B114" s="26">
        <v>3.0</v>
      </c>
      <c r="C114" s="26">
        <v>0.0</v>
      </c>
      <c r="D114" s="26">
        <v>0.0</v>
      </c>
      <c r="F114" s="26"/>
    </row>
    <row r="115" hidden="1">
      <c r="A115" s="7">
        <v>33.0</v>
      </c>
      <c r="B115" s="26">
        <v>7.0</v>
      </c>
      <c r="C115" s="26">
        <v>1.0</v>
      </c>
      <c r="D115" s="26">
        <v>0.0</v>
      </c>
      <c r="F115" s="26"/>
    </row>
    <row r="116" hidden="1">
      <c r="A116" s="7">
        <v>34.0</v>
      </c>
      <c r="B116" s="26">
        <v>2.0</v>
      </c>
      <c r="C116" s="26">
        <v>0.0</v>
      </c>
      <c r="D116" s="26">
        <v>0.0</v>
      </c>
      <c r="F116" s="26"/>
    </row>
    <row r="117" hidden="1">
      <c r="A117" s="7">
        <v>35.0</v>
      </c>
      <c r="B117" s="26">
        <v>3.0</v>
      </c>
      <c r="C117" s="26">
        <v>1.0</v>
      </c>
      <c r="D117" s="26">
        <v>1.0</v>
      </c>
      <c r="F117" s="26"/>
    </row>
    <row r="118" hidden="1">
      <c r="A118" s="7">
        <v>36.0</v>
      </c>
      <c r="B118" s="26">
        <v>3.0</v>
      </c>
      <c r="C118" s="26">
        <v>1.0</v>
      </c>
      <c r="D118" s="26">
        <v>1.0</v>
      </c>
      <c r="F118" s="26"/>
    </row>
    <row r="119" hidden="1">
      <c r="A119" s="7">
        <v>37.0</v>
      </c>
      <c r="B119" s="26">
        <v>4.0</v>
      </c>
      <c r="C119" s="26">
        <v>1.0</v>
      </c>
      <c r="D119" s="26">
        <v>2.0</v>
      </c>
      <c r="F119" s="26"/>
    </row>
    <row r="120" hidden="1">
      <c r="A120" s="7">
        <v>38.0</v>
      </c>
      <c r="B120" s="26">
        <v>4.0</v>
      </c>
      <c r="C120" s="26">
        <v>2.0</v>
      </c>
      <c r="D120" s="26">
        <v>1.0</v>
      </c>
      <c r="F120" s="26"/>
    </row>
    <row r="121" hidden="1">
      <c r="A121" s="7">
        <v>39.0</v>
      </c>
      <c r="B121" s="26">
        <v>6.0</v>
      </c>
      <c r="C121" s="26">
        <v>2.0</v>
      </c>
      <c r="D121" s="26">
        <v>3.0</v>
      </c>
      <c r="E121" s="26"/>
      <c r="F121" s="26"/>
    </row>
    <row r="122" hidden="1">
      <c r="A122" s="7">
        <v>40.0</v>
      </c>
      <c r="B122" s="26">
        <v>6.0</v>
      </c>
      <c r="C122" s="26">
        <v>3.0</v>
      </c>
      <c r="D122" s="26">
        <v>3.0</v>
      </c>
      <c r="E122" s="26"/>
      <c r="F122" s="26"/>
    </row>
    <row r="123" hidden="1">
      <c r="A123" s="7">
        <v>41.0</v>
      </c>
      <c r="B123" s="26">
        <v>7.0</v>
      </c>
      <c r="C123" s="26">
        <v>4.0</v>
      </c>
      <c r="D123" s="26">
        <v>14.0</v>
      </c>
      <c r="E123" s="26"/>
      <c r="F123" s="26"/>
    </row>
    <row r="124" hidden="1">
      <c r="A124" s="7">
        <v>42.0</v>
      </c>
      <c r="B124" s="26">
        <v>9.0</v>
      </c>
      <c r="C124" s="26">
        <v>6.0</v>
      </c>
      <c r="D124" s="26">
        <v>5.0</v>
      </c>
      <c r="E124" s="26"/>
      <c r="F124" s="26"/>
    </row>
    <row r="125" hidden="1">
      <c r="A125" s="7">
        <v>43.0</v>
      </c>
      <c r="B125" s="26">
        <v>11.0</v>
      </c>
      <c r="C125" s="26">
        <v>7.0</v>
      </c>
      <c r="D125" s="26">
        <v>5.0</v>
      </c>
      <c r="E125" s="26"/>
      <c r="F125" s="26"/>
    </row>
    <row r="126" hidden="1">
      <c r="A126" s="7">
        <v>44.0</v>
      </c>
      <c r="B126" s="26">
        <v>12.0</v>
      </c>
      <c r="C126" s="26">
        <v>8.0</v>
      </c>
      <c r="D126" s="26">
        <v>13.0</v>
      </c>
      <c r="E126" s="26"/>
      <c r="F126" s="26"/>
    </row>
    <row r="127" hidden="1">
      <c r="A127" s="7">
        <v>45.0</v>
      </c>
      <c r="B127" s="26">
        <v>15.0</v>
      </c>
      <c r="C127" s="26">
        <v>10.0</v>
      </c>
      <c r="D127" s="26">
        <v>10.0</v>
      </c>
      <c r="E127" s="26"/>
      <c r="F127" s="26"/>
    </row>
    <row r="128" hidden="1">
      <c r="A128" s="7">
        <v>46.0</v>
      </c>
      <c r="B128" s="26">
        <v>18.0</v>
      </c>
      <c r="C128" s="26">
        <v>12.0</v>
      </c>
      <c r="D128" s="26">
        <v>11.0</v>
      </c>
      <c r="E128" s="26"/>
      <c r="F128" s="26"/>
    </row>
    <row r="129" hidden="1">
      <c r="A129" s="7">
        <v>47.0</v>
      </c>
      <c r="B129" s="26">
        <v>25.0</v>
      </c>
      <c r="C129" s="26">
        <v>18.0</v>
      </c>
      <c r="D129" s="26">
        <v>22.0</v>
      </c>
      <c r="E129" s="26"/>
      <c r="F129" s="26"/>
    </row>
    <row r="130" hidden="1">
      <c r="A130" s="7">
        <v>48.0</v>
      </c>
      <c r="B130" s="26">
        <v>34.0</v>
      </c>
      <c r="C130" s="26">
        <v>23.0</v>
      </c>
      <c r="D130" s="26">
        <v>20.0</v>
      </c>
      <c r="E130" s="26"/>
      <c r="F130" s="26"/>
    </row>
    <row r="131" hidden="1">
      <c r="A131" s="7">
        <v>49.0</v>
      </c>
      <c r="B131" s="26">
        <v>40.0</v>
      </c>
      <c r="C131" s="26">
        <v>27.0</v>
      </c>
      <c r="D131" s="26">
        <v>20.0</v>
      </c>
      <c r="E131" s="26"/>
      <c r="F131" s="26"/>
    </row>
    <row r="132" hidden="1">
      <c r="A132" s="7">
        <v>50.0</v>
      </c>
      <c r="B132" s="26">
        <v>53.0</v>
      </c>
      <c r="C132" s="26">
        <v>31.0</v>
      </c>
      <c r="D132" s="26">
        <v>21.0</v>
      </c>
      <c r="E132" s="26"/>
      <c r="F132" s="26"/>
    </row>
    <row r="133" hidden="1">
      <c r="A133" s="7">
        <v>51.0</v>
      </c>
      <c r="B133" s="26">
        <v>69.0</v>
      </c>
      <c r="C133" s="26">
        <v>44.0</v>
      </c>
      <c r="D133" s="26">
        <v>33.0</v>
      </c>
      <c r="E133" s="26"/>
      <c r="F133" s="26"/>
    </row>
    <row r="134" hidden="1">
      <c r="A134" s="7">
        <v>52.0</v>
      </c>
      <c r="B134" s="26">
        <v>102.0</v>
      </c>
      <c r="C134" s="26">
        <v>66.0</v>
      </c>
      <c r="D134" s="26">
        <v>62.0</v>
      </c>
      <c r="E134" s="26"/>
      <c r="F134" s="26"/>
    </row>
    <row r="135" hidden="1">
      <c r="A135" s="7">
        <v>53.0</v>
      </c>
      <c r="B135" s="26">
        <v>111.0</v>
      </c>
      <c r="C135" s="26">
        <v>79.0</v>
      </c>
      <c r="D135" s="26">
        <v>52.0</v>
      </c>
      <c r="E135" s="26"/>
      <c r="F135" s="26"/>
    </row>
    <row r="136" hidden="1">
      <c r="A136" s="7">
        <v>54.0</v>
      </c>
      <c r="B136" s="26">
        <v>123.0</v>
      </c>
      <c r="C136" s="26">
        <v>80.0</v>
      </c>
      <c r="D136" s="26">
        <v>55.0</v>
      </c>
      <c r="E136" s="26"/>
      <c r="F136" s="26"/>
    </row>
    <row r="137" hidden="1">
      <c r="A137" s="7">
        <v>55.0</v>
      </c>
      <c r="B137" s="26">
        <v>175.0</v>
      </c>
      <c r="C137" s="26">
        <v>102.0</v>
      </c>
      <c r="D137" s="26">
        <v>90.0</v>
      </c>
      <c r="E137" s="26"/>
      <c r="F137" s="26"/>
    </row>
    <row r="138" hidden="1">
      <c r="A138" s="7">
        <v>56.0</v>
      </c>
      <c r="B138" s="26">
        <v>248.0</v>
      </c>
      <c r="C138" s="26">
        <v>155.0</v>
      </c>
      <c r="D138" s="26">
        <v>116.0</v>
      </c>
      <c r="E138" s="26"/>
      <c r="F138" s="26"/>
    </row>
    <row r="139" hidden="1">
      <c r="A139" s="7">
        <v>57.0</v>
      </c>
      <c r="B139" s="26">
        <v>301.0</v>
      </c>
      <c r="C139" s="26">
        <v>232.0</v>
      </c>
      <c r="D139" s="26">
        <v>156.0</v>
      </c>
      <c r="E139" s="26"/>
      <c r="F139" s="26"/>
    </row>
    <row r="140" hidden="1">
      <c r="A140" s="7">
        <v>58.0</v>
      </c>
      <c r="B140" s="26">
        <v>355.0</v>
      </c>
      <c r="C140" s="26">
        <v>267.0</v>
      </c>
      <c r="D140" s="26">
        <v>220.0</v>
      </c>
      <c r="E140" s="26"/>
      <c r="F140" s="26"/>
    </row>
    <row r="141" hidden="1">
      <c r="A141" s="7">
        <v>59.0</v>
      </c>
      <c r="B141" s="26">
        <v>462.0</v>
      </c>
      <c r="C141" s="26">
        <v>269.0</v>
      </c>
      <c r="D141" s="26">
        <v>187.0</v>
      </c>
      <c r="E141" s="26"/>
      <c r="F141" s="26"/>
    </row>
    <row r="142">
      <c r="A142" s="7">
        <v>60.0</v>
      </c>
      <c r="B142" s="26">
        <v>703.0</v>
      </c>
      <c r="C142" s="26">
        <v>378.0</v>
      </c>
      <c r="D142" s="26">
        <v>254.0</v>
      </c>
      <c r="E142" s="26">
        <v>193.0</v>
      </c>
      <c r="F142" s="26"/>
    </row>
    <row r="143">
      <c r="A143" s="7">
        <v>61.0</v>
      </c>
      <c r="B143" s="26">
        <v>772.0</v>
      </c>
      <c r="C143" s="26">
        <v>423.0</v>
      </c>
      <c r="D143" s="26">
        <v>284.0</v>
      </c>
      <c r="E143" s="26">
        <v>185.0</v>
      </c>
      <c r="F143" s="26"/>
    </row>
    <row r="144">
      <c r="A144" s="7">
        <v>62.0</v>
      </c>
      <c r="B144" s="26">
        <v>953.0</v>
      </c>
      <c r="C144" s="26">
        <v>661.0</v>
      </c>
      <c r="D144" s="26">
        <v>500.0</v>
      </c>
      <c r="E144" s="26">
        <v>320.0</v>
      </c>
      <c r="F144" s="26"/>
    </row>
    <row r="145">
      <c r="A145" s="7">
        <v>63.0</v>
      </c>
      <c r="B145" s="26">
        <v>1241.0</v>
      </c>
      <c r="C145" s="26">
        <v>849.0</v>
      </c>
      <c r="D145" s="26">
        <v>511.0</v>
      </c>
      <c r="E145" s="26">
        <v>459.0</v>
      </c>
      <c r="F145" s="26"/>
    </row>
    <row r="146">
      <c r="A146" s="7">
        <v>64.0</v>
      </c>
      <c r="B146" s="26">
        <v>1548.0</v>
      </c>
      <c r="C146" s="26">
        <v>919.0</v>
      </c>
      <c r="D146" s="26">
        <v>675.0</v>
      </c>
      <c r="E146" s="26">
        <v>445.0</v>
      </c>
      <c r="F146" s="26"/>
    </row>
    <row r="147">
      <c r="A147" s="7">
        <v>65.0</v>
      </c>
      <c r="B147" s="26">
        <v>2008.0</v>
      </c>
      <c r="C147" s="26">
        <v>1087.0</v>
      </c>
      <c r="D147" s="26">
        <v>1027.0</v>
      </c>
      <c r="E147" s="26">
        <v>470.0</v>
      </c>
      <c r="F147" s="26"/>
    </row>
    <row r="148">
      <c r="A148" s="7">
        <v>66.0</v>
      </c>
      <c r="B148" s="26">
        <v>2483.0</v>
      </c>
      <c r="C148" s="26">
        <v>1221.0</v>
      </c>
      <c r="D148" s="26">
        <v>907.0</v>
      </c>
      <c r="E148" s="26">
        <v>533.0</v>
      </c>
      <c r="F148" s="26"/>
    </row>
    <row r="149">
      <c r="A149" s="7">
        <v>67.0</v>
      </c>
      <c r="B149" s="26">
        <v>3254.0</v>
      </c>
      <c r="C149" s="26">
        <v>1882.0</v>
      </c>
      <c r="D149" s="26">
        <v>1367.0</v>
      </c>
      <c r="E149" s="26">
        <v>998.0</v>
      </c>
      <c r="F149" s="26"/>
    </row>
    <row r="150">
      <c r="A150" s="7">
        <v>68.0</v>
      </c>
      <c r="B150" s="26">
        <v>4475.0</v>
      </c>
      <c r="C150" s="26">
        <v>2872.0</v>
      </c>
      <c r="D150" s="26">
        <v>2344.0</v>
      </c>
      <c r="E150" s="26">
        <v>1681.0</v>
      </c>
      <c r="F150" s="26"/>
    </row>
    <row r="151">
      <c r="A151" s="7">
        <v>69.0</v>
      </c>
      <c r="B151" s="26">
        <v>4839.0</v>
      </c>
      <c r="C151" s="26">
        <v>2492.0</v>
      </c>
      <c r="D151" s="26">
        <v>1560.0</v>
      </c>
      <c r="E151" s="26">
        <v>1074.0</v>
      </c>
      <c r="F151" s="26"/>
    </row>
    <row r="152">
      <c r="A152" s="7">
        <v>70.0</v>
      </c>
      <c r="B152" s="26">
        <v>5890.0</v>
      </c>
      <c r="C152" s="26">
        <v>2687.0</v>
      </c>
      <c r="D152" s="26">
        <v>1720.0</v>
      </c>
      <c r="E152" s="26">
        <v>1169.0</v>
      </c>
      <c r="F152" s="26"/>
    </row>
    <row r="153">
      <c r="A153" s="7">
        <v>71.0</v>
      </c>
      <c r="B153" s="26">
        <v>7457.0</v>
      </c>
      <c r="C153" s="26">
        <v>3669.0</v>
      </c>
      <c r="D153" s="26">
        <v>2531.0</v>
      </c>
      <c r="E153" s="26">
        <v>1621.0</v>
      </c>
      <c r="G153" s="26"/>
    </row>
    <row r="154">
      <c r="A154" s="7">
        <v>72.0</v>
      </c>
      <c r="B154" s="26">
        <v>10253.0</v>
      </c>
      <c r="C154" s="26">
        <v>5712.0</v>
      </c>
      <c r="D154" s="26">
        <v>4469.0</v>
      </c>
      <c r="E154" s="26">
        <v>3417.0</v>
      </c>
      <c r="G154" s="26"/>
    </row>
    <row r="155">
      <c r="A155" s="7">
        <v>73.0</v>
      </c>
      <c r="B155" s="26">
        <v>12668.0</v>
      </c>
      <c r="C155" s="26">
        <v>7914.0</v>
      </c>
      <c r="D155" s="26">
        <v>6687.0</v>
      </c>
      <c r="E155" s="26">
        <v>4767.0</v>
      </c>
      <c r="G155" s="26"/>
    </row>
    <row r="156">
      <c r="A156" s="7">
        <v>74.0</v>
      </c>
      <c r="B156" s="26">
        <v>14382.0</v>
      </c>
      <c r="C156" s="26">
        <v>6667.0</v>
      </c>
      <c r="D156" s="26">
        <v>4217.0</v>
      </c>
      <c r="E156" s="26">
        <v>2983.0</v>
      </c>
      <c r="G156" s="26"/>
    </row>
    <row r="157">
      <c r="A157" s="7">
        <v>75.0</v>
      </c>
      <c r="B157" s="37">
        <v>18988.0</v>
      </c>
      <c r="C157" s="37">
        <v>8646.0</v>
      </c>
      <c r="D157" s="37">
        <v>5513.0</v>
      </c>
      <c r="E157" s="37">
        <v>3926.0</v>
      </c>
      <c r="G157" s="37"/>
    </row>
    <row r="158">
      <c r="A158" s="7">
        <v>76.0</v>
      </c>
      <c r="B158" s="37">
        <v>23820.0</v>
      </c>
      <c r="C158" s="37">
        <v>13611.0</v>
      </c>
      <c r="D158" s="37">
        <v>9765.0</v>
      </c>
      <c r="E158" s="37">
        <v>6877.0</v>
      </c>
      <c r="G158" s="37"/>
    </row>
    <row r="159">
      <c r="A159" s="7">
        <v>77.0</v>
      </c>
      <c r="B159" s="37">
        <v>28465.0</v>
      </c>
      <c r="C159" s="37">
        <v>13611.0</v>
      </c>
      <c r="D159" s="37">
        <v>10939.0</v>
      </c>
      <c r="E159" s="37">
        <v>7424.0</v>
      </c>
      <c r="G159" s="37"/>
    </row>
    <row r="160">
      <c r="A160" s="7">
        <v>78.0</v>
      </c>
      <c r="B160" s="37">
        <v>36357.0</v>
      </c>
      <c r="C160" s="37">
        <v>24800.0</v>
      </c>
      <c r="D160" s="37">
        <v>16927.0</v>
      </c>
      <c r="E160" s="37">
        <v>14941.0</v>
      </c>
      <c r="G160" s="37"/>
    </row>
    <row r="161">
      <c r="A161" s="7">
        <v>79.0</v>
      </c>
      <c r="B161" s="37">
        <v>44031.0</v>
      </c>
      <c r="C161" s="37">
        <v>18921.0</v>
      </c>
      <c r="D161" s="37">
        <v>12130.0</v>
      </c>
      <c r="E161" s="37">
        <v>8059.0</v>
      </c>
      <c r="G161" s="37"/>
    </row>
    <row r="162">
      <c r="A162" s="7">
        <v>80.0</v>
      </c>
      <c r="B162" s="37"/>
      <c r="C162" s="37">
        <v>28755.0</v>
      </c>
      <c r="D162" s="37">
        <v>20892.0</v>
      </c>
      <c r="E162" s="37">
        <v>14948.0</v>
      </c>
      <c r="G162" s="37"/>
    </row>
    <row r="163">
      <c r="A163" s="7">
        <v>81.0</v>
      </c>
      <c r="B163" s="4"/>
      <c r="C163" s="4">
        <v>30735.0</v>
      </c>
      <c r="D163" s="4">
        <v>21884.0</v>
      </c>
      <c r="E163" s="4">
        <v>16001.0</v>
      </c>
      <c r="G163" s="4"/>
    </row>
    <row r="164">
      <c r="A164" s="7">
        <v>82.0</v>
      </c>
      <c r="B164" s="4"/>
      <c r="C164" s="4">
        <v>36750.0</v>
      </c>
      <c r="D164" s="4">
        <v>21436.0</v>
      </c>
      <c r="E164" s="4">
        <v>19786.0</v>
      </c>
      <c r="G164" s="4"/>
    </row>
    <row r="165">
      <c r="A165" s="7">
        <v>83.0</v>
      </c>
      <c r="B165" s="4"/>
      <c r="C165" s="4">
        <v>69018.0</v>
      </c>
      <c r="D165" s="4">
        <v>41537.0</v>
      </c>
      <c r="E165" s="4">
        <v>43034.0</v>
      </c>
      <c r="G165" s="4"/>
    </row>
    <row r="166">
      <c r="A166" s="7">
        <v>84.0</v>
      </c>
      <c r="B166" s="4"/>
      <c r="C166" s="4">
        <v>76944.0</v>
      </c>
      <c r="D166" s="4">
        <v>49979.0</v>
      </c>
      <c r="E166" s="4">
        <v>37910.0</v>
      </c>
      <c r="G166" s="4"/>
    </row>
    <row r="167">
      <c r="A167" s="7">
        <v>85.0</v>
      </c>
      <c r="B167" s="4"/>
      <c r="C167" s="4">
        <v>62704.0</v>
      </c>
      <c r="D167" s="4">
        <v>38539.0</v>
      </c>
      <c r="E167" s="4">
        <v>26516.0</v>
      </c>
      <c r="G167" s="4"/>
    </row>
    <row r="168">
      <c r="A168" s="7">
        <v>86.0</v>
      </c>
      <c r="B168" s="4"/>
      <c r="C168" s="4">
        <v>76787.0</v>
      </c>
      <c r="D168" s="4">
        <v>51254.0</v>
      </c>
      <c r="E168" s="4">
        <v>40575.0</v>
      </c>
      <c r="G168" s="4"/>
    </row>
    <row r="169">
      <c r="A169" s="7">
        <v>87.0</v>
      </c>
      <c r="B169" s="4"/>
      <c r="C169" s="4">
        <v>108560.0</v>
      </c>
      <c r="D169" s="4">
        <v>78064.0</v>
      </c>
      <c r="E169" s="4">
        <v>56337.0</v>
      </c>
      <c r="G169" s="4"/>
    </row>
    <row r="170">
      <c r="A170" s="7">
        <v>88.0</v>
      </c>
      <c r="B170" s="4"/>
      <c r="C170" s="4">
        <v>215992.0</v>
      </c>
      <c r="D170" s="4">
        <v>120451.0</v>
      </c>
      <c r="E170" s="4">
        <v>140620.0</v>
      </c>
      <c r="G170" s="4"/>
    </row>
    <row r="171">
      <c r="A171" s="7">
        <v>89.0</v>
      </c>
      <c r="B171" s="4"/>
      <c r="C171" s="4">
        <v>148560.0</v>
      </c>
      <c r="D171" s="4">
        <v>90215.0</v>
      </c>
      <c r="E171" s="4">
        <v>77592.0</v>
      </c>
      <c r="G171" s="4"/>
    </row>
    <row r="172" hidden="1">
      <c r="A172" s="7">
        <v>90.0</v>
      </c>
      <c r="B172" s="4"/>
      <c r="C172" s="4">
        <v>175876.0</v>
      </c>
      <c r="D172" s="4"/>
      <c r="E172" s="4">
        <v>88594.0</v>
      </c>
      <c r="G172" s="4"/>
    </row>
    <row r="173" hidden="1">
      <c r="A173" s="7">
        <v>91.0</v>
      </c>
      <c r="B173" s="4"/>
      <c r="C173" s="4">
        <v>247794.0</v>
      </c>
      <c r="D173" s="4"/>
      <c r="E173" s="4">
        <v>132714.0</v>
      </c>
      <c r="G173" s="4"/>
    </row>
    <row r="174">
      <c r="A174" s="7">
        <v>92.0</v>
      </c>
      <c r="B174" s="4"/>
      <c r="C174" s="4"/>
      <c r="D174" s="4"/>
      <c r="E174" s="4">
        <v>207668.0</v>
      </c>
      <c r="G174" s="4"/>
    </row>
    <row r="175">
      <c r="A175" s="7">
        <v>93.0</v>
      </c>
      <c r="E175" s="41">
        <v>368847.0</v>
      </c>
      <c r="G175" s="4"/>
    </row>
    <row r="176">
      <c r="A176" s="7">
        <v>94.0</v>
      </c>
      <c r="E176" s="4">
        <v>227218.0</v>
      </c>
      <c r="G176" s="63"/>
    </row>
    <row r="177">
      <c r="A177" s="7">
        <v>95.0</v>
      </c>
      <c r="B177" s="4"/>
      <c r="C177" s="4"/>
      <c r="D177" s="4"/>
      <c r="E177" s="4">
        <v>242189.0</v>
      </c>
    </row>
    <row r="178">
      <c r="A178" s="7">
        <v>96.0</v>
      </c>
      <c r="B178" s="4">
        <f t="shared" ref="B178:E178" si="2">sum(B142:B161)</f>
        <v>224587</v>
      </c>
      <c r="C178" s="4">
        <f t="shared" si="2"/>
        <v>119022</v>
      </c>
      <c r="D178" s="4">
        <f t="shared" si="2"/>
        <v>84327</v>
      </c>
      <c r="E178" s="4">
        <f t="shared" si="2"/>
        <v>61542</v>
      </c>
    </row>
    <row r="179">
      <c r="B179" s="63">
        <f>1</f>
        <v>1</v>
      </c>
      <c r="C179" s="52">
        <f>B178/sum(C142:C161)</f>
        <v>1.886936869</v>
      </c>
      <c r="D179" s="52">
        <f>C179*C178/D178</f>
        <v>2.663286966</v>
      </c>
      <c r="E179" s="52">
        <f>D179*sum(D142:D171)/sum(E142:E171)</f>
        <v>3.080147412</v>
      </c>
      <c r="G179" s="25">
        <f>E179*C102*D44</f>
        <v>33.72728763</v>
      </c>
      <c r="H179" s="25">
        <f>G179/D44</f>
        <v>5.463742908</v>
      </c>
    </row>
    <row r="180">
      <c r="B180" s="4"/>
      <c r="C180" s="4"/>
      <c r="D180" s="4"/>
      <c r="E180" s="52">
        <f>E179/D179</f>
        <v>1.15652104</v>
      </c>
    </row>
    <row r="181">
      <c r="C181" s="4"/>
      <c r="D181" s="4"/>
      <c r="E181" s="4"/>
    </row>
    <row r="182">
      <c r="C182" s="4"/>
      <c r="D182" s="4"/>
      <c r="E182" s="4"/>
    </row>
    <row r="183">
      <c r="D183" s="4"/>
      <c r="E183" s="4"/>
    </row>
    <row r="184">
      <c r="B184" s="11"/>
      <c r="D184" s="4"/>
      <c r="E184" s="4"/>
    </row>
    <row r="185">
      <c r="B185" s="11"/>
      <c r="D185" s="4"/>
      <c r="E185" s="4"/>
    </row>
    <row r="186">
      <c r="C186" s="11"/>
      <c r="D186" s="4"/>
      <c r="E186" s="4"/>
    </row>
    <row r="187">
      <c r="C187" s="11"/>
      <c r="D187" s="4"/>
      <c r="E187" s="4"/>
    </row>
    <row r="188">
      <c r="B188" s="11" t="s">
        <v>70</v>
      </c>
      <c r="C188" s="64" t="s">
        <v>71</v>
      </c>
      <c r="D188" s="4"/>
      <c r="E188" s="4"/>
    </row>
    <row r="189">
      <c r="A189" s="7">
        <v>60.0</v>
      </c>
      <c r="B189" s="26">
        <v>193.0</v>
      </c>
      <c r="C189" s="4">
        <v>139.0</v>
      </c>
    </row>
    <row r="190">
      <c r="A190" s="7">
        <v>61.0</v>
      </c>
      <c r="B190" s="26">
        <v>185.0</v>
      </c>
      <c r="C190" s="4">
        <v>115.0</v>
      </c>
    </row>
    <row r="191">
      <c r="A191" s="7">
        <v>62.0</v>
      </c>
      <c r="B191" s="26">
        <v>320.0</v>
      </c>
      <c r="C191" s="4">
        <v>129.0</v>
      </c>
    </row>
    <row r="192">
      <c r="A192" s="7">
        <v>63.0</v>
      </c>
      <c r="B192" s="26">
        <v>459.0</v>
      </c>
      <c r="C192" s="4">
        <v>167.0</v>
      </c>
    </row>
    <row r="193">
      <c r="A193" s="7">
        <v>64.0</v>
      </c>
      <c r="B193" s="26">
        <v>445.0</v>
      </c>
      <c r="C193" s="4">
        <v>334.0</v>
      </c>
    </row>
    <row r="194">
      <c r="A194" s="7">
        <v>65.0</v>
      </c>
      <c r="B194" s="26">
        <v>470.0</v>
      </c>
      <c r="C194" s="4">
        <v>301.0</v>
      </c>
    </row>
    <row r="195">
      <c r="A195" s="7">
        <v>66.0</v>
      </c>
      <c r="B195" s="26">
        <v>533.0</v>
      </c>
      <c r="C195" s="4">
        <v>297.0</v>
      </c>
    </row>
    <row r="196">
      <c r="A196" s="7">
        <v>67.0</v>
      </c>
      <c r="B196" s="26">
        <v>998.0</v>
      </c>
      <c r="C196" s="4">
        <v>374.0</v>
      </c>
    </row>
    <row r="197">
      <c r="A197" s="7">
        <v>68.0</v>
      </c>
      <c r="B197" s="26">
        <v>1681.0</v>
      </c>
      <c r="C197" s="4">
        <v>925.0</v>
      </c>
    </row>
    <row r="198">
      <c r="A198" s="7">
        <v>69.0</v>
      </c>
      <c r="B198" s="26">
        <v>1074.0</v>
      </c>
      <c r="C198" s="4">
        <v>569.0</v>
      </c>
    </row>
    <row r="199">
      <c r="A199" s="7">
        <v>70.0</v>
      </c>
      <c r="B199" s="26">
        <v>1169.0</v>
      </c>
      <c r="C199" s="4">
        <v>605.0</v>
      </c>
    </row>
    <row r="200">
      <c r="A200" s="7">
        <v>71.0</v>
      </c>
      <c r="B200" s="26">
        <v>1621.0</v>
      </c>
      <c r="C200" s="4">
        <v>761.0</v>
      </c>
    </row>
    <row r="201">
      <c r="A201" s="7">
        <v>72.0</v>
      </c>
      <c r="B201" s="26">
        <v>3417.0</v>
      </c>
      <c r="C201" s="4">
        <v>2301.0</v>
      </c>
    </row>
    <row r="202">
      <c r="A202" s="7">
        <v>73.0</v>
      </c>
      <c r="B202" s="26">
        <v>4767.0</v>
      </c>
      <c r="C202" s="4">
        <v>1257.0</v>
      </c>
    </row>
    <row r="203">
      <c r="A203" s="7">
        <v>74.0</v>
      </c>
      <c r="B203" s="26">
        <v>2983.0</v>
      </c>
      <c r="C203" s="4">
        <v>1467.0</v>
      </c>
    </row>
    <row r="204">
      <c r="A204" s="7">
        <v>75.0</v>
      </c>
      <c r="B204" s="37">
        <v>3926.0</v>
      </c>
      <c r="C204" s="4">
        <v>2185.0</v>
      </c>
    </row>
    <row r="205">
      <c r="A205" s="7">
        <v>76.0</v>
      </c>
      <c r="B205" s="37">
        <v>6877.0</v>
      </c>
      <c r="C205" s="4">
        <v>5626.0</v>
      </c>
    </row>
    <row r="206">
      <c r="A206" s="7">
        <v>77.0</v>
      </c>
      <c r="B206" s="37">
        <v>7424.0</v>
      </c>
      <c r="C206" s="4">
        <v>2781.0</v>
      </c>
    </row>
    <row r="207">
      <c r="A207" s="7">
        <v>78.0</v>
      </c>
      <c r="B207" s="37">
        <v>14941.0</v>
      </c>
      <c r="C207" s="4">
        <v>3496.0</v>
      </c>
    </row>
    <row r="208">
      <c r="A208" s="7">
        <v>79.0</v>
      </c>
      <c r="B208" s="37">
        <v>8059.0</v>
      </c>
      <c r="C208" s="4">
        <v>3776.0</v>
      </c>
    </row>
    <row r="209">
      <c r="A209" s="7">
        <v>80.0</v>
      </c>
      <c r="B209" s="37">
        <v>14948.0</v>
      </c>
      <c r="C209" s="4">
        <v>14088.0</v>
      </c>
    </row>
    <row r="210">
      <c r="A210" s="7">
        <v>81.0</v>
      </c>
      <c r="B210" s="4">
        <v>16001.0</v>
      </c>
      <c r="C210" s="4">
        <v>7772.0</v>
      </c>
    </row>
    <row r="211">
      <c r="A211" s="7">
        <v>82.0</v>
      </c>
      <c r="B211" s="4">
        <v>19786.0</v>
      </c>
      <c r="C211" s="4">
        <v>8229.0</v>
      </c>
    </row>
    <row r="212">
      <c r="A212" s="7">
        <v>83.0</v>
      </c>
      <c r="B212" s="4">
        <v>43034.0</v>
      </c>
      <c r="C212" s="4">
        <v>8790.0</v>
      </c>
    </row>
    <row r="213">
      <c r="A213" s="7">
        <v>84.0</v>
      </c>
      <c r="B213" s="4">
        <v>37910.0</v>
      </c>
      <c r="C213" s="4">
        <v>33007.0</v>
      </c>
    </row>
    <row r="214">
      <c r="A214" s="7">
        <v>85.0</v>
      </c>
      <c r="B214" s="4">
        <v>26516.0</v>
      </c>
      <c r="C214" s="4">
        <v>14388.0</v>
      </c>
    </row>
    <row r="215">
      <c r="A215" s="7">
        <v>86.0</v>
      </c>
      <c r="B215" s="4">
        <v>40575.0</v>
      </c>
      <c r="C215" s="4">
        <v>14551.0</v>
      </c>
    </row>
    <row r="216">
      <c r="A216" s="7">
        <v>87.0</v>
      </c>
      <c r="B216" s="4">
        <v>56337.0</v>
      </c>
      <c r="C216" s="4">
        <v>24112.0</v>
      </c>
    </row>
    <row r="217">
      <c r="A217" s="7">
        <v>88.0</v>
      </c>
      <c r="B217" s="4">
        <v>140620.0</v>
      </c>
      <c r="C217" s="4">
        <v>75020.0</v>
      </c>
    </row>
    <row r="218">
      <c r="A218" s="7">
        <v>89.0</v>
      </c>
      <c r="B218" s="4">
        <v>77592.0</v>
      </c>
      <c r="C218" s="4">
        <v>32817.0</v>
      </c>
    </row>
    <row r="219">
      <c r="A219" s="7">
        <v>90.0</v>
      </c>
      <c r="B219" s="4">
        <v>88594.0</v>
      </c>
      <c r="C219" s="4">
        <v>46310.0</v>
      </c>
    </row>
    <row r="220">
      <c r="A220" s="7">
        <v>91.0</v>
      </c>
      <c r="B220" s="4">
        <v>132714.0</v>
      </c>
      <c r="C220" s="4">
        <v>40589.0</v>
      </c>
    </row>
    <row r="221">
      <c r="A221" s="7">
        <v>92.0</v>
      </c>
      <c r="B221" s="4">
        <v>207668.0</v>
      </c>
      <c r="C221" s="4">
        <v>171238.0</v>
      </c>
    </row>
    <row r="222">
      <c r="A222" s="7">
        <v>93.0</v>
      </c>
      <c r="B222" s="41">
        <v>368847.0</v>
      </c>
      <c r="C222" s="4">
        <v>76566.0</v>
      </c>
    </row>
    <row r="223">
      <c r="A223" s="7">
        <v>94.0</v>
      </c>
      <c r="B223" s="4">
        <v>227218.0</v>
      </c>
      <c r="C223" s="4">
        <v>69589.0</v>
      </c>
    </row>
    <row r="224">
      <c r="A224" s="7">
        <v>95.0</v>
      </c>
      <c r="B224" s="4">
        <v>242189.0</v>
      </c>
      <c r="C224" s="4">
        <v>98326.0</v>
      </c>
    </row>
    <row r="225" hidden="1">
      <c r="A225" s="7">
        <v>96.0</v>
      </c>
      <c r="B225" s="4"/>
      <c r="C225" s="4">
        <v>334663.0</v>
      </c>
    </row>
    <row r="226" hidden="1">
      <c r="A226" s="7">
        <v>97.0</v>
      </c>
      <c r="B226" s="4"/>
      <c r="C226" s="4">
        <v>147990.0</v>
      </c>
    </row>
    <row r="227" hidden="1">
      <c r="A227" s="7">
        <v>98.0</v>
      </c>
      <c r="B227" s="4"/>
      <c r="C227" s="4">
        <v>166223.0</v>
      </c>
    </row>
    <row r="228" hidden="1">
      <c r="A228" s="7">
        <v>99.0</v>
      </c>
      <c r="B228" s="4"/>
      <c r="C228" s="4">
        <v>226089.0</v>
      </c>
    </row>
    <row r="229" hidden="1">
      <c r="A229" s="7">
        <v>100.0</v>
      </c>
      <c r="B229" s="4"/>
      <c r="C229" s="4">
        <v>780518.0</v>
      </c>
    </row>
    <row r="230">
      <c r="B230" s="4">
        <f t="shared" ref="B230:C230" si="3">sum(B189:B224)</f>
        <v>1802091</v>
      </c>
      <c r="C230" s="4">
        <f t="shared" si="3"/>
        <v>762997</v>
      </c>
    </row>
    <row r="231">
      <c r="B231" s="52">
        <f>1</f>
        <v>1</v>
      </c>
      <c r="C231" s="52">
        <f>B230/C230</f>
        <v>2.361858566</v>
      </c>
    </row>
    <row r="232">
      <c r="B232" s="4"/>
      <c r="C232" s="4"/>
    </row>
    <row r="233">
      <c r="B233" s="4"/>
      <c r="C233" s="4"/>
    </row>
    <row r="234">
      <c r="B234" s="4"/>
      <c r="C234" s="4"/>
    </row>
    <row r="235">
      <c r="B235" s="4"/>
      <c r="C235" s="4"/>
    </row>
    <row r="236">
      <c r="B236" s="4"/>
      <c r="C236" s="4"/>
    </row>
    <row r="237">
      <c r="B237" s="4"/>
      <c r="C237" s="4"/>
    </row>
    <row r="238">
      <c r="B238" s="4"/>
      <c r="C238" s="4"/>
    </row>
    <row r="239">
      <c r="B239" s="4"/>
      <c r="C239" s="4"/>
    </row>
    <row r="240">
      <c r="B240" s="4"/>
      <c r="C240" s="4"/>
    </row>
    <row r="241">
      <c r="B241" s="4"/>
      <c r="C241" s="4"/>
    </row>
    <row r="242">
      <c r="B242" s="4"/>
      <c r="C242" s="4"/>
    </row>
    <row r="243">
      <c r="B243" s="4"/>
      <c r="C243" s="4"/>
    </row>
    <row r="244">
      <c r="B244" s="4"/>
      <c r="C244" s="4"/>
    </row>
    <row r="245">
      <c r="B245" s="4"/>
      <c r="C245" s="4"/>
    </row>
    <row r="246">
      <c r="B246" s="4"/>
      <c r="C246" s="4"/>
    </row>
    <row r="247">
      <c r="B247" s="4"/>
      <c r="C247" s="4"/>
    </row>
    <row r="248">
      <c r="B248" s="4"/>
      <c r="C248" s="4"/>
    </row>
    <row r="249">
      <c r="B249" s="4"/>
      <c r="C249" s="4"/>
    </row>
    <row r="250">
      <c r="B250" s="4"/>
      <c r="C250" s="4"/>
    </row>
    <row r="251">
      <c r="B251" s="4"/>
      <c r="C251" s="4"/>
    </row>
    <row r="252">
      <c r="B252" s="4"/>
      <c r="C252" s="4"/>
    </row>
    <row r="253">
      <c r="B253" s="4"/>
      <c r="C253" s="4"/>
    </row>
    <row r="254">
      <c r="B254" s="4"/>
      <c r="C254" s="4"/>
    </row>
    <row r="255">
      <c r="B255" s="4"/>
      <c r="C255" s="4"/>
    </row>
    <row r="256">
      <c r="B256" s="4"/>
      <c r="C256" s="4"/>
    </row>
    <row r="257">
      <c r="B257" s="4"/>
      <c r="C257" s="4"/>
    </row>
    <row r="258">
      <c r="B258" s="4"/>
      <c r="C258" s="4"/>
    </row>
    <row r="259">
      <c r="B259" s="4"/>
      <c r="C259" s="4"/>
    </row>
    <row r="260">
      <c r="B260" s="4"/>
      <c r="C260" s="4"/>
    </row>
    <row r="261">
      <c r="B261" s="22" t="s">
        <v>72</v>
      </c>
      <c r="C261" s="22" t="s">
        <v>73</v>
      </c>
      <c r="D261" s="22" t="s">
        <v>74</v>
      </c>
      <c r="E261" s="65" t="s">
        <v>75</v>
      </c>
    </row>
    <row r="262" hidden="1">
      <c r="A262" s="7">
        <v>0.0</v>
      </c>
      <c r="B262" s="4">
        <v>12.0</v>
      </c>
      <c r="C262" s="4">
        <v>12.0</v>
      </c>
      <c r="D262" s="4">
        <v>12.0</v>
      </c>
      <c r="E262" s="4">
        <v>11.0</v>
      </c>
    </row>
    <row r="263" hidden="1">
      <c r="A263" s="7">
        <v>1.0</v>
      </c>
      <c r="B263" s="4">
        <v>12.0</v>
      </c>
      <c r="C263" s="4">
        <v>12.0</v>
      </c>
      <c r="D263" s="4">
        <v>10.0</v>
      </c>
      <c r="E263" s="4">
        <v>13.0</v>
      </c>
    </row>
    <row r="264" hidden="1">
      <c r="A264" s="7">
        <v>2.0</v>
      </c>
      <c r="B264" s="4">
        <v>12.0</v>
      </c>
      <c r="C264" s="4">
        <v>12.0</v>
      </c>
      <c r="D264" s="4">
        <v>11.0</v>
      </c>
      <c r="E264" s="4">
        <v>12.0</v>
      </c>
    </row>
    <row r="265" hidden="1">
      <c r="A265" s="7">
        <v>3.0</v>
      </c>
      <c r="B265" s="4">
        <v>13.0</v>
      </c>
      <c r="C265" s="4">
        <v>12.0</v>
      </c>
      <c r="D265" s="4">
        <v>11.0</v>
      </c>
      <c r="E265" s="4">
        <v>12.0</v>
      </c>
    </row>
    <row r="266" hidden="1">
      <c r="A266" s="7">
        <v>4.0</v>
      </c>
      <c r="B266" s="4">
        <v>12.0</v>
      </c>
      <c r="C266" s="4">
        <v>13.0</v>
      </c>
      <c r="D266" s="4">
        <v>12.0</v>
      </c>
      <c r="E266" s="4">
        <v>11.0</v>
      </c>
    </row>
    <row r="267" hidden="1">
      <c r="A267" s="7">
        <v>5.0</v>
      </c>
      <c r="B267" s="4">
        <v>12.0</v>
      </c>
      <c r="C267" s="4">
        <v>12.0</v>
      </c>
      <c r="D267" s="4">
        <v>12.0</v>
      </c>
      <c r="E267" s="4">
        <v>12.0</v>
      </c>
    </row>
    <row r="268" hidden="1">
      <c r="A268" s="7">
        <v>6.0</v>
      </c>
      <c r="B268" s="4">
        <v>11.0</v>
      </c>
      <c r="C268" s="4">
        <v>12.0</v>
      </c>
      <c r="D268" s="4">
        <v>12.0</v>
      </c>
      <c r="E268" s="4">
        <v>12.0</v>
      </c>
    </row>
    <row r="269" hidden="1">
      <c r="A269" s="7">
        <v>7.0</v>
      </c>
      <c r="B269" s="4">
        <v>12.0</v>
      </c>
      <c r="C269" s="4">
        <v>13.0</v>
      </c>
      <c r="D269" s="4">
        <v>13.0</v>
      </c>
      <c r="E269" s="4">
        <v>10.0</v>
      </c>
    </row>
    <row r="270" hidden="1">
      <c r="A270" s="7">
        <v>8.0</v>
      </c>
      <c r="B270" s="4">
        <v>12.0</v>
      </c>
      <c r="C270" s="4">
        <v>11.0</v>
      </c>
      <c r="D270" s="4">
        <v>11.0</v>
      </c>
      <c r="E270" s="4">
        <v>10.0</v>
      </c>
    </row>
    <row r="271" hidden="1">
      <c r="A271" s="7">
        <v>9.0</v>
      </c>
      <c r="B271" s="4">
        <v>12.0</v>
      </c>
      <c r="C271" s="4">
        <v>11.0</v>
      </c>
      <c r="D271" s="4">
        <v>10.0</v>
      </c>
      <c r="E271" s="4">
        <v>12.0</v>
      </c>
    </row>
    <row r="272" hidden="1">
      <c r="A272" s="7">
        <v>10.0</v>
      </c>
      <c r="B272" s="4">
        <v>11.0</v>
      </c>
      <c r="C272" s="4">
        <v>13.0</v>
      </c>
      <c r="D272" s="4">
        <v>12.0</v>
      </c>
      <c r="E272" s="4">
        <v>12.0</v>
      </c>
    </row>
    <row r="273" hidden="1">
      <c r="A273" s="7">
        <v>11.0</v>
      </c>
      <c r="B273" s="4">
        <v>10.0</v>
      </c>
      <c r="C273" s="4">
        <v>13.0</v>
      </c>
      <c r="D273" s="4">
        <v>13.0</v>
      </c>
      <c r="E273" s="4">
        <v>13.0</v>
      </c>
    </row>
    <row r="274" hidden="1">
      <c r="A274" s="7">
        <v>12.0</v>
      </c>
      <c r="B274" s="4">
        <v>11.0</v>
      </c>
      <c r="C274" s="4">
        <v>12.0</v>
      </c>
      <c r="D274" s="4">
        <v>12.0</v>
      </c>
      <c r="E274" s="4">
        <v>12.0</v>
      </c>
    </row>
    <row r="275" hidden="1">
      <c r="A275" s="7">
        <v>13.0</v>
      </c>
      <c r="B275" s="4">
        <v>11.0</v>
      </c>
      <c r="C275" s="4">
        <v>11.0</v>
      </c>
      <c r="D275" s="4">
        <v>13.0</v>
      </c>
      <c r="E275" s="4">
        <v>12.0</v>
      </c>
    </row>
    <row r="276" hidden="1">
      <c r="A276" s="7">
        <v>14.0</v>
      </c>
      <c r="B276" s="4">
        <v>13.0</v>
      </c>
      <c r="C276" s="4">
        <v>13.0</v>
      </c>
      <c r="D276" s="4">
        <v>11.0</v>
      </c>
      <c r="E276" s="4">
        <v>13.0</v>
      </c>
    </row>
    <row r="277" hidden="1">
      <c r="A277" s="7">
        <v>15.0</v>
      </c>
      <c r="B277" s="4">
        <v>12.0</v>
      </c>
      <c r="C277" s="4">
        <v>12.0</v>
      </c>
      <c r="D277" s="4">
        <v>11.0</v>
      </c>
      <c r="E277" s="4">
        <v>10.0</v>
      </c>
    </row>
    <row r="278" hidden="1">
      <c r="A278" s="7">
        <v>16.0</v>
      </c>
      <c r="B278" s="4">
        <v>13.0</v>
      </c>
      <c r="C278" s="4">
        <v>12.0</v>
      </c>
      <c r="D278" s="4">
        <v>11.0</v>
      </c>
      <c r="E278" s="4">
        <v>12.0</v>
      </c>
    </row>
    <row r="279" hidden="1">
      <c r="A279" s="7">
        <v>17.0</v>
      </c>
      <c r="B279" s="4">
        <v>12.0</v>
      </c>
      <c r="C279" s="4">
        <v>13.0</v>
      </c>
      <c r="D279" s="4">
        <v>13.0</v>
      </c>
      <c r="E279" s="4">
        <v>13.0</v>
      </c>
    </row>
    <row r="280" hidden="1">
      <c r="A280" s="7">
        <v>18.0</v>
      </c>
      <c r="B280" s="4">
        <v>13.0</v>
      </c>
      <c r="C280" s="4">
        <v>13.0</v>
      </c>
      <c r="D280" s="4">
        <v>12.0</v>
      </c>
      <c r="E280" s="4">
        <v>12.0</v>
      </c>
    </row>
    <row r="281" hidden="1">
      <c r="A281" s="7">
        <v>19.0</v>
      </c>
      <c r="B281" s="4">
        <v>25.0</v>
      </c>
      <c r="C281" s="4">
        <v>13.0</v>
      </c>
      <c r="D281" s="4">
        <v>25.0</v>
      </c>
      <c r="E281" s="4">
        <v>12.0</v>
      </c>
    </row>
    <row r="282" hidden="1">
      <c r="A282" s="7">
        <v>20.0</v>
      </c>
      <c r="B282" s="4">
        <v>24.0</v>
      </c>
      <c r="C282" s="4">
        <v>11.0</v>
      </c>
      <c r="D282" s="4">
        <v>25.0</v>
      </c>
      <c r="E282" s="4">
        <v>13.0</v>
      </c>
    </row>
    <row r="283" hidden="1">
      <c r="A283" s="7">
        <v>21.0</v>
      </c>
      <c r="B283" s="4">
        <v>25.0</v>
      </c>
      <c r="C283" s="4">
        <v>13.0</v>
      </c>
      <c r="D283" s="4">
        <v>25.0</v>
      </c>
      <c r="E283" s="4">
        <v>12.0</v>
      </c>
    </row>
    <row r="284" hidden="1">
      <c r="A284" s="7">
        <v>22.0</v>
      </c>
      <c r="B284" s="4">
        <v>23.0</v>
      </c>
      <c r="C284" s="4">
        <v>11.0</v>
      </c>
      <c r="D284" s="4">
        <v>26.0</v>
      </c>
      <c r="E284" s="4">
        <v>13.0</v>
      </c>
    </row>
    <row r="285" hidden="1">
      <c r="A285" s="7">
        <v>23.0</v>
      </c>
      <c r="B285" s="4">
        <v>22.0</v>
      </c>
      <c r="C285" s="4">
        <v>24.0</v>
      </c>
      <c r="D285" s="4">
        <v>24.0</v>
      </c>
      <c r="E285" s="4">
        <v>23.0</v>
      </c>
    </row>
    <row r="286" hidden="1">
      <c r="A286" s="7">
        <v>24.0</v>
      </c>
      <c r="B286" s="4">
        <v>23.0</v>
      </c>
      <c r="C286" s="4">
        <v>23.0</v>
      </c>
      <c r="D286" s="4">
        <v>23.0</v>
      </c>
      <c r="E286" s="4">
        <v>23.0</v>
      </c>
    </row>
    <row r="287" hidden="1">
      <c r="A287" s="7">
        <v>25.0</v>
      </c>
      <c r="B287" s="4">
        <v>25.0</v>
      </c>
      <c r="C287" s="4">
        <v>25.0</v>
      </c>
      <c r="D287" s="4">
        <v>25.0</v>
      </c>
      <c r="E287" s="4">
        <v>23.0</v>
      </c>
    </row>
    <row r="288" hidden="1">
      <c r="A288" s="7">
        <v>26.0</v>
      </c>
      <c r="B288" s="4">
        <v>25.0</v>
      </c>
      <c r="C288" s="4">
        <v>27.0</v>
      </c>
      <c r="D288" s="4">
        <v>25.0</v>
      </c>
      <c r="E288" s="4">
        <v>24.0</v>
      </c>
    </row>
    <row r="289" hidden="1">
      <c r="A289" s="7">
        <v>27.0</v>
      </c>
      <c r="B289" s="4">
        <v>26.0</v>
      </c>
      <c r="C289" s="4">
        <v>27.0</v>
      </c>
      <c r="D289" s="4">
        <v>26.0</v>
      </c>
      <c r="E289" s="4">
        <v>23.0</v>
      </c>
    </row>
    <row r="290" hidden="1">
      <c r="A290" s="7">
        <v>28.0</v>
      </c>
      <c r="B290" s="4">
        <v>28.0</v>
      </c>
      <c r="C290" s="4">
        <v>24.0</v>
      </c>
      <c r="D290" s="4">
        <v>25.0</v>
      </c>
      <c r="E290" s="4">
        <v>24.0</v>
      </c>
    </row>
    <row r="291" hidden="1">
      <c r="A291" s="7">
        <v>29.0</v>
      </c>
      <c r="B291" s="4">
        <v>24.0</v>
      </c>
      <c r="C291" s="4">
        <v>25.0</v>
      </c>
      <c r="D291" s="4">
        <v>25.0</v>
      </c>
      <c r="E291" s="4">
        <v>26.0</v>
      </c>
    </row>
    <row r="292" hidden="1">
      <c r="A292" s="7">
        <v>30.0</v>
      </c>
      <c r="B292" s="4">
        <v>24.0</v>
      </c>
      <c r="C292" s="4">
        <v>25.0</v>
      </c>
      <c r="D292" s="4">
        <v>26.0</v>
      </c>
      <c r="E292" s="4">
        <v>24.0</v>
      </c>
    </row>
    <row r="293" hidden="1">
      <c r="A293" s="7">
        <v>31.0</v>
      </c>
      <c r="B293" s="4">
        <v>26.0</v>
      </c>
      <c r="C293" s="4">
        <v>24.0</v>
      </c>
      <c r="D293" s="4">
        <v>26.0</v>
      </c>
      <c r="E293" s="4">
        <v>24.0</v>
      </c>
    </row>
    <row r="294" hidden="1">
      <c r="A294" s="7">
        <v>32.0</v>
      </c>
      <c r="B294" s="4">
        <v>28.0</v>
      </c>
      <c r="C294" s="4">
        <v>25.0</v>
      </c>
      <c r="D294" s="4">
        <v>25.0</v>
      </c>
      <c r="E294" s="4">
        <v>26.0</v>
      </c>
    </row>
    <row r="295">
      <c r="A295" s="7">
        <v>33.0</v>
      </c>
      <c r="B295" s="4">
        <v>29.0</v>
      </c>
      <c r="C295" s="4">
        <v>27.0</v>
      </c>
      <c r="D295" s="4">
        <v>26.0</v>
      </c>
      <c r="E295" s="4">
        <v>25.0</v>
      </c>
    </row>
    <row r="296">
      <c r="A296" s="7">
        <v>34.0</v>
      </c>
      <c r="B296" s="4">
        <v>30.0</v>
      </c>
      <c r="C296" s="4">
        <v>28.0</v>
      </c>
      <c r="D296" s="4">
        <v>26.0</v>
      </c>
      <c r="E296" s="4">
        <v>26.0</v>
      </c>
    </row>
    <row r="297">
      <c r="A297" s="7">
        <v>35.0</v>
      </c>
      <c r="B297" s="4">
        <v>30.0</v>
      </c>
      <c r="C297" s="4">
        <v>30.0</v>
      </c>
      <c r="D297" s="4">
        <v>26.0</v>
      </c>
      <c r="E297" s="4">
        <v>25.0</v>
      </c>
    </row>
    <row r="298">
      <c r="A298" s="7">
        <v>36.0</v>
      </c>
      <c r="B298" s="4">
        <v>29.0</v>
      </c>
      <c r="C298" s="4">
        <v>29.0</v>
      </c>
      <c r="D298" s="4">
        <v>26.0</v>
      </c>
      <c r="E298" s="4">
        <v>25.0</v>
      </c>
    </row>
    <row r="299">
      <c r="A299" s="7">
        <v>37.0</v>
      </c>
      <c r="B299" s="4">
        <v>29.0</v>
      </c>
      <c r="C299" s="4">
        <v>29.0</v>
      </c>
      <c r="D299" s="4">
        <v>27.0</v>
      </c>
      <c r="E299" s="4">
        <v>26.0</v>
      </c>
    </row>
    <row r="300">
      <c r="A300" s="7">
        <v>38.0</v>
      </c>
      <c r="B300" s="4">
        <v>31.0</v>
      </c>
      <c r="C300" s="4">
        <v>34.0</v>
      </c>
      <c r="D300" s="4">
        <v>27.0</v>
      </c>
      <c r="E300" s="4">
        <v>26.0</v>
      </c>
    </row>
    <row r="301">
      <c r="A301" s="7">
        <v>39.0</v>
      </c>
      <c r="B301" s="4">
        <v>35.0</v>
      </c>
      <c r="C301" s="4">
        <v>30.0</v>
      </c>
      <c r="D301" s="4">
        <v>28.0</v>
      </c>
      <c r="E301" s="4">
        <v>26.0</v>
      </c>
    </row>
    <row r="302">
      <c r="A302" s="7">
        <v>40.0</v>
      </c>
      <c r="B302" s="4">
        <v>29.0</v>
      </c>
      <c r="C302" s="4">
        <v>31.0</v>
      </c>
      <c r="D302" s="4">
        <v>28.0</v>
      </c>
      <c r="E302" s="4">
        <v>27.0</v>
      </c>
    </row>
    <row r="303">
      <c r="A303" s="7">
        <v>41.0</v>
      </c>
      <c r="B303" s="4">
        <v>30.0</v>
      </c>
      <c r="C303" s="4">
        <v>31.0</v>
      </c>
      <c r="D303" s="4">
        <v>28.0</v>
      </c>
      <c r="E303" s="4">
        <v>27.0</v>
      </c>
    </row>
    <row r="304">
      <c r="A304" s="7">
        <v>42.0</v>
      </c>
      <c r="B304" s="4">
        <v>30.0</v>
      </c>
      <c r="C304" s="4">
        <v>32.0</v>
      </c>
      <c r="D304" s="4">
        <v>29.0</v>
      </c>
      <c r="E304" s="4">
        <v>27.0</v>
      </c>
    </row>
    <row r="305">
      <c r="A305" s="7">
        <v>43.0</v>
      </c>
      <c r="B305" s="4">
        <v>33.0</v>
      </c>
      <c r="C305" s="4">
        <v>34.0</v>
      </c>
      <c r="D305" s="4">
        <v>29.0</v>
      </c>
      <c r="E305" s="4">
        <v>26.0</v>
      </c>
    </row>
    <row r="306">
      <c r="A306" s="7">
        <v>44.0</v>
      </c>
      <c r="B306" s="4">
        <v>32.0</v>
      </c>
      <c r="C306" s="4">
        <v>37.0</v>
      </c>
      <c r="D306" s="4">
        <v>29.0</v>
      </c>
      <c r="E306" s="4">
        <v>26.0</v>
      </c>
    </row>
    <row r="307">
      <c r="A307" s="7">
        <v>45.0</v>
      </c>
      <c r="B307" s="4">
        <v>33.0</v>
      </c>
      <c r="C307" s="4">
        <v>36.0</v>
      </c>
      <c r="D307" s="4">
        <v>29.0</v>
      </c>
      <c r="E307" s="4">
        <v>28.0</v>
      </c>
    </row>
    <row r="308">
      <c r="A308" s="7">
        <v>46.0</v>
      </c>
      <c r="B308" s="4">
        <v>34.0</v>
      </c>
      <c r="C308" s="4">
        <v>31.0</v>
      </c>
      <c r="D308" s="4">
        <v>31.0</v>
      </c>
      <c r="E308" s="4">
        <v>28.0</v>
      </c>
    </row>
    <row r="309">
      <c r="A309" s="7">
        <v>47.0</v>
      </c>
      <c r="B309" s="4">
        <v>35.0</v>
      </c>
      <c r="C309" s="4">
        <v>31.0</v>
      </c>
      <c r="D309" s="4">
        <v>32.0</v>
      </c>
      <c r="E309" s="4">
        <v>30.0</v>
      </c>
    </row>
    <row r="310">
      <c r="A310" s="7">
        <v>48.0</v>
      </c>
      <c r="B310" s="4">
        <v>39.0</v>
      </c>
      <c r="C310" s="4">
        <v>33.0</v>
      </c>
      <c r="D310" s="4">
        <v>32.0</v>
      </c>
      <c r="E310" s="4">
        <v>31.0</v>
      </c>
    </row>
    <row r="311">
      <c r="A311" s="7">
        <v>49.0</v>
      </c>
      <c r="B311" s="4">
        <v>39.0</v>
      </c>
      <c r="C311" s="4">
        <v>34.0</v>
      </c>
      <c r="D311" s="4">
        <v>34.0</v>
      </c>
      <c r="E311" s="4">
        <v>30.0</v>
      </c>
    </row>
    <row r="312">
      <c r="A312" s="7">
        <v>50.0</v>
      </c>
      <c r="B312" s="4">
        <v>40.0</v>
      </c>
      <c r="C312" s="4">
        <v>34.0</v>
      </c>
      <c r="D312" s="4">
        <v>36.0</v>
      </c>
      <c r="E312" s="4">
        <v>33.0</v>
      </c>
    </row>
    <row r="313">
      <c r="A313" s="7">
        <v>51.0</v>
      </c>
      <c r="B313" s="4">
        <v>49.0</v>
      </c>
      <c r="C313" s="4">
        <v>39.0</v>
      </c>
      <c r="D313" s="4">
        <v>38.0</v>
      </c>
      <c r="E313" s="4">
        <v>35.0</v>
      </c>
    </row>
    <row r="314">
      <c r="A314" s="7">
        <v>52.0</v>
      </c>
      <c r="B314" s="4">
        <v>55.0</v>
      </c>
      <c r="C314" s="4">
        <v>45.0</v>
      </c>
      <c r="D314" s="4">
        <v>41.0</v>
      </c>
      <c r="E314" s="4">
        <v>39.0</v>
      </c>
    </row>
    <row r="315">
      <c r="A315" s="7">
        <v>53.0</v>
      </c>
      <c r="B315" s="4">
        <v>57.0</v>
      </c>
      <c r="C315" s="4">
        <v>43.0</v>
      </c>
      <c r="D315" s="4">
        <v>43.0</v>
      </c>
      <c r="E315" s="4">
        <v>37.0</v>
      </c>
    </row>
    <row r="316">
      <c r="A316" s="7">
        <v>54.0</v>
      </c>
      <c r="B316" s="4">
        <v>61.0</v>
      </c>
      <c r="C316" s="4">
        <v>47.0</v>
      </c>
      <c r="D316" s="4">
        <v>46.0</v>
      </c>
      <c r="E316" s="4">
        <v>40.0</v>
      </c>
    </row>
    <row r="317">
      <c r="A317" s="7">
        <v>55.0</v>
      </c>
      <c r="B317" s="4">
        <v>73.0</v>
      </c>
      <c r="C317" s="4">
        <v>48.0</v>
      </c>
      <c r="D317" s="4">
        <v>53.0</v>
      </c>
      <c r="E317" s="4">
        <v>44.0</v>
      </c>
    </row>
    <row r="318">
      <c r="A318" s="7">
        <v>56.0</v>
      </c>
      <c r="B318" s="4">
        <v>92.0</v>
      </c>
      <c r="C318" s="4">
        <v>62.0</v>
      </c>
      <c r="D318" s="4">
        <v>58.0</v>
      </c>
      <c r="E318" s="4">
        <v>51.0</v>
      </c>
    </row>
    <row r="319">
      <c r="A319" s="7">
        <v>57.0</v>
      </c>
      <c r="B319" s="4">
        <v>183.0</v>
      </c>
      <c r="C319" s="4">
        <v>67.0</v>
      </c>
      <c r="D319" s="4">
        <v>66.0</v>
      </c>
      <c r="E319" s="4">
        <v>54.0</v>
      </c>
    </row>
    <row r="320">
      <c r="A320" s="7">
        <v>58.0</v>
      </c>
      <c r="B320" s="4">
        <v>150.0</v>
      </c>
      <c r="C320" s="4">
        <v>75.0</v>
      </c>
      <c r="D320" s="4">
        <v>69.0</v>
      </c>
      <c r="E320" s="4">
        <v>59.0</v>
      </c>
    </row>
    <row r="321">
      <c r="A321" s="7">
        <v>59.0</v>
      </c>
      <c r="B321" s="4">
        <v>150.0</v>
      </c>
      <c r="C321" s="4">
        <v>79.0</v>
      </c>
      <c r="D321" s="4">
        <v>81.0</v>
      </c>
      <c r="E321" s="4">
        <v>63.0</v>
      </c>
    </row>
    <row r="322">
      <c r="A322" s="7">
        <v>60.0</v>
      </c>
      <c r="B322" s="4">
        <v>198.0</v>
      </c>
      <c r="C322" s="4">
        <v>139.0</v>
      </c>
      <c r="D322" s="4">
        <v>100.0</v>
      </c>
      <c r="E322" s="4">
        <v>84.0</v>
      </c>
    </row>
    <row r="323">
      <c r="A323" s="7">
        <v>61.0</v>
      </c>
      <c r="B323" s="4">
        <v>216.0</v>
      </c>
      <c r="C323" s="4">
        <v>115.0</v>
      </c>
      <c r="D323" s="4">
        <v>106.0</v>
      </c>
      <c r="E323" s="4">
        <v>83.0</v>
      </c>
    </row>
    <row r="324">
      <c r="A324" s="7">
        <v>62.0</v>
      </c>
      <c r="B324" s="4">
        <v>474.0</v>
      </c>
      <c r="C324" s="4">
        <v>129.0</v>
      </c>
      <c r="D324" s="4">
        <v>118.0</v>
      </c>
      <c r="E324" s="4">
        <v>98.0</v>
      </c>
    </row>
    <row r="325">
      <c r="A325" s="7">
        <v>63.0</v>
      </c>
      <c r="B325" s="4">
        <v>562.0</v>
      </c>
      <c r="C325" s="4">
        <v>167.0</v>
      </c>
      <c r="D325" s="4">
        <v>146.0</v>
      </c>
      <c r="E325" s="4">
        <v>114.0</v>
      </c>
    </row>
    <row r="326">
      <c r="A326" s="7">
        <v>64.0</v>
      </c>
      <c r="B326" s="4">
        <v>608.0</v>
      </c>
      <c r="C326" s="4">
        <v>334.0</v>
      </c>
      <c r="D326" s="4">
        <v>177.0</v>
      </c>
      <c r="E326" s="4">
        <v>142.0</v>
      </c>
    </row>
    <row r="327">
      <c r="A327" s="7">
        <v>65.0</v>
      </c>
      <c r="B327" s="4">
        <v>515.0</v>
      </c>
      <c r="C327" s="4">
        <v>301.0</v>
      </c>
      <c r="D327" s="4">
        <v>197.0</v>
      </c>
      <c r="E327" s="4">
        <v>148.0</v>
      </c>
    </row>
    <row r="328">
      <c r="A328" s="7">
        <v>66.0</v>
      </c>
      <c r="B328" s="4">
        <v>581.0</v>
      </c>
      <c r="C328" s="4">
        <v>297.0</v>
      </c>
      <c r="D328" s="4">
        <v>231.0</v>
      </c>
      <c r="E328" s="4">
        <v>178.0</v>
      </c>
    </row>
    <row r="329">
      <c r="A329" s="7">
        <v>67.0</v>
      </c>
      <c r="B329" s="4">
        <v>1072.0</v>
      </c>
      <c r="C329" s="4">
        <v>374.0</v>
      </c>
      <c r="D329" s="4">
        <v>271.0</v>
      </c>
      <c r="E329" s="4">
        <v>197.0</v>
      </c>
    </row>
    <row r="330">
      <c r="A330" s="7">
        <v>68.0</v>
      </c>
      <c r="B330" s="4">
        <v>1929.0</v>
      </c>
      <c r="C330" s="4">
        <v>925.0</v>
      </c>
      <c r="D330" s="4">
        <v>355.0</v>
      </c>
      <c r="E330" s="4">
        <v>275.0</v>
      </c>
    </row>
    <row r="331">
      <c r="A331" s="7">
        <v>69.0</v>
      </c>
      <c r="B331" s="4">
        <v>1226.0</v>
      </c>
      <c r="C331" s="4">
        <v>569.0</v>
      </c>
      <c r="D331" s="4">
        <v>393.0</v>
      </c>
      <c r="E331" s="4">
        <v>288.0</v>
      </c>
    </row>
    <row r="332">
      <c r="A332" s="7">
        <v>70.0</v>
      </c>
      <c r="B332" s="4">
        <v>1174.0</v>
      </c>
      <c r="C332" s="4">
        <v>605.0</v>
      </c>
      <c r="D332" s="4">
        <v>433.0</v>
      </c>
      <c r="E332" s="4">
        <v>329.0</v>
      </c>
    </row>
    <row r="333">
      <c r="A333" s="7">
        <v>71.0</v>
      </c>
      <c r="B333" s="4">
        <v>1650.0</v>
      </c>
      <c r="C333" s="4">
        <v>761.0</v>
      </c>
      <c r="D333" s="4">
        <v>541.0</v>
      </c>
      <c r="E333" s="4">
        <v>392.0</v>
      </c>
    </row>
    <row r="334">
      <c r="A334" s="7">
        <v>72.0</v>
      </c>
      <c r="B334" s="4">
        <v>3435.0</v>
      </c>
      <c r="C334" s="4">
        <v>2301.0</v>
      </c>
      <c r="D334" s="4">
        <v>729.0</v>
      </c>
      <c r="E334" s="4">
        <v>556.0</v>
      </c>
    </row>
    <row r="335">
      <c r="A335" s="7">
        <v>73.0</v>
      </c>
      <c r="B335" s="4">
        <v>5848.0</v>
      </c>
      <c r="C335" s="4">
        <v>1257.0</v>
      </c>
      <c r="D335" s="4">
        <v>756.0</v>
      </c>
      <c r="E335" s="4">
        <v>541.0</v>
      </c>
    </row>
    <row r="336">
      <c r="A336" s="7">
        <v>74.0</v>
      </c>
      <c r="B336" s="4">
        <v>3581.0</v>
      </c>
      <c r="C336" s="4">
        <v>1467.0</v>
      </c>
      <c r="D336" s="4">
        <v>889.0</v>
      </c>
      <c r="E336" s="4">
        <v>664.0</v>
      </c>
    </row>
    <row r="337">
      <c r="A337" s="7">
        <v>75.0</v>
      </c>
      <c r="B337" s="4">
        <v>3815.0</v>
      </c>
      <c r="C337" s="4">
        <v>2185.0</v>
      </c>
      <c r="D337" s="4">
        <v>1142.0</v>
      </c>
      <c r="E337" s="4">
        <v>847.0</v>
      </c>
    </row>
    <row r="338">
      <c r="A338" s="7">
        <v>76.0</v>
      </c>
      <c r="B338" s="4">
        <v>7742.0</v>
      </c>
      <c r="C338" s="4">
        <v>5626.0</v>
      </c>
      <c r="D338" s="4">
        <v>1457.0</v>
      </c>
      <c r="E338" s="4">
        <v>1128.0</v>
      </c>
    </row>
    <row r="339">
      <c r="A339" s="7">
        <v>77.0</v>
      </c>
      <c r="B339" s="4">
        <v>9816.0</v>
      </c>
      <c r="C339" s="4">
        <v>2781.0</v>
      </c>
      <c r="D339" s="4">
        <v>1539.0</v>
      </c>
      <c r="E339" s="4">
        <v>1090.0</v>
      </c>
    </row>
    <row r="340">
      <c r="A340" s="7">
        <v>78.0</v>
      </c>
      <c r="B340" s="4">
        <v>20358.0</v>
      </c>
      <c r="C340" s="4">
        <v>3496.0</v>
      </c>
      <c r="D340" s="4">
        <v>1865.0</v>
      </c>
      <c r="E340" s="4">
        <v>1395.0</v>
      </c>
    </row>
    <row r="341">
      <c r="A341" s="7">
        <v>79.0</v>
      </c>
      <c r="B341" s="4">
        <v>11037.0</v>
      </c>
      <c r="C341" s="4">
        <v>3776.0</v>
      </c>
      <c r="D341" s="4">
        <v>2189.0</v>
      </c>
      <c r="E341" s="4">
        <v>1586.0</v>
      </c>
    </row>
    <row r="342">
      <c r="A342" s="7">
        <v>80.0</v>
      </c>
      <c r="B342" s="4">
        <v>17873.0</v>
      </c>
      <c r="C342" s="4">
        <v>14088.0</v>
      </c>
      <c r="D342" s="4">
        <v>2910.0</v>
      </c>
      <c r="E342" s="4">
        <v>2234.0</v>
      </c>
    </row>
    <row r="343">
      <c r="A343" s="7">
        <v>81.0</v>
      </c>
      <c r="B343" s="4">
        <v>21233.0</v>
      </c>
      <c r="C343" s="4">
        <v>7772.0</v>
      </c>
      <c r="D343" s="4">
        <v>3205.0</v>
      </c>
      <c r="E343" s="4">
        <v>2336.0</v>
      </c>
    </row>
    <row r="344">
      <c r="A344" s="7">
        <v>82.0</v>
      </c>
      <c r="B344" s="4">
        <v>27146.0</v>
      </c>
      <c r="C344" s="4">
        <v>8229.0</v>
      </c>
      <c r="D344" s="4">
        <v>3619.0</v>
      </c>
      <c r="E344" s="4">
        <v>2679.0</v>
      </c>
    </row>
    <row r="345">
      <c r="A345" s="7">
        <v>83.0</v>
      </c>
      <c r="B345" s="4">
        <v>62617.0</v>
      </c>
      <c r="C345" s="4">
        <v>8790.0</v>
      </c>
      <c r="D345" s="4">
        <v>4443.0</v>
      </c>
      <c r="E345" s="4">
        <v>3181.0</v>
      </c>
    </row>
    <row r="346">
      <c r="A346" s="7">
        <v>84.0</v>
      </c>
      <c r="B346" s="4">
        <v>53282.0</v>
      </c>
      <c r="C346" s="4">
        <v>33007.0</v>
      </c>
      <c r="D346" s="4">
        <v>6070.0</v>
      </c>
      <c r="E346" s="4">
        <v>4672.0</v>
      </c>
    </row>
    <row r="347">
      <c r="A347" s="7">
        <v>85.0</v>
      </c>
      <c r="B347" s="4">
        <v>38483.0</v>
      </c>
      <c r="C347" s="4">
        <v>14388.0</v>
      </c>
      <c r="D347" s="4">
        <v>6410.0</v>
      </c>
      <c r="E347" s="4">
        <v>4633.0</v>
      </c>
    </row>
    <row r="348">
      <c r="A348" s="7">
        <v>86.0</v>
      </c>
      <c r="B348" s="4">
        <v>48892.0</v>
      </c>
      <c r="C348" s="4">
        <v>14551.0</v>
      </c>
      <c r="D348" s="4">
        <v>7319.0</v>
      </c>
      <c r="E348" s="4">
        <v>5440.0</v>
      </c>
    </row>
    <row r="349">
      <c r="A349" s="7">
        <v>87.0</v>
      </c>
      <c r="B349" s="4">
        <v>67015.0</v>
      </c>
      <c r="C349" s="4">
        <v>24112.0</v>
      </c>
      <c r="D349" s="4">
        <v>9198.0</v>
      </c>
      <c r="E349" s="4">
        <v>6785.0</v>
      </c>
    </row>
    <row r="350">
      <c r="A350" s="7">
        <v>88.0</v>
      </c>
      <c r="B350" s="4">
        <v>187902.0</v>
      </c>
      <c r="C350" s="4">
        <v>75020.0</v>
      </c>
      <c r="D350" s="4">
        <v>11799.0</v>
      </c>
      <c r="E350" s="4">
        <v>9108.0</v>
      </c>
    </row>
    <row r="351">
      <c r="A351" s="7">
        <v>89.0</v>
      </c>
      <c r="B351" s="4">
        <v>108242.0</v>
      </c>
      <c r="C351" s="4">
        <v>32817.0</v>
      </c>
      <c r="D351" s="4">
        <v>12609.0</v>
      </c>
      <c r="E351" s="4">
        <v>9007.0</v>
      </c>
    </row>
    <row r="352">
      <c r="A352" s="7">
        <v>90.0</v>
      </c>
      <c r="B352" s="4">
        <v>123609.0</v>
      </c>
      <c r="C352" s="4">
        <v>46310.0</v>
      </c>
      <c r="D352" s="4">
        <v>15225.0</v>
      </c>
      <c r="E352" s="4">
        <v>11592.0</v>
      </c>
    </row>
    <row r="353">
      <c r="A353" s="7">
        <v>91.0</v>
      </c>
      <c r="B353" s="4">
        <v>173874.0</v>
      </c>
      <c r="C353" s="4">
        <v>40589.0</v>
      </c>
      <c r="D353" s="4">
        <v>17325.0</v>
      </c>
      <c r="E353" s="4">
        <v>12593.0</v>
      </c>
    </row>
    <row r="354">
      <c r="A354" s="7">
        <v>92.0</v>
      </c>
      <c r="B354" s="4">
        <v>241443.0</v>
      </c>
      <c r="C354" s="4">
        <v>171238.0</v>
      </c>
      <c r="D354" s="4">
        <v>23874.0</v>
      </c>
      <c r="E354" s="4">
        <v>18535.0</v>
      </c>
    </row>
    <row r="355">
      <c r="A355" s="7">
        <v>93.0</v>
      </c>
      <c r="B355" s="4">
        <v>465043.0</v>
      </c>
      <c r="C355" s="4">
        <v>76566.0</v>
      </c>
      <c r="D355" s="4">
        <v>25359.0</v>
      </c>
      <c r="E355" s="4">
        <v>18674.0</v>
      </c>
    </row>
    <row r="356">
      <c r="A356" s="7">
        <v>94.0</v>
      </c>
      <c r="B356" s="4">
        <v>285774.0</v>
      </c>
      <c r="C356" s="4">
        <v>69589.0</v>
      </c>
      <c r="D356" s="4">
        <v>28193.0</v>
      </c>
      <c r="E356" s="4">
        <v>21009.0</v>
      </c>
    </row>
    <row r="357">
      <c r="A357" s="7">
        <v>95.0</v>
      </c>
      <c r="B357" s="4">
        <v>287299.0</v>
      </c>
      <c r="C357" s="4">
        <v>98326.0</v>
      </c>
      <c r="D357" s="4">
        <v>34771.0</v>
      </c>
      <c r="E357" s="4">
        <v>25625.0</v>
      </c>
      <c r="H357" s="7" t="s">
        <v>76</v>
      </c>
    </row>
    <row r="358">
      <c r="A358" s="7">
        <v>96.0</v>
      </c>
      <c r="B358" s="4">
        <v>504135.0</v>
      </c>
      <c r="C358" s="4">
        <v>334663.0</v>
      </c>
      <c r="D358" s="4">
        <v>45936.0</v>
      </c>
      <c r="E358" s="4">
        <v>35611.0</v>
      </c>
      <c r="H358" s="7" t="s">
        <v>77</v>
      </c>
    </row>
    <row r="359">
      <c r="A359" s="7">
        <v>97.0</v>
      </c>
      <c r="B359" s="4">
        <v>501276.0</v>
      </c>
      <c r="C359" s="4">
        <v>147990.0</v>
      </c>
      <c r="D359" s="4">
        <v>47797.0</v>
      </c>
      <c r="E359" s="4">
        <v>34771.0</v>
      </c>
      <c r="H359" s="7" t="s">
        <v>78</v>
      </c>
    </row>
    <row r="360">
      <c r="A360" s="7">
        <v>98.0</v>
      </c>
      <c r="B360" s="4">
        <v>1815485.0</v>
      </c>
      <c r="C360" s="4">
        <v>166223.0</v>
      </c>
      <c r="D360" s="4">
        <v>54773.0</v>
      </c>
      <c r="E360" s="4">
        <v>41141.0</v>
      </c>
      <c r="H360" s="7" t="s">
        <v>79</v>
      </c>
    </row>
    <row r="361">
      <c r="A361" s="7">
        <v>99.0</v>
      </c>
      <c r="B361" s="4">
        <v>1029670.0</v>
      </c>
      <c r="C361" s="4">
        <v>226089.0</v>
      </c>
      <c r="D361" s="4">
        <v>65679.0</v>
      </c>
      <c r="E361" s="4">
        <v>51059.0</v>
      </c>
    </row>
    <row r="362">
      <c r="A362" s="7">
        <v>100.0</v>
      </c>
      <c r="B362" s="4">
        <v>1676944.0</v>
      </c>
      <c r="C362" s="4">
        <v>780518.0</v>
      </c>
      <c r="D362" s="4">
        <v>88110.0</v>
      </c>
      <c r="E362" s="4">
        <v>70327.0</v>
      </c>
    </row>
    <row r="363" hidden="1">
      <c r="A363" s="7">
        <v>101.0</v>
      </c>
      <c r="B363" s="4"/>
      <c r="C363" s="4"/>
      <c r="D363" s="4"/>
      <c r="E363" s="4">
        <v>69458.0</v>
      </c>
    </row>
    <row r="364" hidden="1">
      <c r="A364" s="7">
        <v>102.0</v>
      </c>
      <c r="B364" s="4"/>
      <c r="C364" s="4"/>
      <c r="D364" s="4"/>
      <c r="E364" s="4">
        <v>82472.0</v>
      </c>
    </row>
    <row r="365" hidden="1">
      <c r="A365" s="7">
        <v>103.0</v>
      </c>
      <c r="B365" s="4"/>
      <c r="C365" s="4"/>
      <c r="D365" s="4"/>
      <c r="E365" s="4">
        <v>95633.0</v>
      </c>
    </row>
    <row r="366" hidden="1">
      <c r="A366" s="7">
        <v>104.0</v>
      </c>
      <c r="B366" s="4"/>
      <c r="C366" s="4"/>
      <c r="D366" s="4"/>
      <c r="E366" s="4">
        <v>138791.0</v>
      </c>
    </row>
    <row r="367" hidden="1">
      <c r="A367" s="7">
        <v>105.0</v>
      </c>
      <c r="B367" s="4"/>
      <c r="C367" s="4"/>
      <c r="D367" s="4"/>
      <c r="E367" s="4">
        <v>147338.0</v>
      </c>
    </row>
    <row r="368" hidden="1">
      <c r="A368" s="7">
        <v>106.0</v>
      </c>
      <c r="B368" s="4"/>
      <c r="C368" s="4"/>
      <c r="D368" s="4"/>
      <c r="E368" s="4">
        <v>163180.0</v>
      </c>
    </row>
    <row r="369" hidden="1">
      <c r="A369" s="7">
        <v>107.0</v>
      </c>
      <c r="B369" s="4"/>
      <c r="C369" s="4"/>
      <c r="D369" s="4"/>
      <c r="E369" s="4">
        <v>185814.0</v>
      </c>
    </row>
    <row r="370" hidden="1">
      <c r="A370" s="7">
        <v>108.0</v>
      </c>
      <c r="B370" s="4"/>
      <c r="C370" s="4"/>
      <c r="D370" s="4"/>
      <c r="E370" s="4">
        <v>265454.0</v>
      </c>
    </row>
    <row r="371" hidden="1">
      <c r="A371" s="7">
        <v>109.0</v>
      </c>
      <c r="B371" s="4"/>
      <c r="C371" s="4"/>
      <c r="D371" s="4"/>
      <c r="E371" s="4">
        <v>245808.0</v>
      </c>
    </row>
    <row r="372" hidden="1">
      <c r="A372" s="7">
        <v>110.0</v>
      </c>
      <c r="B372" s="4"/>
      <c r="C372" s="4"/>
      <c r="D372" s="4"/>
      <c r="E372" s="4">
        <v>289860.0</v>
      </c>
    </row>
    <row r="373" hidden="1">
      <c r="A373" s="7">
        <v>111.0</v>
      </c>
      <c r="B373" s="4"/>
      <c r="C373" s="4"/>
      <c r="D373" s="4"/>
      <c r="E373" s="4">
        <v>356492.0</v>
      </c>
    </row>
    <row r="374" hidden="1">
      <c r="A374" s="7">
        <v>112.0</v>
      </c>
      <c r="B374" s="4"/>
      <c r="C374" s="4"/>
      <c r="D374" s="4"/>
      <c r="E374" s="4">
        <v>479797.0</v>
      </c>
    </row>
    <row r="375" hidden="1">
      <c r="A375" s="7">
        <v>113.0</v>
      </c>
      <c r="B375" s="4"/>
      <c r="C375" s="4"/>
      <c r="D375" s="4"/>
      <c r="E375" s="4">
        <v>499790.0</v>
      </c>
    </row>
    <row r="376" hidden="1">
      <c r="A376" s="7">
        <v>114.0</v>
      </c>
      <c r="B376" s="4"/>
      <c r="C376" s="4"/>
      <c r="D376" s="4"/>
      <c r="E376" s="4">
        <v>565544.0</v>
      </c>
    </row>
    <row r="377" hidden="1">
      <c r="A377" s="7">
        <v>115.0</v>
      </c>
      <c r="B377" s="4"/>
      <c r="C377" s="4"/>
      <c r="D377" s="4"/>
      <c r="E377" s="4">
        <v>646510.0</v>
      </c>
    </row>
    <row r="378" hidden="1">
      <c r="A378" s="7">
        <v>116.0</v>
      </c>
      <c r="B378" s="4"/>
      <c r="C378" s="4"/>
      <c r="D378" s="4"/>
      <c r="E378" s="4">
        <v>961476.0</v>
      </c>
    </row>
    <row r="379" hidden="1">
      <c r="A379" s="7">
        <v>117.0</v>
      </c>
      <c r="B379" s="4"/>
      <c r="C379" s="4"/>
      <c r="D379" s="4"/>
      <c r="E379" s="4">
        <v>958976.0</v>
      </c>
    </row>
    <row r="380" hidden="1">
      <c r="A380" s="7">
        <v>118.0</v>
      </c>
      <c r="B380" s="4"/>
      <c r="C380" s="4"/>
      <c r="D380" s="4"/>
      <c r="E380" s="4">
        <v>1074252.0</v>
      </c>
    </row>
    <row r="381" hidden="1">
      <c r="A381" s="7">
        <v>119.0</v>
      </c>
      <c r="B381" s="4"/>
      <c r="C381" s="4"/>
      <c r="D381" s="4"/>
      <c r="E381" s="4">
        <v>1222910.0</v>
      </c>
    </row>
    <row r="382" hidden="1">
      <c r="A382" s="7">
        <v>120.0</v>
      </c>
      <c r="B382" s="4"/>
      <c r="C382" s="4"/>
      <c r="D382" s="4"/>
      <c r="E382" s="4">
        <v>1723644.0</v>
      </c>
    </row>
    <row r="383" hidden="1">
      <c r="A383" s="7">
        <v>121.0</v>
      </c>
      <c r="B383" s="4"/>
      <c r="C383" s="4"/>
      <c r="D383" s="4"/>
      <c r="E383" s="40">
        <v>1764963.0</v>
      </c>
    </row>
    <row r="384" hidden="1">
      <c r="A384" s="7">
        <v>122.0</v>
      </c>
      <c r="B384" s="4"/>
      <c r="C384" s="4"/>
      <c r="D384" s="4"/>
      <c r="E384" s="40">
        <v>1926736.0</v>
      </c>
    </row>
    <row r="385" hidden="1">
      <c r="A385" s="7">
        <v>123.0</v>
      </c>
      <c r="B385" s="4"/>
      <c r="C385" s="4"/>
      <c r="D385" s="4"/>
      <c r="E385" s="40">
        <v>2341045.0</v>
      </c>
    </row>
    <row r="386" hidden="1">
      <c r="A386" s="7">
        <v>124.0</v>
      </c>
      <c r="B386" s="4"/>
      <c r="C386" s="4"/>
      <c r="D386" s="4"/>
      <c r="E386" s="40">
        <v>3142356.0</v>
      </c>
    </row>
    <row r="387" hidden="1">
      <c r="A387" s="7">
        <v>125.0</v>
      </c>
      <c r="B387" s="4"/>
      <c r="C387" s="4"/>
      <c r="D387" s="4"/>
      <c r="E387" s="40">
        <v>3093924.0</v>
      </c>
    </row>
    <row r="388" hidden="1">
      <c r="A388" s="7">
        <v>126.0</v>
      </c>
      <c r="B388" s="4"/>
      <c r="C388" s="4"/>
      <c r="D388" s="4"/>
      <c r="E388" s="40">
        <v>3432245.0</v>
      </c>
    </row>
    <row r="389" hidden="1">
      <c r="A389" s="7">
        <v>127.0</v>
      </c>
      <c r="B389" s="4"/>
      <c r="C389" s="4"/>
      <c r="D389" s="4"/>
      <c r="E389" s="4"/>
    </row>
    <row r="390" hidden="1">
      <c r="A390" s="7">
        <v>128.0</v>
      </c>
      <c r="B390" s="4"/>
      <c r="C390" s="4"/>
      <c r="D390" s="40" t="s">
        <v>57</v>
      </c>
      <c r="E390" s="4"/>
    </row>
    <row r="391" hidden="1">
      <c r="A391" s="7">
        <v>129.0</v>
      </c>
      <c r="B391" s="4"/>
      <c r="C391" s="4"/>
      <c r="D391" s="4"/>
      <c r="E391" s="4"/>
    </row>
    <row r="392" hidden="1">
      <c r="A392" s="7">
        <v>130.0</v>
      </c>
      <c r="B392" s="4"/>
      <c r="C392" s="4"/>
      <c r="D392" s="4"/>
      <c r="E392" s="4"/>
    </row>
    <row r="393" hidden="1">
      <c r="A393" s="7">
        <v>131.0</v>
      </c>
      <c r="B393" s="4"/>
      <c r="C393" s="4"/>
      <c r="D393" s="4"/>
      <c r="E393" s="40">
        <v>7106507.0</v>
      </c>
    </row>
    <row r="394" hidden="1">
      <c r="A394" s="7">
        <v>132.0</v>
      </c>
      <c r="B394" s="4"/>
      <c r="C394" s="4"/>
      <c r="D394" s="4"/>
      <c r="E394" s="4"/>
    </row>
    <row r="395" hidden="1">
      <c r="A395" s="7">
        <v>133.0</v>
      </c>
      <c r="B395" s="4"/>
      <c r="C395" s="4"/>
      <c r="D395" s="4"/>
      <c r="E395" s="4"/>
    </row>
    <row r="396" hidden="1">
      <c r="A396" s="7">
        <v>134.0</v>
      </c>
      <c r="B396" s="4"/>
      <c r="C396" s="4"/>
      <c r="D396" s="4"/>
      <c r="E396" s="4"/>
    </row>
    <row r="397" hidden="1">
      <c r="A397" s="7">
        <v>135.0</v>
      </c>
      <c r="B397" s="4"/>
      <c r="C397" s="4"/>
      <c r="D397" s="4"/>
      <c r="E397" s="4"/>
    </row>
    <row r="398" hidden="1">
      <c r="A398" s="7">
        <v>136.0</v>
      </c>
      <c r="B398" s="4"/>
      <c r="C398" s="4"/>
      <c r="D398" s="4"/>
      <c r="E398" s="40">
        <v>1.9026544E7</v>
      </c>
    </row>
    <row r="399" hidden="1">
      <c r="A399" s="7">
        <v>137.0</v>
      </c>
      <c r="B399" s="4"/>
      <c r="C399" s="4"/>
      <c r="D399" s="4"/>
      <c r="E399" s="4"/>
    </row>
    <row r="400" hidden="1">
      <c r="A400" s="7">
        <v>138.0</v>
      </c>
      <c r="B400" s="4"/>
      <c r="C400" s="4"/>
      <c r="D400" s="4"/>
      <c r="E400" s="4"/>
    </row>
    <row r="401" hidden="1">
      <c r="A401" s="7">
        <v>139.0</v>
      </c>
      <c r="B401" s="4"/>
      <c r="C401" s="4"/>
      <c r="D401" s="4"/>
      <c r="E401" s="4"/>
    </row>
    <row r="402" hidden="1">
      <c r="A402" s="7">
        <v>140.0</v>
      </c>
      <c r="B402" s="4"/>
      <c r="C402" s="4"/>
      <c r="D402" s="4"/>
      <c r="E402" s="4"/>
    </row>
    <row r="403" hidden="1">
      <c r="A403" s="7">
        <v>141.0</v>
      </c>
      <c r="B403" s="4"/>
      <c r="C403" s="4"/>
      <c r="D403" s="4"/>
      <c r="E403" s="66">
        <v>3.3863247E7</v>
      </c>
    </row>
    <row r="404" hidden="1">
      <c r="A404" s="7">
        <v>142.0</v>
      </c>
      <c r="B404" s="4"/>
      <c r="C404" s="4"/>
      <c r="D404" s="4"/>
      <c r="E404" s="37"/>
    </row>
    <row r="405" hidden="1">
      <c r="A405" s="7">
        <v>143.0</v>
      </c>
      <c r="B405" s="4"/>
      <c r="C405" s="4"/>
      <c r="D405" s="4"/>
      <c r="E405" s="37"/>
    </row>
    <row r="406" hidden="1">
      <c r="A406" s="7">
        <v>144.0</v>
      </c>
      <c r="B406" s="4"/>
      <c r="C406" s="4"/>
      <c r="D406" s="4"/>
      <c r="E406" s="67">
        <v>6.2764873E7</v>
      </c>
    </row>
    <row r="407" hidden="1">
      <c r="A407" s="7">
        <v>145.0</v>
      </c>
      <c r="B407" s="4"/>
      <c r="C407" s="4"/>
      <c r="D407" s="4"/>
      <c r="E407" s="37"/>
    </row>
    <row r="408" hidden="1">
      <c r="A408" s="7">
        <v>146.0</v>
      </c>
      <c r="B408" s="4"/>
      <c r="C408" s="4"/>
      <c r="D408" s="4"/>
      <c r="E408" s="68">
        <v>6.6588282E7</v>
      </c>
    </row>
    <row r="409" hidden="1">
      <c r="A409" s="7">
        <v>147.0</v>
      </c>
      <c r="B409" s="4"/>
      <c r="C409" s="4"/>
      <c r="D409" s="4"/>
      <c r="E409" s="58">
        <v>7.9174905E7</v>
      </c>
    </row>
    <row r="410" hidden="1">
      <c r="A410" s="7">
        <v>148.0</v>
      </c>
      <c r="B410" s="4"/>
      <c r="C410" s="4"/>
      <c r="D410" s="4"/>
      <c r="E410" s="37"/>
    </row>
    <row r="411" hidden="1">
      <c r="A411" s="7">
        <v>149.0</v>
      </c>
      <c r="B411" s="4"/>
      <c r="C411" s="4"/>
      <c r="D411" s="4"/>
      <c r="E411" s="40">
        <v>1.04196352E8</v>
      </c>
    </row>
    <row r="412">
      <c r="C412" s="4">
        <f>sum(C295:C362)</f>
        <v>2419556</v>
      </c>
      <c r="E412" s="4">
        <f>sum(E295:E362)</f>
        <v>402061</v>
      </c>
    </row>
    <row r="413">
      <c r="C413" s="7">
        <v>1.0</v>
      </c>
      <c r="E413" s="25">
        <f>C412/E412</f>
        <v>6.017882859</v>
      </c>
    </row>
    <row r="414">
      <c r="E414" s="69"/>
      <c r="F414" s="63"/>
    </row>
    <row r="415">
      <c r="D415" s="7">
        <v>150.0</v>
      </c>
      <c r="E415" s="69">
        <v>2.24E-4</v>
      </c>
      <c r="F415" s="63">
        <f>E415*exp(0.217*D415)</f>
        <v>30657264744</v>
      </c>
      <c r="G415" s="39">
        <f t="shared" ref="G415:G416" si="4">F415*H415</f>
        <v>354.8294531</v>
      </c>
      <c r="H415" s="6">
        <v>1.1574074074074074E-8</v>
      </c>
      <c r="K415" s="39">
        <v>10.968883275462963</v>
      </c>
    </row>
    <row r="416">
      <c r="D416" s="7">
        <v>150.0</v>
      </c>
      <c r="E416" s="69">
        <v>0.00147</v>
      </c>
      <c r="F416" s="59">
        <v>1.30506096E8</v>
      </c>
      <c r="G416" s="39">
        <f t="shared" si="4"/>
        <v>1.510487222</v>
      </c>
      <c r="H416" s="6">
        <v>1.1574074074074074E-8</v>
      </c>
      <c r="K416" s="25">
        <f>G415/K415</f>
        <v>32.34873087</v>
      </c>
    </row>
    <row r="418">
      <c r="F418" s="25">
        <f>F415/F416</f>
        <v>234.9105956</v>
      </c>
      <c r="G418" s="25">
        <f>F418*259</f>
        <v>60841.84427</v>
      </c>
      <c r="H418" s="25">
        <f>G418/24</f>
        <v>2535.076844</v>
      </c>
      <c r="I418" s="7">
        <f>H418/365</f>
        <v>6.945416012</v>
      </c>
      <c r="J418" s="25">
        <f>G415/G416</f>
        <v>234.9105956</v>
      </c>
    </row>
    <row r="420">
      <c r="G420" s="2">
        <f>G415</f>
        <v>354.8294531</v>
      </c>
    </row>
    <row r="421">
      <c r="G421" s="25">
        <f>G420*24</f>
        <v>8515.906873</v>
      </c>
    </row>
    <row r="433">
      <c r="D433" s="7">
        <v>0.0</v>
      </c>
      <c r="E433" s="69">
        <v>2.02E-4</v>
      </c>
      <c r="F433" s="63">
        <f t="shared" ref="F433:F583" si="5">E433*exp(0.217*D433)</f>
        <v>0.000202</v>
      </c>
      <c r="G433" s="39">
        <f t="shared" ref="G433:G583" si="6">F433*H$433</f>
        <v>0</v>
      </c>
      <c r="H433" s="6">
        <v>1.1574074074074074E-8</v>
      </c>
    </row>
    <row r="434">
      <c r="D434" s="7">
        <v>1.0</v>
      </c>
      <c r="E434" s="69">
        <v>2.02E-4</v>
      </c>
      <c r="F434" s="63">
        <f t="shared" si="5"/>
        <v>0.0002509535086</v>
      </c>
      <c r="G434" s="39">
        <f t="shared" si="6"/>
        <v>0</v>
      </c>
      <c r="H434" s="6"/>
    </row>
    <row r="435">
      <c r="D435" s="7">
        <v>2.0</v>
      </c>
      <c r="E435" s="69">
        <v>2.02E-4</v>
      </c>
      <c r="F435" s="63">
        <f t="shared" si="5"/>
        <v>0.0003117706114</v>
      </c>
      <c r="G435" s="39">
        <f t="shared" si="6"/>
        <v>0</v>
      </c>
      <c r="H435" s="6"/>
    </row>
    <row r="436">
      <c r="D436" s="7">
        <v>3.0</v>
      </c>
      <c r="E436" s="69">
        <v>2.02E-4</v>
      </c>
      <c r="F436" s="63">
        <f t="shared" si="5"/>
        <v>0.0003873263802</v>
      </c>
      <c r="G436" s="39">
        <f t="shared" si="6"/>
        <v>0</v>
      </c>
    </row>
    <row r="437">
      <c r="D437" s="7">
        <v>4.0</v>
      </c>
      <c r="E437" s="69">
        <v>2.02E-4</v>
      </c>
      <c r="F437" s="63">
        <f t="shared" si="5"/>
        <v>0.0004811926441</v>
      </c>
      <c r="G437" s="39">
        <f t="shared" si="6"/>
        <v>0</v>
      </c>
    </row>
    <row r="438">
      <c r="D438" s="7">
        <v>5.0</v>
      </c>
      <c r="E438" s="69">
        <v>2.02E-4</v>
      </c>
      <c r="F438" s="63">
        <f t="shared" si="5"/>
        <v>0.0005978068434</v>
      </c>
      <c r="G438" s="39">
        <f t="shared" si="6"/>
        <v>0</v>
      </c>
    </row>
    <row r="439">
      <c r="D439" s="7">
        <v>6.0</v>
      </c>
      <c r="E439" s="69">
        <v>2.02E-4</v>
      </c>
      <c r="F439" s="63">
        <f t="shared" si="5"/>
        <v>0.0007426818061</v>
      </c>
      <c r="G439" s="39">
        <f t="shared" si="6"/>
        <v>0</v>
      </c>
    </row>
    <row r="440">
      <c r="D440" s="7">
        <v>7.0</v>
      </c>
      <c r="E440" s="69">
        <v>2.02E-4</v>
      </c>
      <c r="F440" s="63">
        <f t="shared" si="5"/>
        <v>0.0009226663616</v>
      </c>
      <c r="G440" s="39">
        <f t="shared" si="6"/>
        <v>0</v>
      </c>
    </row>
    <row r="441">
      <c r="D441" s="7">
        <v>8.0</v>
      </c>
      <c r="E441" s="69">
        <v>2.02E-4</v>
      </c>
      <c r="F441" s="63">
        <f t="shared" si="5"/>
        <v>0.001146269113</v>
      </c>
      <c r="G441" s="39">
        <f t="shared" si="6"/>
        <v>0</v>
      </c>
    </row>
    <row r="442">
      <c r="D442" s="7">
        <v>9.0</v>
      </c>
      <c r="E442" s="69">
        <v>2.02E-4</v>
      </c>
      <c r="F442" s="63">
        <f t="shared" si="5"/>
        <v>0.001424060671</v>
      </c>
      <c r="G442" s="39">
        <f t="shared" si="6"/>
        <v>0</v>
      </c>
    </row>
    <row r="443">
      <c r="D443" s="7">
        <v>10.0</v>
      </c>
      <c r="E443" s="69">
        <v>2.02E-4</v>
      </c>
      <c r="F443" s="63">
        <f t="shared" si="5"/>
        <v>0.001769173376</v>
      </c>
      <c r="G443" s="39">
        <f t="shared" si="6"/>
        <v>0</v>
      </c>
    </row>
    <row r="444">
      <c r="D444" s="7">
        <v>11.0</v>
      </c>
      <c r="E444" s="69">
        <v>2.02E-4</v>
      </c>
      <c r="F444" s="63">
        <f t="shared" si="5"/>
        <v>0.00219792211</v>
      </c>
      <c r="G444" s="39">
        <f t="shared" si="6"/>
        <v>0</v>
      </c>
    </row>
    <row r="445">
      <c r="D445" s="7">
        <v>12.0</v>
      </c>
      <c r="E445" s="69">
        <v>2.02E-4</v>
      </c>
      <c r="F445" s="63">
        <f t="shared" si="5"/>
        <v>0.00273057557</v>
      </c>
      <c r="G445" s="39">
        <f t="shared" si="6"/>
        <v>0</v>
      </c>
    </row>
    <row r="446">
      <c r="D446" s="7">
        <v>13.0</v>
      </c>
      <c r="E446" s="69">
        <v>2.02E-4</v>
      </c>
      <c r="F446" s="63">
        <f t="shared" si="5"/>
        <v>0.003392314455</v>
      </c>
      <c r="G446" s="39">
        <f t="shared" si="6"/>
        <v>0</v>
      </c>
    </row>
    <row r="447">
      <c r="D447" s="7">
        <v>14.0</v>
      </c>
      <c r="E447" s="69">
        <v>2.02E-4</v>
      </c>
      <c r="F447" s="63">
        <f t="shared" si="5"/>
        <v>0.004214421855</v>
      </c>
      <c r="G447" s="39">
        <f t="shared" si="6"/>
        <v>0</v>
      </c>
    </row>
    <row r="448">
      <c r="D448" s="7">
        <v>15.0</v>
      </c>
      <c r="E448" s="69">
        <v>2.02E-4</v>
      </c>
      <c r="F448" s="63">
        <f t="shared" si="5"/>
        <v>0.005235762136</v>
      </c>
      <c r="G448" s="39">
        <f t="shared" si="6"/>
        <v>0</v>
      </c>
    </row>
    <row r="449">
      <c r="D449" s="7">
        <v>16.0</v>
      </c>
      <c r="E449" s="69">
        <v>2.02E-4</v>
      </c>
      <c r="F449" s="63">
        <f t="shared" si="5"/>
        <v>0.00650461821</v>
      </c>
      <c r="G449" s="39">
        <f t="shared" si="6"/>
        <v>0</v>
      </c>
    </row>
    <row r="450">
      <c r="D450" s="7">
        <v>17.0</v>
      </c>
      <c r="E450" s="69">
        <v>2.02E-4</v>
      </c>
      <c r="F450" s="63">
        <f t="shared" si="5"/>
        <v>0.008080974069</v>
      </c>
      <c r="G450" s="39">
        <f t="shared" si="6"/>
        <v>0</v>
      </c>
    </row>
    <row r="451">
      <c r="D451" s="7">
        <v>18.0</v>
      </c>
      <c r="E451" s="69">
        <v>2.02E-4</v>
      </c>
      <c r="F451" s="63">
        <f t="shared" si="5"/>
        <v>0.01003935047</v>
      </c>
      <c r="G451" s="39">
        <f t="shared" si="6"/>
        <v>0.0000000001161961861</v>
      </c>
    </row>
    <row r="452">
      <c r="D452" s="7">
        <v>19.0</v>
      </c>
      <c r="E452" s="69">
        <v>2.02E-4</v>
      </c>
      <c r="F452" s="63">
        <f t="shared" si="5"/>
        <v>0.01247232785</v>
      </c>
      <c r="G452" s="39">
        <f t="shared" si="6"/>
        <v>0.0000000001443556464</v>
      </c>
    </row>
    <row r="453">
      <c r="D453" s="7">
        <v>20.0</v>
      </c>
      <c r="E453" s="69">
        <v>2.02E-4</v>
      </c>
      <c r="F453" s="63">
        <f t="shared" si="5"/>
        <v>0.01549492295</v>
      </c>
      <c r="G453" s="39">
        <f t="shared" si="6"/>
        <v>0.000000000179339386</v>
      </c>
    </row>
    <row r="454">
      <c r="D454" s="7">
        <v>21.0</v>
      </c>
      <c r="E454" s="69">
        <v>2.02E-4</v>
      </c>
      <c r="F454" s="63">
        <f t="shared" si="5"/>
        <v>0.01925002614</v>
      </c>
      <c r="G454" s="39">
        <f t="shared" si="6"/>
        <v>0.0000000002228012284</v>
      </c>
    </row>
    <row r="455">
      <c r="D455" s="7">
        <v>22.0</v>
      </c>
      <c r="E455" s="69">
        <v>2.02E-4</v>
      </c>
      <c r="F455" s="63">
        <f t="shared" si="5"/>
        <v>0.02391515644</v>
      </c>
      <c r="G455" s="39">
        <f t="shared" si="6"/>
        <v>0.0000000002767957921</v>
      </c>
    </row>
    <row r="456">
      <c r="D456" s="7">
        <v>23.0</v>
      </c>
      <c r="E456" s="69">
        <v>2.02E-4</v>
      </c>
      <c r="F456" s="63">
        <f t="shared" si="5"/>
        <v>0.02971085355</v>
      </c>
      <c r="G456" s="39">
        <f t="shared" si="6"/>
        <v>0.0000000003438756198</v>
      </c>
    </row>
    <row r="457">
      <c r="D457" s="7">
        <v>24.0</v>
      </c>
      <c r="E457" s="69">
        <v>2.02E-4</v>
      </c>
      <c r="F457" s="63">
        <f t="shared" si="5"/>
        <v>0.03691110368</v>
      </c>
      <c r="G457" s="39">
        <f t="shared" si="6"/>
        <v>0.0000000004272118481</v>
      </c>
    </row>
    <row r="458">
      <c r="D458" s="7">
        <v>25.0</v>
      </c>
      <c r="E458" s="69">
        <v>2.02E-4</v>
      </c>
      <c r="F458" s="63">
        <f t="shared" si="5"/>
        <v>0.04585629196</v>
      </c>
      <c r="G458" s="39">
        <f t="shared" si="6"/>
        <v>0.0000000005307441199</v>
      </c>
    </row>
    <row r="459">
      <c r="D459" s="7">
        <v>26.0</v>
      </c>
      <c r="E459" s="69">
        <v>2.02E-4</v>
      </c>
      <c r="F459" s="63">
        <f t="shared" si="5"/>
        <v>0.05696929386</v>
      </c>
      <c r="G459" s="39">
        <f t="shared" si="6"/>
        <v>0.000000000659366827</v>
      </c>
    </row>
    <row r="460">
      <c r="D460" s="7">
        <v>27.0</v>
      </c>
      <c r="E460" s="69">
        <v>2.02E-4</v>
      </c>
      <c r="F460" s="63">
        <f t="shared" si="5"/>
        <v>0.07077546623</v>
      </c>
      <c r="G460" s="39">
        <f t="shared" si="6"/>
        <v>0.0000000008191604887</v>
      </c>
    </row>
    <row r="461">
      <c r="D461" s="7">
        <v>28.0</v>
      </c>
      <c r="E461" s="69">
        <v>2.02E-4</v>
      </c>
      <c r="F461" s="63">
        <f t="shared" si="5"/>
        <v>0.08792748304</v>
      </c>
      <c r="G461" s="39">
        <f t="shared" si="6"/>
        <v>0.000000001017679202</v>
      </c>
    </row>
    <row r="462">
      <c r="D462" s="7">
        <v>29.0</v>
      </c>
      <c r="E462" s="69">
        <v>2.02E-4</v>
      </c>
      <c r="F462" s="63">
        <f t="shared" si="5"/>
        <v>0.10923619</v>
      </c>
      <c r="G462" s="39">
        <f t="shared" si="6"/>
        <v>0.000000001264307754</v>
      </c>
    </row>
    <row r="463">
      <c r="D463" s="7">
        <v>30.0</v>
      </c>
      <c r="E463" s="69">
        <v>2.02E-4</v>
      </c>
      <c r="F463" s="63">
        <f t="shared" si="5"/>
        <v>0.1357089364</v>
      </c>
      <c r="G463" s="39">
        <f t="shared" si="6"/>
        <v>0.000000001570705282</v>
      </c>
    </row>
    <row r="464">
      <c r="D464" s="7">
        <v>31.0</v>
      </c>
      <c r="E464" s="69">
        <v>2.02E-4</v>
      </c>
      <c r="F464" s="63">
        <f t="shared" si="5"/>
        <v>0.1685971967</v>
      </c>
      <c r="G464" s="39">
        <f t="shared" si="6"/>
        <v>0.000000001951356443</v>
      </c>
    </row>
    <row r="465">
      <c r="D465" s="7">
        <v>32.0</v>
      </c>
      <c r="E465" s="69">
        <v>2.02E-4</v>
      </c>
      <c r="F465" s="63">
        <f t="shared" si="5"/>
        <v>0.2094557329</v>
      </c>
      <c r="G465" s="39">
        <f t="shared" si="6"/>
        <v>0.000000002424256168</v>
      </c>
    </row>
    <row r="466">
      <c r="D466" s="7">
        <v>33.0</v>
      </c>
      <c r="E466" s="69">
        <v>2.02E-4</v>
      </c>
      <c r="F466" s="63">
        <f t="shared" si="5"/>
        <v>0.2602160945</v>
      </c>
      <c r="G466" s="39">
        <f t="shared" si="6"/>
        <v>0.000000003011760353</v>
      </c>
    </row>
    <row r="467">
      <c r="D467" s="7">
        <v>34.0</v>
      </c>
      <c r="E467" s="69">
        <v>2.02E-4</v>
      </c>
      <c r="F467" s="63">
        <f t="shared" si="5"/>
        <v>0.3232779303</v>
      </c>
      <c r="G467" s="39">
        <f t="shared" si="6"/>
        <v>0.000000003741642711</v>
      </c>
    </row>
    <row r="468">
      <c r="D468" s="7">
        <v>35.0</v>
      </c>
      <c r="E468" s="69">
        <v>2.02E-4</v>
      </c>
      <c r="F468" s="63">
        <f t="shared" si="5"/>
        <v>0.40162243</v>
      </c>
      <c r="G468" s="39">
        <f t="shared" si="6"/>
        <v>0.000000004648407755</v>
      </c>
    </row>
    <row r="469">
      <c r="D469" s="7">
        <v>36.0</v>
      </c>
      <c r="E469" s="69">
        <v>2.02E-4</v>
      </c>
      <c r="F469" s="63">
        <f t="shared" si="5"/>
        <v>0.4989532572</v>
      </c>
      <c r="G469" s="39">
        <f t="shared" si="6"/>
        <v>0.000000005774921958</v>
      </c>
    </row>
    <row r="470">
      <c r="D470" s="7">
        <v>37.0</v>
      </c>
      <c r="E470" s="69">
        <v>2.02E-4</v>
      </c>
      <c r="F470" s="63">
        <f t="shared" si="5"/>
        <v>0.6198716363</v>
      </c>
      <c r="G470" s="39">
        <f t="shared" si="6"/>
        <v>0.000000007174440235</v>
      </c>
    </row>
    <row r="471">
      <c r="D471" s="7">
        <v>38.0</v>
      </c>
      <c r="E471" s="69">
        <v>2.02E-4</v>
      </c>
      <c r="F471" s="63">
        <f t="shared" si="5"/>
        <v>0.7700938715</v>
      </c>
      <c r="G471" s="39">
        <f t="shared" si="6"/>
        <v>0.000000008913123512</v>
      </c>
    </row>
    <row r="472">
      <c r="D472" s="7">
        <v>39.0</v>
      </c>
      <c r="E472" s="69">
        <v>2.02E-4</v>
      </c>
      <c r="F472" s="63">
        <f t="shared" si="5"/>
        <v>0.9567215793</v>
      </c>
      <c r="G472" s="39">
        <f t="shared" si="6"/>
        <v>0.00000001107316643</v>
      </c>
    </row>
    <row r="473">
      <c r="D473" s="7">
        <v>40.0</v>
      </c>
      <c r="E473" s="69">
        <v>2.02E-4</v>
      </c>
      <c r="F473" s="63">
        <f t="shared" si="5"/>
        <v>1.188577411</v>
      </c>
      <c r="G473" s="39">
        <f t="shared" si="6"/>
        <v>0.000000013756683</v>
      </c>
    </row>
    <row r="474">
      <c r="D474" s="7">
        <v>41.0</v>
      </c>
      <c r="E474" s="69">
        <v>2.02E-4</v>
      </c>
      <c r="F474" s="63">
        <f t="shared" si="5"/>
        <v>1.476622137</v>
      </c>
      <c r="G474" s="39">
        <f t="shared" si="6"/>
        <v>0.00000001709053399</v>
      </c>
    </row>
    <row r="475">
      <c r="D475" s="7">
        <v>42.0</v>
      </c>
      <c r="E475" s="69">
        <v>2.02E-4</v>
      </c>
      <c r="F475" s="63">
        <f t="shared" si="5"/>
        <v>1.834472803</v>
      </c>
      <c r="G475" s="39">
        <f t="shared" si="6"/>
        <v>0.00000002123232411</v>
      </c>
    </row>
    <row r="476">
      <c r="D476" s="7">
        <v>43.0</v>
      </c>
      <c r="E476" s="69">
        <v>2.02E-4</v>
      </c>
      <c r="F476" s="63">
        <f t="shared" si="5"/>
        <v>2.279046467</v>
      </c>
      <c r="G476" s="39">
        <f t="shared" si="6"/>
        <v>0.00000002637785263</v>
      </c>
    </row>
    <row r="477">
      <c r="D477" s="7">
        <v>44.0</v>
      </c>
      <c r="E477" s="69">
        <v>2.02E-4</v>
      </c>
      <c r="F477" s="63">
        <f t="shared" si="5"/>
        <v>2.831359937</v>
      </c>
      <c r="G477" s="39">
        <f t="shared" si="6"/>
        <v>0.00000003277036964</v>
      </c>
    </row>
    <row r="478">
      <c r="D478" s="7">
        <v>45.0</v>
      </c>
      <c r="E478" s="69">
        <v>2.02E-4</v>
      </c>
      <c r="F478" s="63">
        <f t="shared" si="5"/>
        <v>3.517523319</v>
      </c>
      <c r="G478" s="39">
        <f t="shared" si="6"/>
        <v>0.00000004071207545</v>
      </c>
    </row>
    <row r="479">
      <c r="D479" s="7">
        <v>46.0</v>
      </c>
      <c r="E479" s="69">
        <v>2.02E-4</v>
      </c>
      <c r="F479" s="63">
        <f t="shared" si="5"/>
        <v>4.36997435</v>
      </c>
      <c r="G479" s="39">
        <f t="shared" si="6"/>
        <v>0.00000005057840682</v>
      </c>
    </row>
    <row r="480">
      <c r="D480" s="7">
        <v>47.0</v>
      </c>
      <c r="E480" s="69">
        <v>2.02E-4</v>
      </c>
      <c r="F480" s="63">
        <f t="shared" si="5"/>
        <v>5.42901186</v>
      </c>
      <c r="G480" s="39">
        <f t="shared" si="6"/>
        <v>0.00000006283578541</v>
      </c>
    </row>
    <row r="481">
      <c r="D481" s="7">
        <v>48.0</v>
      </c>
      <c r="E481" s="69">
        <v>2.02E-4</v>
      </c>
      <c r="F481" s="63">
        <f t="shared" si="5"/>
        <v>6.744700864</v>
      </c>
      <c r="G481" s="39">
        <f t="shared" si="6"/>
        <v>0.00000007806366741</v>
      </c>
    </row>
    <row r="482">
      <c r="D482" s="7">
        <v>49.0</v>
      </c>
      <c r="E482" s="69">
        <v>2.02E-4</v>
      </c>
      <c r="F482" s="63">
        <f t="shared" si="5"/>
        <v>8.37923934</v>
      </c>
      <c r="G482" s="39">
        <f t="shared" si="6"/>
        <v>0.0000000969819368</v>
      </c>
    </row>
    <row r="483">
      <c r="D483" s="7">
        <v>50.0</v>
      </c>
      <c r="E483" s="69">
        <v>2.02E-4</v>
      </c>
      <c r="F483" s="63">
        <f t="shared" si="5"/>
        <v>10.40989857</v>
      </c>
      <c r="G483" s="39">
        <f t="shared" si="6"/>
        <v>0.0000001204849372</v>
      </c>
    </row>
    <row r="484">
      <c r="D484" s="7">
        <v>51.0</v>
      </c>
      <c r="E484" s="69">
        <v>2.02E-4</v>
      </c>
      <c r="F484" s="63">
        <f t="shared" si="5"/>
        <v>12.9326761</v>
      </c>
      <c r="G484" s="39">
        <f t="shared" si="6"/>
        <v>0.0000001496837511</v>
      </c>
    </row>
    <row r="485">
      <c r="D485" s="7">
        <v>52.0</v>
      </c>
      <c r="E485" s="69">
        <v>2.02E-4</v>
      </c>
      <c r="F485" s="63">
        <f t="shared" si="5"/>
        <v>16.06683387</v>
      </c>
      <c r="G485" s="39">
        <f t="shared" si="6"/>
        <v>0.0000001859587254</v>
      </c>
    </row>
    <row r="486">
      <c r="D486" s="7">
        <v>53.0</v>
      </c>
      <c r="E486" s="69">
        <v>2.02E-4</v>
      </c>
      <c r="F486" s="63">
        <f t="shared" si="5"/>
        <v>19.9605363</v>
      </c>
      <c r="G486" s="39">
        <f t="shared" si="6"/>
        <v>0.0000002310247257</v>
      </c>
    </row>
    <row r="487">
      <c r="D487" s="7">
        <v>54.0</v>
      </c>
      <c r="E487" s="69">
        <v>2.02E-4</v>
      </c>
      <c r="F487" s="63">
        <f t="shared" si="5"/>
        <v>24.79785455</v>
      </c>
      <c r="G487" s="39">
        <f t="shared" si="6"/>
        <v>0.0000002870122055</v>
      </c>
    </row>
    <row r="488">
      <c r="D488" s="7">
        <v>55.0</v>
      </c>
      <c r="E488" s="69">
        <v>2.02E-4</v>
      </c>
      <c r="F488" s="63">
        <f t="shared" si="5"/>
        <v>30.80746835</v>
      </c>
      <c r="G488" s="39">
        <f t="shared" si="6"/>
        <v>0.0000003565679207</v>
      </c>
    </row>
    <row r="489">
      <c r="D489" s="7">
        <v>56.0</v>
      </c>
      <c r="E489" s="69">
        <v>2.02E-4</v>
      </c>
      <c r="F489" s="63">
        <f t="shared" si="5"/>
        <v>38.2734766</v>
      </c>
      <c r="G489" s="39">
        <f t="shared" si="6"/>
        <v>0.0000004429800533</v>
      </c>
    </row>
    <row r="490">
      <c r="D490" s="7">
        <v>57.0</v>
      </c>
      <c r="E490" s="69">
        <v>2.02E-4</v>
      </c>
      <c r="F490" s="63">
        <f t="shared" si="5"/>
        <v>47.54882793</v>
      </c>
      <c r="G490" s="39">
        <f t="shared" si="6"/>
        <v>0.0000005503336566</v>
      </c>
    </row>
    <row r="491">
      <c r="D491" s="7">
        <v>58.0</v>
      </c>
      <c r="E491" s="69">
        <v>2.02E-4</v>
      </c>
      <c r="F491" s="63">
        <f t="shared" si="5"/>
        <v>59.07200594</v>
      </c>
      <c r="G491" s="39">
        <f t="shared" si="6"/>
        <v>0.0000006837037725</v>
      </c>
    </row>
    <row r="492">
      <c r="D492" s="7">
        <v>59.0</v>
      </c>
      <c r="E492" s="69">
        <v>2.02E-4</v>
      </c>
      <c r="F492" s="63">
        <f t="shared" si="5"/>
        <v>73.38775818</v>
      </c>
      <c r="G492" s="39">
        <f t="shared" si="6"/>
        <v>0.0000008493953493</v>
      </c>
    </row>
    <row r="493">
      <c r="D493" s="7">
        <v>60.0</v>
      </c>
      <c r="E493" s="69">
        <v>2.02E-4</v>
      </c>
      <c r="F493" s="63">
        <f t="shared" si="5"/>
        <v>91.17284855</v>
      </c>
      <c r="G493" s="39">
        <f t="shared" si="6"/>
        <v>0.000001055241303</v>
      </c>
    </row>
    <row r="494">
      <c r="D494" s="7">
        <v>61.0</v>
      </c>
      <c r="E494" s="69">
        <v>2.02E-4</v>
      </c>
      <c r="F494" s="63">
        <f t="shared" si="5"/>
        <v>113.2680507</v>
      </c>
      <c r="G494" s="39">
        <f t="shared" si="6"/>
        <v>0.000001310972809</v>
      </c>
    </row>
    <row r="495">
      <c r="D495" s="7">
        <v>62.0</v>
      </c>
      <c r="E495" s="69">
        <v>2.02E-4</v>
      </c>
      <c r="F495" s="63">
        <f t="shared" si="5"/>
        <v>140.7178947</v>
      </c>
      <c r="G495" s="39">
        <f t="shared" si="6"/>
        <v>0.000001628679337</v>
      </c>
    </row>
    <row r="496">
      <c r="D496" s="7">
        <v>63.0</v>
      </c>
      <c r="E496" s="69">
        <v>2.02E-4</v>
      </c>
      <c r="F496" s="63">
        <f t="shared" si="5"/>
        <v>174.8200466</v>
      </c>
      <c r="G496" s="39">
        <f t="shared" si="6"/>
        <v>0.000002023380168</v>
      </c>
    </row>
    <row r="497">
      <c r="D497" s="7">
        <v>64.0</v>
      </c>
      <c r="E497" s="69">
        <v>2.02E-4</v>
      </c>
      <c r="F497" s="63">
        <f t="shared" si="5"/>
        <v>217.1866538</v>
      </c>
      <c r="G497" s="39">
        <f t="shared" si="6"/>
        <v>0.000002513734419</v>
      </c>
    </row>
    <row r="498">
      <c r="D498" s="7">
        <v>65.0</v>
      </c>
      <c r="E498" s="69">
        <v>2.02E-4</v>
      </c>
      <c r="F498" s="63">
        <f t="shared" si="5"/>
        <v>269.8205584</v>
      </c>
      <c r="G498" s="39">
        <f t="shared" si="6"/>
        <v>0.000003122923129</v>
      </c>
    </row>
    <row r="499">
      <c r="D499" s="7">
        <v>66.0</v>
      </c>
      <c r="E499" s="69">
        <v>2.01999999999999E-4</v>
      </c>
      <c r="F499" s="63">
        <f t="shared" si="5"/>
        <v>335.2099793</v>
      </c>
      <c r="G499" s="39">
        <f t="shared" si="6"/>
        <v>0.000003879745131</v>
      </c>
    </row>
    <row r="500">
      <c r="D500" s="7">
        <v>67.0</v>
      </c>
      <c r="E500" s="69">
        <v>2.01999999999999E-4</v>
      </c>
      <c r="F500" s="63">
        <f t="shared" si="5"/>
        <v>416.4461408</v>
      </c>
      <c r="G500" s="39">
        <f t="shared" si="6"/>
        <v>0.000004819978481</v>
      </c>
    </row>
    <row r="501">
      <c r="D501" s="7">
        <v>68.0</v>
      </c>
      <c r="E501" s="69">
        <v>2.01999999999999E-4</v>
      </c>
      <c r="F501" s="63">
        <f t="shared" si="5"/>
        <v>517.3694069</v>
      </c>
      <c r="G501" s="39">
        <f t="shared" si="6"/>
        <v>0.000005988071839</v>
      </c>
    </row>
    <row r="502">
      <c r="D502" s="7">
        <v>69.0</v>
      </c>
      <c r="E502" s="69">
        <v>2.01999999999999E-4</v>
      </c>
      <c r="F502" s="63">
        <f t="shared" si="5"/>
        <v>642.7508313</v>
      </c>
      <c r="G502" s="39">
        <f t="shared" si="6"/>
        <v>0.000007439245732</v>
      </c>
    </row>
    <row r="503">
      <c r="D503" s="7">
        <v>70.0</v>
      </c>
      <c r="E503" s="69">
        <v>2.01999999999999E-4</v>
      </c>
      <c r="F503" s="63">
        <f t="shared" si="5"/>
        <v>798.5177044</v>
      </c>
      <c r="G503" s="39">
        <f t="shared" si="6"/>
        <v>0.00000924210306</v>
      </c>
    </row>
    <row r="504">
      <c r="D504" s="7">
        <v>71.0</v>
      </c>
      <c r="E504" s="69">
        <v>2.01999999999999E-4</v>
      </c>
      <c r="F504" s="63">
        <f t="shared" si="5"/>
        <v>992.0337605</v>
      </c>
      <c r="G504" s="39">
        <f t="shared" si="6"/>
        <v>0.00001148187223</v>
      </c>
    </row>
    <row r="505">
      <c r="D505" s="7">
        <v>72.0</v>
      </c>
      <c r="E505" s="69">
        <v>2.01999999999999E-4</v>
      </c>
      <c r="F505" s="63">
        <f t="shared" si="5"/>
        <v>1232.447291</v>
      </c>
      <c r="G505" s="39">
        <f t="shared" si="6"/>
        <v>0.00001426443624</v>
      </c>
    </row>
    <row r="506">
      <c r="D506" s="7">
        <v>73.0</v>
      </c>
      <c r="E506" s="69">
        <v>2.01999999999999E-4</v>
      </c>
      <c r="F506" s="63">
        <f t="shared" si="5"/>
        <v>1531.123624</v>
      </c>
      <c r="G506" s="39">
        <f t="shared" si="6"/>
        <v>0.00001772133824</v>
      </c>
    </row>
    <row r="507">
      <c r="D507" s="7">
        <v>74.0</v>
      </c>
      <c r="E507" s="69">
        <v>2.01999999999999E-4</v>
      </c>
      <c r="F507" s="63">
        <f t="shared" si="5"/>
        <v>1902.182404</v>
      </c>
      <c r="G507" s="39">
        <f t="shared" si="6"/>
        <v>0.00002201600004</v>
      </c>
    </row>
    <row r="508">
      <c r="D508" s="7">
        <v>75.0</v>
      </c>
      <c r="E508" s="69">
        <v>2.01999999999999E-4</v>
      </c>
      <c r="F508" s="63">
        <f t="shared" si="5"/>
        <v>2363.16509</v>
      </c>
      <c r="G508" s="39">
        <f t="shared" si="6"/>
        <v>0.0000273514478</v>
      </c>
    </row>
    <row r="509">
      <c r="D509" s="7">
        <v>76.0</v>
      </c>
      <c r="E509" s="69">
        <v>2.01999999999999E-4</v>
      </c>
      <c r="F509" s="63">
        <f t="shared" si="5"/>
        <v>2935.864212</v>
      </c>
      <c r="G509" s="39">
        <f t="shared" si="6"/>
        <v>0.00003397990986</v>
      </c>
    </row>
    <row r="510">
      <c r="D510" s="7">
        <v>77.0</v>
      </c>
      <c r="E510" s="69">
        <v>2.01999999999999E-4</v>
      </c>
      <c r="F510" s="63">
        <f t="shared" si="5"/>
        <v>3647.353589</v>
      </c>
      <c r="G510" s="39">
        <f t="shared" si="6"/>
        <v>0.00004221474061</v>
      </c>
    </row>
    <row r="511">
      <c r="D511" s="7">
        <v>78.0</v>
      </c>
      <c r="E511" s="69">
        <v>2.01999999999999E-4</v>
      </c>
      <c r="F511" s="63">
        <f t="shared" si="5"/>
        <v>4531.268219</v>
      </c>
      <c r="G511" s="39">
        <f t="shared" si="6"/>
        <v>0.00005244523402</v>
      </c>
    </row>
    <row r="512">
      <c r="D512" s="7">
        <v>79.0</v>
      </c>
      <c r="E512" s="69">
        <v>2.01999999999999E-4</v>
      </c>
      <c r="F512" s="63">
        <f t="shared" si="5"/>
        <v>5629.394348</v>
      </c>
      <c r="G512" s="39">
        <f t="shared" si="6"/>
        <v>0.00006515502717</v>
      </c>
    </row>
    <row r="513">
      <c r="D513" s="7">
        <v>80.0</v>
      </c>
      <c r="E513" s="69">
        <v>2.01999999999999E-4</v>
      </c>
      <c r="F513" s="63">
        <f t="shared" si="5"/>
        <v>6993.644866</v>
      </c>
      <c r="G513" s="39">
        <f t="shared" si="6"/>
        <v>0.00008094496373</v>
      </c>
    </row>
    <row r="514">
      <c r="D514" s="7">
        <v>81.0</v>
      </c>
      <c r="E514" s="69">
        <v>2.01999999999999E-4</v>
      </c>
      <c r="F514" s="63">
        <f t="shared" si="5"/>
        <v>8688.513452</v>
      </c>
      <c r="G514" s="39">
        <f t="shared" si="6"/>
        <v>0.0001005614983</v>
      </c>
    </row>
    <row r="515">
      <c r="D515" s="7">
        <v>82.0</v>
      </c>
      <c r="E515" s="69">
        <v>2.01999999999999E-4</v>
      </c>
      <c r="F515" s="63">
        <f t="shared" si="5"/>
        <v>10794.12344</v>
      </c>
      <c r="G515" s="39">
        <f t="shared" si="6"/>
        <v>0.0001249319843</v>
      </c>
    </row>
    <row r="516">
      <c r="D516" s="7">
        <v>83.0</v>
      </c>
      <c r="E516" s="69">
        <v>2.01999999999999E-4</v>
      </c>
      <c r="F516" s="63">
        <f t="shared" si="5"/>
        <v>13410.0156</v>
      </c>
      <c r="G516" s="39">
        <f t="shared" si="6"/>
        <v>0.0001552085139</v>
      </c>
    </row>
    <row r="517">
      <c r="D517" s="7">
        <v>84.0</v>
      </c>
      <c r="E517" s="69">
        <v>2.01999999999999E-4</v>
      </c>
      <c r="F517" s="63">
        <f t="shared" si="5"/>
        <v>16659.85379</v>
      </c>
      <c r="G517" s="39">
        <f t="shared" si="6"/>
        <v>0.0001928223818</v>
      </c>
    </row>
    <row r="518">
      <c r="D518" s="7">
        <v>85.0</v>
      </c>
      <c r="E518" s="69">
        <v>2.01999999999999E-4</v>
      </c>
      <c r="F518" s="63">
        <f t="shared" si="5"/>
        <v>20697.2711</v>
      </c>
      <c r="G518" s="39">
        <f t="shared" si="6"/>
        <v>0.0002395517488</v>
      </c>
    </row>
    <row r="519">
      <c r="D519" s="7">
        <v>86.0</v>
      </c>
      <c r="E519" s="69">
        <v>2.01999999999999E-4</v>
      </c>
      <c r="F519" s="63">
        <f t="shared" si="5"/>
        <v>25713.13268</v>
      </c>
      <c r="G519" s="39">
        <f t="shared" si="6"/>
        <v>0.0002976057023</v>
      </c>
    </row>
    <row r="520">
      <c r="D520" s="7">
        <v>87.0</v>
      </c>
      <c r="E520" s="69">
        <v>2.01999999999999E-4</v>
      </c>
      <c r="F520" s="63">
        <f t="shared" si="5"/>
        <v>31944.55873</v>
      </c>
      <c r="G520" s="39">
        <f t="shared" si="6"/>
        <v>0.000369728689</v>
      </c>
    </row>
    <row r="521">
      <c r="D521" s="7">
        <v>88.0</v>
      </c>
      <c r="E521" s="69">
        <v>2.01999999999999E-4</v>
      </c>
      <c r="F521" s="63">
        <f t="shared" si="5"/>
        <v>39686.13413</v>
      </c>
      <c r="G521" s="39">
        <f t="shared" si="6"/>
        <v>0.0004593302561</v>
      </c>
    </row>
    <row r="522">
      <c r="D522" s="7">
        <v>89.0</v>
      </c>
      <c r="E522" s="69">
        <v>2.01999999999999E-4</v>
      </c>
      <c r="F522" s="63">
        <f t="shared" si="5"/>
        <v>49303.83467</v>
      </c>
      <c r="G522" s="39">
        <f t="shared" si="6"/>
        <v>0.0005706462347</v>
      </c>
    </row>
    <row r="523">
      <c r="D523" s="7">
        <v>90.0</v>
      </c>
      <c r="E523" s="69">
        <v>2.01999999999999E-4</v>
      </c>
      <c r="F523" s="63">
        <f t="shared" si="5"/>
        <v>61252.32822</v>
      </c>
      <c r="G523" s="39">
        <f t="shared" si="6"/>
        <v>0.000708938984</v>
      </c>
    </row>
    <row r="524">
      <c r="D524" s="7">
        <v>91.0</v>
      </c>
      <c r="E524" s="69">
        <v>2.01999999999999E-4</v>
      </c>
      <c r="F524" s="63">
        <f t="shared" si="5"/>
        <v>76096.46871</v>
      </c>
      <c r="G524" s="39">
        <f t="shared" si="6"/>
        <v>0.0008807461656</v>
      </c>
    </row>
    <row r="525">
      <c r="D525" s="7">
        <v>92.0</v>
      </c>
      <c r="E525" s="69">
        <v>2.01999999999999E-4</v>
      </c>
      <c r="F525" s="63">
        <f t="shared" si="5"/>
        <v>94537.99909</v>
      </c>
      <c r="G525" s="39">
        <f t="shared" si="6"/>
        <v>0.001094189804</v>
      </c>
    </row>
    <row r="526">
      <c r="D526" s="7">
        <v>93.0</v>
      </c>
      <c r="E526" s="69">
        <v>2.01999999999999E-4</v>
      </c>
      <c r="F526" s="63">
        <f t="shared" si="5"/>
        <v>117448.7256</v>
      </c>
      <c r="G526" s="39">
        <f t="shared" si="6"/>
        <v>0.00135936025</v>
      </c>
    </row>
    <row r="527">
      <c r="D527" s="7">
        <v>94.0</v>
      </c>
      <c r="E527" s="69">
        <v>2.01999999999999E-4</v>
      </c>
      <c r="F527" s="63">
        <f t="shared" si="5"/>
        <v>145911.7316</v>
      </c>
      <c r="G527" s="39">
        <f t="shared" si="6"/>
        <v>0.001688793189</v>
      </c>
    </row>
    <row r="528">
      <c r="D528" s="7">
        <v>95.0</v>
      </c>
      <c r="E528" s="69">
        <v>2.01999999999999E-4</v>
      </c>
      <c r="F528" s="63">
        <f t="shared" si="5"/>
        <v>181272.5791</v>
      </c>
      <c r="G528" s="39">
        <f t="shared" si="6"/>
        <v>0.002098062258</v>
      </c>
    </row>
    <row r="529">
      <c r="D529" s="7">
        <v>96.0</v>
      </c>
      <c r="E529" s="69">
        <v>2.01999999999999E-4</v>
      </c>
      <c r="F529" s="63">
        <f t="shared" si="5"/>
        <v>225202.9196</v>
      </c>
      <c r="G529" s="39">
        <f t="shared" si="6"/>
        <v>0.002606515273</v>
      </c>
    </row>
    <row r="530">
      <c r="D530" s="7">
        <v>97.0</v>
      </c>
      <c r="E530" s="69">
        <v>2.01999999999999E-4</v>
      </c>
      <c r="F530" s="63">
        <f t="shared" si="5"/>
        <v>279779.5189</v>
      </c>
      <c r="G530" s="39">
        <f t="shared" si="6"/>
        <v>0.003238188876</v>
      </c>
    </row>
    <row r="531">
      <c r="D531" s="7">
        <v>98.0</v>
      </c>
      <c r="E531" s="69">
        <v>2.01999999999999E-4</v>
      </c>
      <c r="F531" s="63">
        <f t="shared" si="5"/>
        <v>347582.4352</v>
      </c>
      <c r="G531" s="39">
        <f t="shared" si="6"/>
        <v>0.004022944852</v>
      </c>
    </row>
    <row r="532">
      <c r="D532" s="7">
        <v>99.0</v>
      </c>
      <c r="E532" s="69">
        <v>2.01999999999999E-4</v>
      </c>
      <c r="F532" s="63">
        <f t="shared" si="5"/>
        <v>431816.9884</v>
      </c>
      <c r="G532" s="39">
        <f t="shared" si="6"/>
        <v>0.00499788181</v>
      </c>
    </row>
    <row r="533">
      <c r="D533" s="7">
        <v>100.0</v>
      </c>
      <c r="E533" s="69">
        <v>2.01999999999999E-4</v>
      </c>
      <c r="F533" s="63">
        <f t="shared" si="5"/>
        <v>536465.2887</v>
      </c>
      <c r="G533" s="39">
        <f t="shared" si="6"/>
        <v>0.00620908899</v>
      </c>
    </row>
    <row r="534">
      <c r="D534" s="7">
        <v>101.0</v>
      </c>
      <c r="E534" s="69">
        <v>2.01999999999999E-4</v>
      </c>
      <c r="F534" s="63">
        <f t="shared" si="5"/>
        <v>666474.4874</v>
      </c>
      <c r="G534" s="39">
        <f t="shared" si="6"/>
        <v>0.007713825086</v>
      </c>
    </row>
    <row r="535">
      <c r="D535" s="7">
        <v>102.0</v>
      </c>
      <c r="E535" s="69">
        <v>2.01999999999999E-4</v>
      </c>
      <c r="F535" s="63">
        <f t="shared" si="5"/>
        <v>827990.6487</v>
      </c>
      <c r="G535" s="39">
        <f t="shared" si="6"/>
        <v>0.0095832251</v>
      </c>
    </row>
    <row r="536">
      <c r="D536" s="7">
        <v>103.0</v>
      </c>
      <c r="E536" s="69">
        <v>2.01999999999998E-4</v>
      </c>
      <c r="F536" s="63">
        <f t="shared" si="5"/>
        <v>1028649.299</v>
      </c>
      <c r="G536" s="39">
        <f t="shared" si="6"/>
        <v>0.01190566318</v>
      </c>
    </row>
    <row r="537">
      <c r="D537" s="7">
        <v>104.0</v>
      </c>
      <c r="E537" s="69">
        <v>2.01999999999998E-4</v>
      </c>
      <c r="F537" s="63">
        <f t="shared" si="5"/>
        <v>1277936.39</v>
      </c>
      <c r="G537" s="39">
        <f t="shared" si="6"/>
        <v>0.01479093044</v>
      </c>
    </row>
    <row r="538">
      <c r="D538" s="7">
        <v>105.0</v>
      </c>
      <c r="E538" s="69">
        <v>2.01999999999998E-4</v>
      </c>
      <c r="F538" s="63">
        <f t="shared" si="5"/>
        <v>1587636.737</v>
      </c>
      <c r="G538" s="39">
        <f t="shared" si="6"/>
        <v>0.01837542519</v>
      </c>
    </row>
    <row r="539">
      <c r="D539" s="7">
        <v>106.0</v>
      </c>
      <c r="E539" s="69">
        <v>2.01999999999998E-4</v>
      </c>
      <c r="F539" s="63">
        <f t="shared" si="5"/>
        <v>1972391.136</v>
      </c>
      <c r="G539" s="39">
        <f t="shared" si="6"/>
        <v>0.02282860111</v>
      </c>
    </row>
    <row r="540">
      <c r="D540" s="7">
        <v>107.0</v>
      </c>
      <c r="E540" s="69">
        <v>2.01999999999998E-4</v>
      </c>
      <c r="F540" s="63">
        <f t="shared" si="5"/>
        <v>2450388.495</v>
      </c>
      <c r="G540" s="39">
        <f t="shared" si="6"/>
        <v>0.02836097795</v>
      </c>
    </row>
    <row r="541">
      <c r="D541" s="7">
        <v>108.0</v>
      </c>
      <c r="E541" s="69">
        <v>2.01999999999998E-4</v>
      </c>
      <c r="F541" s="63">
        <f t="shared" si="5"/>
        <v>3044225.695</v>
      </c>
      <c r="G541" s="39">
        <f t="shared" si="6"/>
        <v>0.03523409369</v>
      </c>
    </row>
    <row r="542">
      <c r="D542" s="7">
        <v>109.0</v>
      </c>
      <c r="E542" s="69">
        <v>2.01999999999998E-4</v>
      </c>
      <c r="F542" s="63">
        <f t="shared" si="5"/>
        <v>3781975.838</v>
      </c>
      <c r="G542" s="39">
        <f t="shared" si="6"/>
        <v>0.04377286849</v>
      </c>
    </row>
    <row r="543">
      <c r="D543" s="7">
        <v>110.0</v>
      </c>
      <c r="E543" s="69">
        <v>2.01999999999998E-4</v>
      </c>
      <c r="F543" s="63">
        <f t="shared" si="5"/>
        <v>4698515.376</v>
      </c>
      <c r="G543" s="39">
        <f t="shared" si="6"/>
        <v>0.05438096501</v>
      </c>
    </row>
    <row r="544">
      <c r="D544" s="7">
        <v>111.0</v>
      </c>
      <c r="E544" s="69">
        <v>2.01999999999998E-4</v>
      </c>
      <c r="F544" s="63">
        <f t="shared" si="5"/>
        <v>5837172.867</v>
      </c>
      <c r="G544" s="39">
        <f t="shared" si="6"/>
        <v>0.06755987114</v>
      </c>
    </row>
    <row r="545">
      <c r="D545" s="7">
        <v>112.0</v>
      </c>
      <c r="E545" s="69">
        <v>2.01999999999998E-4</v>
      </c>
      <c r="F545" s="63">
        <f t="shared" si="5"/>
        <v>7251777.284</v>
      </c>
      <c r="G545" s="39">
        <f t="shared" si="6"/>
        <v>0.08393260746</v>
      </c>
    </row>
    <row r="546">
      <c r="D546" s="7">
        <v>113.0</v>
      </c>
      <c r="E546" s="69">
        <v>2.01999999999998E-4</v>
      </c>
      <c r="F546" s="63">
        <f t="shared" si="5"/>
        <v>9009202.739</v>
      </c>
      <c r="G546" s="39">
        <f t="shared" si="6"/>
        <v>0.1042731799</v>
      </c>
    </row>
    <row r="547">
      <c r="D547" s="7">
        <v>114.0</v>
      </c>
      <c r="E547" s="69">
        <v>2.01999999999998E-4</v>
      </c>
      <c r="F547" s="63">
        <f t="shared" si="5"/>
        <v>11192529.89</v>
      </c>
      <c r="G547" s="39">
        <f t="shared" si="6"/>
        <v>0.12954317</v>
      </c>
    </row>
    <row r="548">
      <c r="D548" s="7">
        <v>115.0</v>
      </c>
      <c r="E548" s="69">
        <v>2.01999999999998E-4</v>
      </c>
      <c r="F548" s="63">
        <f t="shared" si="5"/>
        <v>13904973.49</v>
      </c>
      <c r="G548" s="39">
        <f t="shared" si="6"/>
        <v>0.1609371932</v>
      </c>
    </row>
    <row r="549">
      <c r="D549" s="7">
        <v>116.0</v>
      </c>
      <c r="E549" s="69">
        <v>2.01999999999998E-4</v>
      </c>
      <c r="F549" s="63">
        <f t="shared" si="5"/>
        <v>17274761.81</v>
      </c>
      <c r="G549" s="39">
        <f t="shared" si="6"/>
        <v>0.1999393728</v>
      </c>
    </row>
    <row r="550">
      <c r="D550" s="7">
        <v>117.0</v>
      </c>
      <c r="E550" s="69">
        <v>2.01999999999998E-4</v>
      </c>
      <c r="F550" s="63">
        <f t="shared" si="5"/>
        <v>21461198.45</v>
      </c>
      <c r="G550" s="39">
        <f t="shared" si="6"/>
        <v>0.2483935006</v>
      </c>
    </row>
    <row r="551">
      <c r="D551" s="7">
        <v>118.0</v>
      </c>
      <c r="E551" s="69">
        <v>2.01999999999998E-4</v>
      </c>
      <c r="F551" s="63">
        <f t="shared" si="5"/>
        <v>26662193.32</v>
      </c>
      <c r="G551" s="39">
        <f t="shared" si="6"/>
        <v>0.3085902005</v>
      </c>
    </row>
    <row r="552">
      <c r="D552" s="7">
        <v>119.0</v>
      </c>
      <c r="E552" s="69">
        <v>2.01999999999998E-4</v>
      </c>
      <c r="F552" s="63">
        <f t="shared" si="5"/>
        <v>33123618.62</v>
      </c>
      <c r="G552" s="39">
        <f t="shared" si="6"/>
        <v>0.3833752155</v>
      </c>
    </row>
    <row r="553">
      <c r="D553" s="7">
        <v>120.0</v>
      </c>
      <c r="E553" s="69">
        <v>2.01999999999998E-4</v>
      </c>
      <c r="F553" s="63">
        <f t="shared" si="5"/>
        <v>41150932.24</v>
      </c>
      <c r="G553" s="39">
        <f t="shared" si="6"/>
        <v>0.4762839379</v>
      </c>
    </row>
    <row r="554">
      <c r="D554" s="7">
        <v>121.0</v>
      </c>
      <c r="E554" s="69">
        <v>2.01999999999998E-4</v>
      </c>
      <c r="F554" s="63">
        <f t="shared" si="5"/>
        <v>51123617.96</v>
      </c>
      <c r="G554" s="39">
        <f t="shared" si="6"/>
        <v>0.5917085412</v>
      </c>
    </row>
    <row r="555">
      <c r="D555" s="7">
        <v>122.0</v>
      </c>
      <c r="E555" s="69">
        <v>2.01999999999998E-4</v>
      </c>
      <c r="F555" s="63">
        <f t="shared" si="5"/>
        <v>63513125.26</v>
      </c>
      <c r="G555" s="39">
        <f t="shared" si="6"/>
        <v>0.7351056164</v>
      </c>
    </row>
    <row r="556">
      <c r="D556" s="7">
        <v>123.0</v>
      </c>
      <c r="E556" s="69">
        <v>2.01999999999998E-4</v>
      </c>
      <c r="F556" s="63">
        <f t="shared" si="5"/>
        <v>78905156.57</v>
      </c>
      <c r="G556" s="39">
        <f t="shared" si="6"/>
        <v>0.913254127</v>
      </c>
    </row>
    <row r="557">
      <c r="D557" s="7">
        <v>124.0</v>
      </c>
      <c r="E557" s="69">
        <v>2.01999999999998E-4</v>
      </c>
      <c r="F557" s="63">
        <f t="shared" si="5"/>
        <v>98027355.89</v>
      </c>
      <c r="G557" s="39">
        <f t="shared" si="6"/>
        <v>1.134575878</v>
      </c>
    </row>
    <row r="558">
      <c r="D558" s="7">
        <v>125.0</v>
      </c>
      <c r="E558" s="69">
        <v>2.01999999999998E-4</v>
      </c>
      <c r="F558" s="63">
        <f t="shared" si="5"/>
        <v>121783707.4</v>
      </c>
      <c r="G558" s="39">
        <f t="shared" si="6"/>
        <v>1.409533651</v>
      </c>
    </row>
    <row r="559">
      <c r="D559" s="7">
        <v>126.0</v>
      </c>
      <c r="E559" s="69">
        <v>2.01999999999998E-4</v>
      </c>
      <c r="F559" s="63">
        <f t="shared" si="5"/>
        <v>151297270.7</v>
      </c>
      <c r="G559" s="39">
        <f t="shared" si="6"/>
        <v>1.751125818</v>
      </c>
    </row>
    <row r="560">
      <c r="D560" s="7">
        <v>127.0</v>
      </c>
      <c r="E560" s="69">
        <v>2.01999999999998E-4</v>
      </c>
      <c r="F560" s="63">
        <f t="shared" si="5"/>
        <v>187963271.9</v>
      </c>
      <c r="G560" s="39">
        <f t="shared" si="6"/>
        <v>2.175500832</v>
      </c>
    </row>
    <row r="561">
      <c r="D561" s="7">
        <v>128.0</v>
      </c>
      <c r="E561" s="69">
        <v>2.01999999999998E-4</v>
      </c>
      <c r="F561" s="63">
        <f t="shared" si="5"/>
        <v>233515062.3</v>
      </c>
      <c r="G561" s="39">
        <f t="shared" si="6"/>
        <v>2.702720628</v>
      </c>
    </row>
    <row r="562">
      <c r="D562" s="7">
        <v>129.0</v>
      </c>
      <c r="E562" s="69">
        <v>2.01999999999998E-4</v>
      </c>
      <c r="F562" s="63">
        <f t="shared" si="5"/>
        <v>290106060.4</v>
      </c>
      <c r="G562" s="39">
        <f t="shared" si="6"/>
        <v>3.357709032</v>
      </c>
    </row>
    <row r="563">
      <c r="D563" s="7">
        <v>130.0</v>
      </c>
      <c r="E563" s="69">
        <v>2.01999999999998E-4</v>
      </c>
      <c r="F563" s="63">
        <f t="shared" si="5"/>
        <v>360411553.1</v>
      </c>
      <c r="G563" s="39">
        <f t="shared" si="6"/>
        <v>4.171430012</v>
      </c>
    </row>
    <row r="564">
      <c r="D564" s="7">
        <v>131.0</v>
      </c>
      <c r="E564" s="69">
        <v>2.01999999999998E-4</v>
      </c>
      <c r="F564" s="63">
        <f t="shared" si="5"/>
        <v>447755167.3</v>
      </c>
      <c r="G564" s="39">
        <f t="shared" si="6"/>
        <v>5.182351473</v>
      </c>
    </row>
    <row r="565">
      <c r="D565" s="7">
        <v>132.0</v>
      </c>
      <c r="E565" s="69">
        <v>2.01999999999998E-4</v>
      </c>
      <c r="F565" s="63">
        <f t="shared" si="5"/>
        <v>556265991.3</v>
      </c>
      <c r="G565" s="39">
        <f t="shared" si="6"/>
        <v>6.438263788</v>
      </c>
    </row>
    <row r="566">
      <c r="D566" s="7">
        <v>133.0</v>
      </c>
      <c r="E566" s="69">
        <v>2.01999999999998E-4</v>
      </c>
      <c r="F566" s="63">
        <f t="shared" si="5"/>
        <v>691073773.5</v>
      </c>
      <c r="G566" s="39">
        <f t="shared" si="6"/>
        <v>7.998539045</v>
      </c>
    </row>
    <row r="567">
      <c r="D567" s="7">
        <v>134.0</v>
      </c>
      <c r="E567" s="69">
        <v>2.01999999999998E-4</v>
      </c>
      <c r="F567" s="63">
        <f t="shared" si="5"/>
        <v>858551426.7</v>
      </c>
      <c r="G567" s="39">
        <f t="shared" si="6"/>
        <v>9.936937809</v>
      </c>
    </row>
    <row r="568">
      <c r="D568" s="7">
        <v>135.0</v>
      </c>
      <c r="E568" s="69">
        <v>2.01999999999998E-4</v>
      </c>
      <c r="F568" s="63">
        <f t="shared" si="5"/>
        <v>1066616301</v>
      </c>
      <c r="G568" s="39">
        <f t="shared" si="6"/>
        <v>12.34509608</v>
      </c>
    </row>
    <row r="569">
      <c r="D569" s="7">
        <v>136.0</v>
      </c>
      <c r="E569" s="69">
        <v>2.01999999999998E-4</v>
      </c>
      <c r="F569" s="63">
        <f t="shared" si="5"/>
        <v>1325104471</v>
      </c>
      <c r="G569" s="39">
        <f t="shared" si="6"/>
        <v>15.33685731</v>
      </c>
    </row>
    <row r="570">
      <c r="D570" s="7">
        <v>137.0</v>
      </c>
      <c r="E570" s="69">
        <v>2.01999999999998E-4</v>
      </c>
      <c r="F570" s="63">
        <f t="shared" si="5"/>
        <v>1646235724</v>
      </c>
      <c r="G570" s="39">
        <f t="shared" si="6"/>
        <v>19.05365422</v>
      </c>
    </row>
    <row r="571">
      <c r="D571" s="7">
        <v>138.0</v>
      </c>
      <c r="E571" s="69">
        <v>2.01999999999998E-4</v>
      </c>
      <c r="F571" s="63">
        <f t="shared" si="5"/>
        <v>2045191243</v>
      </c>
      <c r="G571" s="39">
        <f t="shared" si="6"/>
        <v>23.67119494</v>
      </c>
    </row>
    <row r="572">
      <c r="D572" s="7">
        <v>139.0</v>
      </c>
      <c r="E572" s="69">
        <v>2.01999999999998E-4</v>
      </c>
      <c r="F572" s="63">
        <f t="shared" si="5"/>
        <v>2540831279</v>
      </c>
      <c r="G572" s="39">
        <f t="shared" si="6"/>
        <v>29.40776943</v>
      </c>
    </row>
    <row r="573">
      <c r="D573" s="7">
        <v>140.0</v>
      </c>
      <c r="E573" s="69">
        <v>2.01999999999998E-4</v>
      </c>
      <c r="F573" s="63">
        <f t="shared" si="5"/>
        <v>3156586753</v>
      </c>
      <c r="G573" s="39">
        <f t="shared" si="6"/>
        <v>36.5345689</v>
      </c>
    </row>
    <row r="574">
      <c r="D574" s="7">
        <v>141.0</v>
      </c>
      <c r="E574" s="69">
        <v>2.01999999999998E-4</v>
      </c>
      <c r="F574" s="63">
        <f t="shared" si="5"/>
        <v>3921566936</v>
      </c>
      <c r="G574" s="39">
        <f t="shared" si="6"/>
        <v>45.3885062</v>
      </c>
    </row>
    <row r="575">
      <c r="D575" s="7">
        <v>142.0</v>
      </c>
      <c r="E575" s="69">
        <v>2.01999999999998E-4</v>
      </c>
      <c r="F575" s="63">
        <f t="shared" si="5"/>
        <v>4871935554</v>
      </c>
      <c r="G575" s="39">
        <f t="shared" si="6"/>
        <v>56.38814299</v>
      </c>
    </row>
    <row r="576">
      <c r="D576" s="7">
        <v>143.0</v>
      </c>
      <c r="E576" s="69">
        <v>2.01999999999998E-4</v>
      </c>
      <c r="F576" s="63">
        <f t="shared" si="5"/>
        <v>6052620402</v>
      </c>
      <c r="G576" s="39">
        <f t="shared" si="6"/>
        <v>70.05347687</v>
      </c>
    </row>
    <row r="577">
      <c r="D577" s="7">
        <v>144.0</v>
      </c>
      <c r="E577" s="69">
        <v>2.01999999999998E-4</v>
      </c>
      <c r="F577" s="63">
        <f t="shared" si="5"/>
        <v>7519437258</v>
      </c>
      <c r="G577" s="39">
        <f t="shared" si="6"/>
        <v>87.03052382</v>
      </c>
    </row>
    <row r="578">
      <c r="D578" s="7">
        <v>145.0</v>
      </c>
      <c r="E578" s="69">
        <v>2.01999999999998E-4</v>
      </c>
      <c r="F578" s="63">
        <f t="shared" si="5"/>
        <v>9341728529</v>
      </c>
      <c r="G578" s="39">
        <f t="shared" si="6"/>
        <v>108.121858</v>
      </c>
    </row>
    <row r="579">
      <c r="D579" s="7">
        <v>146.0</v>
      </c>
      <c r="E579" s="69">
        <v>2.01999999999998E-4</v>
      </c>
      <c r="F579" s="63">
        <f t="shared" si="5"/>
        <v>11605641342</v>
      </c>
      <c r="G579" s="39">
        <f t="shared" si="6"/>
        <v>134.3245526</v>
      </c>
    </row>
    <row r="580">
      <c r="D580" s="7">
        <v>147.0</v>
      </c>
      <c r="E580" s="69">
        <v>2.01999999999998E-4</v>
      </c>
      <c r="F580" s="63">
        <f t="shared" si="5"/>
        <v>14418200073</v>
      </c>
      <c r="G580" s="39">
        <f t="shared" si="6"/>
        <v>166.8773157</v>
      </c>
    </row>
    <row r="581">
      <c r="D581" s="7">
        <v>148.0</v>
      </c>
      <c r="E581" s="69">
        <v>2.01999999999998E-4</v>
      </c>
      <c r="F581" s="63">
        <f t="shared" si="5"/>
        <v>17912365824</v>
      </c>
      <c r="G581" s="39">
        <f t="shared" si="6"/>
        <v>207.3190489</v>
      </c>
    </row>
    <row r="582">
      <c r="D582" s="7">
        <v>149.0</v>
      </c>
      <c r="E582" s="69">
        <v>2.01999999999998E-4</v>
      </c>
      <c r="F582" s="63">
        <f t="shared" si="5"/>
        <v>22253322037</v>
      </c>
      <c r="G582" s="39">
        <f t="shared" si="6"/>
        <v>257.5615976</v>
      </c>
    </row>
    <row r="583">
      <c r="D583" s="7">
        <v>150.0</v>
      </c>
      <c r="E583" s="69">
        <v>2.01999999999998E-4</v>
      </c>
      <c r="F583" s="63">
        <f t="shared" si="5"/>
        <v>27646283385</v>
      </c>
      <c r="G583" s="39">
        <f t="shared" si="6"/>
        <v>319.9801318</v>
      </c>
    </row>
    <row r="584">
      <c r="G584" s="39">
        <f>sum(G433:G583)</f>
        <v>1640.334656</v>
      </c>
    </row>
    <row r="585">
      <c r="G585" s="52">
        <f>G584</f>
        <v>1640.334656</v>
      </c>
      <c r="H585" s="52">
        <f>G585/365</f>
        <v>4.494067552</v>
      </c>
    </row>
  </sheetData>
  <conditionalFormatting sqref="B113:D113">
    <cfRule type="expression" dxfId="0" priority="1">
      <formula>"&lt;C6"</formula>
    </cfRule>
  </conditionalFormatting>
  <conditionalFormatting sqref="B32:D42 B90:D140 G109:G111 F112:F140 E131:E205 B152:B187 C152:D188 F152 G153:G176 B197:B277 C199:C279 B332:E411 F416">
    <cfRule type="colorScale" priority="2">
      <colorScale>
        <cfvo type="min"/>
        <cfvo type="percentile" val="50"/>
        <cfvo type="max"/>
        <color rgb="FF00FFFF"/>
        <color rgb="FFFFFFFF"/>
        <color rgb="FFFF00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14" width="12.63"/>
    <col hidden="1" min="27" max="37" width="12.63"/>
    <col customWidth="1" min="38" max="38" width="23.63"/>
  </cols>
  <sheetData>
    <row r="1">
      <c r="A1" s="7"/>
      <c r="B1" s="7" t="s">
        <v>15</v>
      </c>
      <c r="C1" s="7" t="s">
        <v>48</v>
      </c>
      <c r="D1" s="7" t="s">
        <v>48</v>
      </c>
      <c r="E1" s="7" t="s">
        <v>80</v>
      </c>
      <c r="F1" s="7" t="s">
        <v>81</v>
      </c>
      <c r="G1" s="7" t="s">
        <v>82</v>
      </c>
      <c r="H1" s="7" t="s">
        <v>83</v>
      </c>
      <c r="I1" s="7" t="s">
        <v>84</v>
      </c>
      <c r="J1" s="7" t="s">
        <v>85</v>
      </c>
      <c r="K1" s="7" t="s">
        <v>86</v>
      </c>
      <c r="L1" s="7" t="s">
        <v>87</v>
      </c>
      <c r="M1" s="7" t="s">
        <v>88</v>
      </c>
      <c r="P1" s="7">
        <v>10.0</v>
      </c>
      <c r="Q1" s="7">
        <v>9.0</v>
      </c>
      <c r="R1" s="7">
        <v>8.0</v>
      </c>
      <c r="S1" s="7">
        <v>7.0</v>
      </c>
      <c r="T1" s="7">
        <v>6.0</v>
      </c>
      <c r="U1" s="7">
        <v>5.0</v>
      </c>
      <c r="V1" s="7">
        <v>4.0</v>
      </c>
      <c r="W1" s="7">
        <v>3.0</v>
      </c>
      <c r="X1" s="7">
        <v>2.0</v>
      </c>
      <c r="Y1" s="7">
        <v>1.0</v>
      </c>
      <c r="Z1" s="7" t="s">
        <v>89</v>
      </c>
      <c r="AL1" s="7" t="s">
        <v>90</v>
      </c>
    </row>
    <row r="2">
      <c r="A2" s="7" t="s">
        <v>91</v>
      </c>
      <c r="B2" s="25">
        <f>IFERROR(__xludf.DUMMYFUNCTION("split(A2, "" "")"),60.0)</f>
        <v>60</v>
      </c>
      <c r="C2" s="25">
        <f>IFERROR(__xludf.DUMMYFUNCTION("""COMPUTED_VALUE"""),203.0)</f>
        <v>203</v>
      </c>
      <c r="D2" s="25">
        <f>IFERROR(__xludf.DUMMYFUNCTION("""COMPUTED_VALUE"""),204.0)</f>
        <v>204</v>
      </c>
      <c r="E2" s="25">
        <f>IFERROR(__xludf.DUMMYFUNCTION("""COMPUTED_VALUE"""),204.0)</f>
        <v>204</v>
      </c>
      <c r="F2" s="25">
        <f>IFERROR(__xludf.DUMMYFUNCTION("""COMPUTED_VALUE"""),204.0)</f>
        <v>204</v>
      </c>
      <c r="G2" s="25">
        <f>IFERROR(__xludf.DUMMYFUNCTION("""COMPUTED_VALUE"""),205.0)</f>
        <v>205</v>
      </c>
      <c r="H2" s="25">
        <f>IFERROR(__xludf.DUMMYFUNCTION("""COMPUTED_VALUE"""),205.0)</f>
        <v>205</v>
      </c>
      <c r="I2" s="25">
        <f>IFERROR(__xludf.DUMMYFUNCTION("""COMPUTED_VALUE"""),205.0)</f>
        <v>205</v>
      </c>
      <c r="J2" s="25">
        <f>IFERROR(__xludf.DUMMYFUNCTION("""COMPUTED_VALUE"""),205.0)</f>
        <v>205</v>
      </c>
      <c r="K2" s="25">
        <f>IFERROR(__xludf.DUMMYFUNCTION("""COMPUTED_VALUE"""),205.0)</f>
        <v>205</v>
      </c>
      <c r="L2" s="25">
        <f>IFERROR(__xludf.DUMMYFUNCTION("""COMPUTED_VALUE"""),208.0)</f>
        <v>208</v>
      </c>
      <c r="M2" s="25">
        <f>IFERROR(__xludf.DUMMYFUNCTION("""COMPUTED_VALUE"""),224.0)</f>
        <v>224</v>
      </c>
      <c r="P2" s="25">
        <f t="shared" ref="P2:P46" si="3">D2</f>
        <v>204</v>
      </c>
      <c r="Q2" s="25">
        <f t="shared" ref="Q2:Y2" si="1">E2-D2</f>
        <v>0</v>
      </c>
      <c r="R2" s="25">
        <f t="shared" si="1"/>
        <v>0</v>
      </c>
      <c r="S2" s="25">
        <f t="shared" si="1"/>
        <v>1</v>
      </c>
      <c r="T2" s="25">
        <f t="shared" si="1"/>
        <v>0</v>
      </c>
      <c r="U2" s="25">
        <f t="shared" si="1"/>
        <v>0</v>
      </c>
      <c r="V2" s="25">
        <f t="shared" si="1"/>
        <v>0</v>
      </c>
      <c r="W2" s="25">
        <f t="shared" si="1"/>
        <v>0</v>
      </c>
      <c r="X2" s="25">
        <f t="shared" si="1"/>
        <v>3</v>
      </c>
      <c r="Y2" s="25">
        <f t="shared" si="1"/>
        <v>16</v>
      </c>
      <c r="Z2" s="25">
        <f t="shared" ref="Z2:Z46" si="5">SUM(P2:Y2)</f>
        <v>224</v>
      </c>
      <c r="AB2" s="25">
        <f t="shared" ref="AB2:AJ2" si="2">P2*(P$1/10)</f>
        <v>204</v>
      </c>
      <c r="AC2" s="25">
        <f t="shared" si="2"/>
        <v>0</v>
      </c>
      <c r="AD2" s="25">
        <f t="shared" si="2"/>
        <v>0</v>
      </c>
      <c r="AE2" s="25">
        <f t="shared" si="2"/>
        <v>0.7</v>
      </c>
      <c r="AF2" s="25">
        <f t="shared" si="2"/>
        <v>0</v>
      </c>
      <c r="AG2" s="25">
        <f t="shared" si="2"/>
        <v>0</v>
      </c>
      <c r="AH2" s="25">
        <f t="shared" si="2"/>
        <v>0</v>
      </c>
      <c r="AI2" s="25">
        <f t="shared" si="2"/>
        <v>0</v>
      </c>
      <c r="AJ2" s="25">
        <f t="shared" si="2"/>
        <v>0.6</v>
      </c>
      <c r="AK2" s="25">
        <f>Y2*(Y1/10)</f>
        <v>1.6</v>
      </c>
      <c r="AL2" s="25">
        <f t="shared" ref="AL2:AL46" si="7">sum(AB2:AK2)</f>
        <v>206.9</v>
      </c>
    </row>
    <row r="3">
      <c r="A3" s="7" t="s">
        <v>92</v>
      </c>
      <c r="B3" s="25">
        <f>IFERROR(__xludf.DUMMYFUNCTION("split(A3, "" "")"),61.0)</f>
        <v>61</v>
      </c>
      <c r="C3" s="25">
        <f>IFERROR(__xludf.DUMMYFUNCTION("""COMPUTED_VALUE"""),194.0)</f>
        <v>194</v>
      </c>
      <c r="D3" s="25">
        <f>IFERROR(__xludf.DUMMYFUNCTION("""COMPUTED_VALUE"""),194.0)</f>
        <v>194</v>
      </c>
      <c r="E3" s="25">
        <f>IFERROR(__xludf.DUMMYFUNCTION("""COMPUTED_VALUE"""),195.0)</f>
        <v>195</v>
      </c>
      <c r="F3" s="25">
        <f>IFERROR(__xludf.DUMMYFUNCTION("""COMPUTED_VALUE"""),195.0)</f>
        <v>195</v>
      </c>
      <c r="G3" s="25">
        <f>IFERROR(__xludf.DUMMYFUNCTION("""COMPUTED_VALUE"""),195.0)</f>
        <v>195</v>
      </c>
      <c r="H3" s="25">
        <f>IFERROR(__xludf.DUMMYFUNCTION("""COMPUTED_VALUE"""),196.0)</f>
        <v>196</v>
      </c>
      <c r="I3" s="25">
        <f>IFERROR(__xludf.DUMMYFUNCTION("""COMPUTED_VALUE"""),196.0)</f>
        <v>196</v>
      </c>
      <c r="J3" s="25">
        <f>IFERROR(__xludf.DUMMYFUNCTION("""COMPUTED_VALUE"""),196.0)</f>
        <v>196</v>
      </c>
      <c r="K3" s="25">
        <f>IFERROR(__xludf.DUMMYFUNCTION("""COMPUTED_VALUE"""),196.0)</f>
        <v>196</v>
      </c>
      <c r="L3" s="25">
        <f>IFERROR(__xludf.DUMMYFUNCTION("""COMPUTED_VALUE"""),196.0)</f>
        <v>196</v>
      </c>
      <c r="M3" s="25">
        <f>IFERROR(__xludf.DUMMYFUNCTION("""COMPUTED_VALUE"""),201.0)</f>
        <v>201</v>
      </c>
      <c r="P3" s="25">
        <f t="shared" si="3"/>
        <v>194</v>
      </c>
      <c r="Q3" s="25">
        <f t="shared" ref="Q3:Y3" si="4">E3-D3</f>
        <v>1</v>
      </c>
      <c r="R3" s="25">
        <f t="shared" si="4"/>
        <v>0</v>
      </c>
      <c r="S3" s="25">
        <f t="shared" si="4"/>
        <v>0</v>
      </c>
      <c r="T3" s="25">
        <f t="shared" si="4"/>
        <v>1</v>
      </c>
      <c r="U3" s="25">
        <f t="shared" si="4"/>
        <v>0</v>
      </c>
      <c r="V3" s="25">
        <f t="shared" si="4"/>
        <v>0</v>
      </c>
      <c r="W3" s="25">
        <f t="shared" si="4"/>
        <v>0</v>
      </c>
      <c r="X3" s="25">
        <f t="shared" si="4"/>
        <v>0</v>
      </c>
      <c r="Y3" s="25">
        <f t="shared" si="4"/>
        <v>5</v>
      </c>
      <c r="Z3" s="25">
        <f t="shared" si="5"/>
        <v>201</v>
      </c>
      <c r="AB3" s="25">
        <f t="shared" ref="AB3:AK3" si="6">P3*(P$1/10)</f>
        <v>194</v>
      </c>
      <c r="AC3" s="25">
        <f t="shared" si="6"/>
        <v>0.9</v>
      </c>
      <c r="AD3" s="25">
        <f t="shared" si="6"/>
        <v>0</v>
      </c>
      <c r="AE3" s="25">
        <f t="shared" si="6"/>
        <v>0</v>
      </c>
      <c r="AF3" s="25">
        <f t="shared" si="6"/>
        <v>0.6</v>
      </c>
      <c r="AG3" s="25">
        <f t="shared" si="6"/>
        <v>0</v>
      </c>
      <c r="AH3" s="25">
        <f t="shared" si="6"/>
        <v>0</v>
      </c>
      <c r="AI3" s="25">
        <f t="shared" si="6"/>
        <v>0</v>
      </c>
      <c r="AJ3" s="25">
        <f t="shared" si="6"/>
        <v>0</v>
      </c>
      <c r="AK3" s="25">
        <f t="shared" si="6"/>
        <v>0.5</v>
      </c>
      <c r="AL3" s="25">
        <f t="shared" si="7"/>
        <v>196</v>
      </c>
    </row>
    <row r="4">
      <c r="A4" s="7" t="s">
        <v>93</v>
      </c>
      <c r="B4" s="25">
        <f>IFERROR(__xludf.DUMMYFUNCTION("split(A4, "" "")"),62.0)</f>
        <v>62</v>
      </c>
      <c r="C4" s="25">
        <f>IFERROR(__xludf.DUMMYFUNCTION("""COMPUTED_VALUE"""),215.0)</f>
        <v>215</v>
      </c>
      <c r="D4" s="25">
        <f>IFERROR(__xludf.DUMMYFUNCTION("""COMPUTED_VALUE"""),215.0)</f>
        <v>215</v>
      </c>
      <c r="E4" s="25">
        <f>IFERROR(__xludf.DUMMYFUNCTION("""COMPUTED_VALUE"""),216.0)</f>
        <v>216</v>
      </c>
      <c r="F4" s="25">
        <f>IFERROR(__xludf.DUMMYFUNCTION("""COMPUTED_VALUE"""),216.0)</f>
        <v>216</v>
      </c>
      <c r="G4" s="25">
        <f>IFERROR(__xludf.DUMMYFUNCTION("""COMPUTED_VALUE"""),216.0)</f>
        <v>216</v>
      </c>
      <c r="H4" s="25">
        <f>IFERROR(__xludf.DUMMYFUNCTION("""COMPUTED_VALUE"""),216.0)</f>
        <v>216</v>
      </c>
      <c r="I4" s="25">
        <f>IFERROR(__xludf.DUMMYFUNCTION("""COMPUTED_VALUE"""),217.0)</f>
        <v>217</v>
      </c>
      <c r="J4" s="25">
        <f>IFERROR(__xludf.DUMMYFUNCTION("""COMPUTED_VALUE"""),218.0)</f>
        <v>218</v>
      </c>
      <c r="K4" s="25">
        <f>IFERROR(__xludf.DUMMYFUNCTION("""COMPUTED_VALUE"""),218.0)</f>
        <v>218</v>
      </c>
      <c r="L4" s="25">
        <f>IFERROR(__xludf.DUMMYFUNCTION("""COMPUTED_VALUE"""),218.0)</f>
        <v>218</v>
      </c>
      <c r="M4" s="25">
        <f>IFERROR(__xludf.DUMMYFUNCTION("""COMPUTED_VALUE"""),333.0)</f>
        <v>333</v>
      </c>
      <c r="P4" s="25">
        <f t="shared" si="3"/>
        <v>215</v>
      </c>
      <c r="Q4" s="25">
        <f t="shared" ref="Q4:Y4" si="8">E4-D4</f>
        <v>1</v>
      </c>
      <c r="R4" s="25">
        <f t="shared" si="8"/>
        <v>0</v>
      </c>
      <c r="S4" s="25">
        <f t="shared" si="8"/>
        <v>0</v>
      </c>
      <c r="T4" s="25">
        <f t="shared" si="8"/>
        <v>0</v>
      </c>
      <c r="U4" s="25">
        <f t="shared" si="8"/>
        <v>1</v>
      </c>
      <c r="V4" s="25">
        <f t="shared" si="8"/>
        <v>1</v>
      </c>
      <c r="W4" s="25">
        <f t="shared" si="8"/>
        <v>0</v>
      </c>
      <c r="X4" s="25">
        <f t="shared" si="8"/>
        <v>0</v>
      </c>
      <c r="Y4" s="25">
        <f t="shared" si="8"/>
        <v>115</v>
      </c>
      <c r="Z4" s="25">
        <f t="shared" si="5"/>
        <v>333</v>
      </c>
      <c r="AB4" s="25">
        <f t="shared" ref="AB4:AK4" si="9">P4*(P$1/10)</f>
        <v>215</v>
      </c>
      <c r="AC4" s="25">
        <f t="shared" si="9"/>
        <v>0.9</v>
      </c>
      <c r="AD4" s="25">
        <f t="shared" si="9"/>
        <v>0</v>
      </c>
      <c r="AE4" s="25">
        <f t="shared" si="9"/>
        <v>0</v>
      </c>
      <c r="AF4" s="25">
        <f t="shared" si="9"/>
        <v>0</v>
      </c>
      <c r="AG4" s="25">
        <f t="shared" si="9"/>
        <v>0.5</v>
      </c>
      <c r="AH4" s="25">
        <f t="shared" si="9"/>
        <v>0.4</v>
      </c>
      <c r="AI4" s="25">
        <f t="shared" si="9"/>
        <v>0</v>
      </c>
      <c r="AJ4" s="25">
        <f t="shared" si="9"/>
        <v>0</v>
      </c>
      <c r="AK4" s="25">
        <f t="shared" si="9"/>
        <v>11.5</v>
      </c>
      <c r="AL4" s="25">
        <f t="shared" si="7"/>
        <v>228.3</v>
      </c>
    </row>
    <row r="5">
      <c r="A5" s="7" t="s">
        <v>94</v>
      </c>
      <c r="B5" s="25">
        <f>IFERROR(__xludf.DUMMYFUNCTION("split(A5, "" "")"),63.0)</f>
        <v>63</v>
      </c>
      <c r="C5" s="25">
        <f>IFERROR(__xludf.DUMMYFUNCTION("""COMPUTED_VALUE"""),306.0)</f>
        <v>306</v>
      </c>
      <c r="D5" s="25">
        <f>IFERROR(__xludf.DUMMYFUNCTION("""COMPUTED_VALUE"""),306.0)</f>
        <v>306</v>
      </c>
      <c r="E5" s="25">
        <f>IFERROR(__xludf.DUMMYFUNCTION("""COMPUTED_VALUE"""),306.0)</f>
        <v>306</v>
      </c>
      <c r="F5" s="25">
        <f>IFERROR(__xludf.DUMMYFUNCTION("""COMPUTED_VALUE"""),306.0)</f>
        <v>306</v>
      </c>
      <c r="G5" s="25">
        <f>IFERROR(__xludf.DUMMYFUNCTION("""COMPUTED_VALUE"""),307.0)</f>
        <v>307</v>
      </c>
      <c r="H5" s="25">
        <f>IFERROR(__xludf.DUMMYFUNCTION("""COMPUTED_VALUE"""),308.0)</f>
        <v>308</v>
      </c>
      <c r="I5" s="25">
        <f>IFERROR(__xludf.DUMMYFUNCTION("""COMPUTED_VALUE"""),308.0)</f>
        <v>308</v>
      </c>
      <c r="J5" s="25">
        <f>IFERROR(__xludf.DUMMYFUNCTION("""COMPUTED_VALUE"""),309.0)</f>
        <v>309</v>
      </c>
      <c r="K5" s="25">
        <f>IFERROR(__xludf.DUMMYFUNCTION("""COMPUTED_VALUE"""),309.0)</f>
        <v>309</v>
      </c>
      <c r="L5" s="25">
        <f>IFERROR(__xludf.DUMMYFUNCTION("""COMPUTED_VALUE"""),309.0)</f>
        <v>309</v>
      </c>
      <c r="M5" s="25">
        <f>IFERROR(__xludf.DUMMYFUNCTION("""COMPUTED_VALUE"""),478.0)</f>
        <v>478</v>
      </c>
      <c r="P5" s="25">
        <f t="shared" si="3"/>
        <v>306</v>
      </c>
      <c r="Q5" s="25">
        <f t="shared" ref="Q5:Y5" si="10">E5-D5</f>
        <v>0</v>
      </c>
      <c r="R5" s="25">
        <f t="shared" si="10"/>
        <v>0</v>
      </c>
      <c r="S5" s="25">
        <f t="shared" si="10"/>
        <v>1</v>
      </c>
      <c r="T5" s="25">
        <f t="shared" si="10"/>
        <v>1</v>
      </c>
      <c r="U5" s="25">
        <f t="shared" si="10"/>
        <v>0</v>
      </c>
      <c r="V5" s="25">
        <f t="shared" si="10"/>
        <v>1</v>
      </c>
      <c r="W5" s="25">
        <f t="shared" si="10"/>
        <v>0</v>
      </c>
      <c r="X5" s="25">
        <f t="shared" si="10"/>
        <v>0</v>
      </c>
      <c r="Y5" s="25">
        <f t="shared" si="10"/>
        <v>169</v>
      </c>
      <c r="Z5" s="25">
        <f t="shared" si="5"/>
        <v>478</v>
      </c>
      <c r="AB5" s="25">
        <f t="shared" ref="AB5:AK5" si="11">P5*(P$1/10)</f>
        <v>306</v>
      </c>
      <c r="AC5" s="25">
        <f t="shared" si="11"/>
        <v>0</v>
      </c>
      <c r="AD5" s="25">
        <f t="shared" si="11"/>
        <v>0</v>
      </c>
      <c r="AE5" s="25">
        <f t="shared" si="11"/>
        <v>0.7</v>
      </c>
      <c r="AF5" s="25">
        <f t="shared" si="11"/>
        <v>0.6</v>
      </c>
      <c r="AG5" s="25">
        <f t="shared" si="11"/>
        <v>0</v>
      </c>
      <c r="AH5" s="25">
        <f t="shared" si="11"/>
        <v>0.4</v>
      </c>
      <c r="AI5" s="25">
        <f t="shared" si="11"/>
        <v>0</v>
      </c>
      <c r="AJ5" s="25">
        <f t="shared" si="11"/>
        <v>0</v>
      </c>
      <c r="AK5" s="25">
        <f t="shared" si="11"/>
        <v>16.9</v>
      </c>
      <c r="AL5" s="25">
        <f t="shared" si="7"/>
        <v>324.6</v>
      </c>
    </row>
    <row r="6">
      <c r="A6" s="7" t="s">
        <v>95</v>
      </c>
      <c r="B6" s="25">
        <f>IFERROR(__xludf.DUMMYFUNCTION("split(A6, "" "")"),64.0)</f>
        <v>64</v>
      </c>
      <c r="C6" s="25">
        <f>IFERROR(__xludf.DUMMYFUNCTION("""COMPUTED_VALUE"""),438.0)</f>
        <v>438</v>
      </c>
      <c r="D6" s="25">
        <f>IFERROR(__xludf.DUMMYFUNCTION("""COMPUTED_VALUE"""),438.0)</f>
        <v>438</v>
      </c>
      <c r="E6" s="25">
        <f>IFERROR(__xludf.DUMMYFUNCTION("""COMPUTED_VALUE"""),438.0)</f>
        <v>438</v>
      </c>
      <c r="F6" s="25">
        <f>IFERROR(__xludf.DUMMYFUNCTION("""COMPUTED_VALUE"""),439.0)</f>
        <v>439</v>
      </c>
      <c r="G6" s="25">
        <f>IFERROR(__xludf.DUMMYFUNCTION("""COMPUTED_VALUE"""),439.0)</f>
        <v>439</v>
      </c>
      <c r="H6" s="25">
        <f>IFERROR(__xludf.DUMMYFUNCTION("""COMPUTED_VALUE"""),440.0)</f>
        <v>440</v>
      </c>
      <c r="I6" s="25">
        <f>IFERROR(__xludf.DUMMYFUNCTION("""COMPUTED_VALUE"""),441.0)</f>
        <v>441</v>
      </c>
      <c r="J6" s="25">
        <f>IFERROR(__xludf.DUMMYFUNCTION("""COMPUTED_VALUE"""),441.0)</f>
        <v>441</v>
      </c>
      <c r="K6" s="25">
        <f>IFERROR(__xludf.DUMMYFUNCTION("""COMPUTED_VALUE"""),442.0)</f>
        <v>442</v>
      </c>
      <c r="L6" s="25">
        <f>IFERROR(__xludf.DUMMYFUNCTION("""COMPUTED_VALUE"""),458.0)</f>
        <v>458</v>
      </c>
      <c r="M6" s="25">
        <f>IFERROR(__xludf.DUMMYFUNCTION("""COMPUTED_VALUE"""),501.0)</f>
        <v>501</v>
      </c>
      <c r="P6" s="25">
        <f t="shared" si="3"/>
        <v>438</v>
      </c>
      <c r="Q6" s="25">
        <f t="shared" ref="Q6:Y6" si="12">E6-D6</f>
        <v>0</v>
      </c>
      <c r="R6" s="25">
        <f t="shared" si="12"/>
        <v>1</v>
      </c>
      <c r="S6" s="25">
        <f t="shared" si="12"/>
        <v>0</v>
      </c>
      <c r="T6" s="25">
        <f t="shared" si="12"/>
        <v>1</v>
      </c>
      <c r="U6" s="25">
        <f t="shared" si="12"/>
        <v>1</v>
      </c>
      <c r="V6" s="25">
        <f t="shared" si="12"/>
        <v>0</v>
      </c>
      <c r="W6" s="25">
        <f t="shared" si="12"/>
        <v>1</v>
      </c>
      <c r="X6" s="25">
        <f t="shared" si="12"/>
        <v>16</v>
      </c>
      <c r="Y6" s="25">
        <f t="shared" si="12"/>
        <v>43</v>
      </c>
      <c r="Z6" s="25">
        <f t="shared" si="5"/>
        <v>501</v>
      </c>
      <c r="AB6" s="25">
        <f t="shared" ref="AB6:AK6" si="13">P6*(P$1/10)</f>
        <v>438</v>
      </c>
      <c r="AC6" s="25">
        <f t="shared" si="13"/>
        <v>0</v>
      </c>
      <c r="AD6" s="25">
        <f t="shared" si="13"/>
        <v>0.8</v>
      </c>
      <c r="AE6" s="25">
        <f t="shared" si="13"/>
        <v>0</v>
      </c>
      <c r="AF6" s="25">
        <f t="shared" si="13"/>
        <v>0.6</v>
      </c>
      <c r="AG6" s="25">
        <f t="shared" si="13"/>
        <v>0.5</v>
      </c>
      <c r="AH6" s="25">
        <f t="shared" si="13"/>
        <v>0</v>
      </c>
      <c r="AI6" s="25">
        <f t="shared" si="13"/>
        <v>0.3</v>
      </c>
      <c r="AJ6" s="25">
        <f t="shared" si="13"/>
        <v>3.2</v>
      </c>
      <c r="AK6" s="25">
        <f t="shared" si="13"/>
        <v>4.3</v>
      </c>
      <c r="AL6" s="25">
        <f t="shared" si="7"/>
        <v>447.7</v>
      </c>
    </row>
    <row r="7">
      <c r="A7" s="7" t="s">
        <v>96</v>
      </c>
      <c r="B7" s="25">
        <f>IFERROR(__xludf.DUMMYFUNCTION("split(A7, "" "")"),65.0)</f>
        <v>65</v>
      </c>
      <c r="C7" s="25">
        <f>IFERROR(__xludf.DUMMYFUNCTION("""COMPUTED_VALUE"""),443.0)</f>
        <v>443</v>
      </c>
      <c r="D7" s="25">
        <f>IFERROR(__xludf.DUMMYFUNCTION("""COMPUTED_VALUE"""),443.0)</f>
        <v>443</v>
      </c>
      <c r="E7" s="25">
        <f>IFERROR(__xludf.DUMMYFUNCTION("""COMPUTED_VALUE"""),443.0)</f>
        <v>443</v>
      </c>
      <c r="F7" s="25">
        <f>IFERROR(__xludf.DUMMYFUNCTION("""COMPUTED_VALUE"""),444.0)</f>
        <v>444</v>
      </c>
      <c r="G7" s="25">
        <f>IFERROR(__xludf.DUMMYFUNCTION("""COMPUTED_VALUE"""),444.0)</f>
        <v>444</v>
      </c>
      <c r="H7" s="25">
        <f>IFERROR(__xludf.DUMMYFUNCTION("""COMPUTED_VALUE"""),446.0)</f>
        <v>446</v>
      </c>
      <c r="I7" s="25">
        <f>IFERROR(__xludf.DUMMYFUNCTION("""COMPUTED_VALUE"""),446.0)</f>
        <v>446</v>
      </c>
      <c r="J7" s="25">
        <f>IFERROR(__xludf.DUMMYFUNCTION("""COMPUTED_VALUE"""),446.0)</f>
        <v>446</v>
      </c>
      <c r="K7" s="25">
        <f>IFERROR(__xludf.DUMMYFUNCTION("""COMPUTED_VALUE"""),469.0)</f>
        <v>469</v>
      </c>
      <c r="L7" s="25">
        <f>IFERROR(__xludf.DUMMYFUNCTION("""COMPUTED_VALUE"""),469.0)</f>
        <v>469</v>
      </c>
      <c r="M7" s="25">
        <f>IFERROR(__xludf.DUMMYFUNCTION("""COMPUTED_VALUE"""),481.0)</f>
        <v>481</v>
      </c>
      <c r="P7" s="25">
        <f t="shared" si="3"/>
        <v>443</v>
      </c>
      <c r="Q7" s="25">
        <f t="shared" ref="Q7:Y7" si="14">E7-D7</f>
        <v>0</v>
      </c>
      <c r="R7" s="25">
        <f t="shared" si="14"/>
        <v>1</v>
      </c>
      <c r="S7" s="25">
        <f t="shared" si="14"/>
        <v>0</v>
      </c>
      <c r="T7" s="25">
        <f t="shared" si="14"/>
        <v>2</v>
      </c>
      <c r="U7" s="25">
        <f t="shared" si="14"/>
        <v>0</v>
      </c>
      <c r="V7" s="25">
        <f t="shared" si="14"/>
        <v>0</v>
      </c>
      <c r="W7" s="25">
        <f t="shared" si="14"/>
        <v>23</v>
      </c>
      <c r="X7" s="25">
        <f t="shared" si="14"/>
        <v>0</v>
      </c>
      <c r="Y7" s="25">
        <f t="shared" si="14"/>
        <v>12</v>
      </c>
      <c r="Z7" s="25">
        <f t="shared" si="5"/>
        <v>481</v>
      </c>
      <c r="AB7" s="25">
        <f t="shared" ref="AB7:AK7" si="15">P7*(P$1/10)</f>
        <v>443</v>
      </c>
      <c r="AC7" s="25">
        <f t="shared" si="15"/>
        <v>0</v>
      </c>
      <c r="AD7" s="25">
        <f t="shared" si="15"/>
        <v>0.8</v>
      </c>
      <c r="AE7" s="25">
        <f t="shared" si="15"/>
        <v>0</v>
      </c>
      <c r="AF7" s="25">
        <f t="shared" si="15"/>
        <v>1.2</v>
      </c>
      <c r="AG7" s="25">
        <f t="shared" si="15"/>
        <v>0</v>
      </c>
      <c r="AH7" s="25">
        <f t="shared" si="15"/>
        <v>0</v>
      </c>
      <c r="AI7" s="25">
        <f t="shared" si="15"/>
        <v>6.9</v>
      </c>
      <c r="AJ7" s="25">
        <f t="shared" si="15"/>
        <v>0</v>
      </c>
      <c r="AK7" s="25">
        <f t="shared" si="15"/>
        <v>1.2</v>
      </c>
      <c r="AL7" s="25">
        <f t="shared" si="7"/>
        <v>453.1</v>
      </c>
    </row>
    <row r="8">
      <c r="A8" s="7" t="s">
        <v>97</v>
      </c>
      <c r="B8" s="25">
        <f>IFERROR(__xludf.DUMMYFUNCTION("split(A8, "" "")"),66.0)</f>
        <v>66</v>
      </c>
      <c r="C8" s="25">
        <f>IFERROR(__xludf.DUMMYFUNCTION("""COMPUTED_VALUE"""),572.0)</f>
        <v>572</v>
      </c>
      <c r="D8" s="25">
        <f>IFERROR(__xludf.DUMMYFUNCTION("""COMPUTED_VALUE"""),572.0)</f>
        <v>572</v>
      </c>
      <c r="E8" s="25">
        <f>IFERROR(__xludf.DUMMYFUNCTION("""COMPUTED_VALUE"""),572.0)</f>
        <v>572</v>
      </c>
      <c r="F8" s="25">
        <f>IFERROR(__xludf.DUMMYFUNCTION("""COMPUTED_VALUE"""),573.0)</f>
        <v>573</v>
      </c>
      <c r="G8" s="25">
        <f>IFERROR(__xludf.DUMMYFUNCTION("""COMPUTED_VALUE"""),573.0)</f>
        <v>573</v>
      </c>
      <c r="H8" s="25">
        <f>IFERROR(__xludf.DUMMYFUNCTION("""COMPUTED_VALUE"""),574.0)</f>
        <v>574</v>
      </c>
      <c r="I8" s="25">
        <f>IFERROR(__xludf.DUMMYFUNCTION("""COMPUTED_VALUE"""),575.0)</f>
        <v>575</v>
      </c>
      <c r="J8" s="25">
        <f>IFERROR(__xludf.DUMMYFUNCTION("""COMPUTED_VALUE"""),576.0)</f>
        <v>576</v>
      </c>
      <c r="K8" s="25">
        <f>IFERROR(__xludf.DUMMYFUNCTION("""COMPUTED_VALUE"""),577.0)</f>
        <v>577</v>
      </c>
      <c r="L8" s="25">
        <f>IFERROR(__xludf.DUMMYFUNCTION("""COMPUTED_VALUE"""),577.0)</f>
        <v>577</v>
      </c>
      <c r="M8" s="25">
        <f>IFERROR(__xludf.DUMMYFUNCTION("""COMPUTED_VALUE"""),617.0)</f>
        <v>617</v>
      </c>
      <c r="P8" s="25">
        <f t="shared" si="3"/>
        <v>572</v>
      </c>
      <c r="Q8" s="25">
        <f t="shared" ref="Q8:Y8" si="16">E8-D8</f>
        <v>0</v>
      </c>
      <c r="R8" s="25">
        <f t="shared" si="16"/>
        <v>1</v>
      </c>
      <c r="S8" s="25">
        <f t="shared" si="16"/>
        <v>0</v>
      </c>
      <c r="T8" s="25">
        <f t="shared" si="16"/>
        <v>1</v>
      </c>
      <c r="U8" s="25">
        <f t="shared" si="16"/>
        <v>1</v>
      </c>
      <c r="V8" s="25">
        <f t="shared" si="16"/>
        <v>1</v>
      </c>
      <c r="W8" s="25">
        <f t="shared" si="16"/>
        <v>1</v>
      </c>
      <c r="X8" s="25">
        <f t="shared" si="16"/>
        <v>0</v>
      </c>
      <c r="Y8" s="25">
        <f t="shared" si="16"/>
        <v>40</v>
      </c>
      <c r="Z8" s="25">
        <f t="shared" si="5"/>
        <v>617</v>
      </c>
      <c r="AB8" s="25">
        <f t="shared" ref="AB8:AK8" si="17">P8*(P$1/10)</f>
        <v>572</v>
      </c>
      <c r="AC8" s="25">
        <f t="shared" si="17"/>
        <v>0</v>
      </c>
      <c r="AD8" s="25">
        <f t="shared" si="17"/>
        <v>0.8</v>
      </c>
      <c r="AE8" s="25">
        <f t="shared" si="17"/>
        <v>0</v>
      </c>
      <c r="AF8" s="25">
        <f t="shared" si="17"/>
        <v>0.6</v>
      </c>
      <c r="AG8" s="25">
        <f t="shared" si="17"/>
        <v>0.5</v>
      </c>
      <c r="AH8" s="25">
        <f t="shared" si="17"/>
        <v>0.4</v>
      </c>
      <c r="AI8" s="25">
        <f t="shared" si="17"/>
        <v>0.3</v>
      </c>
      <c r="AJ8" s="25">
        <f t="shared" si="17"/>
        <v>0</v>
      </c>
      <c r="AK8" s="25">
        <f t="shared" si="17"/>
        <v>4</v>
      </c>
      <c r="AL8" s="25">
        <f t="shared" si="7"/>
        <v>578.6</v>
      </c>
    </row>
    <row r="9">
      <c r="A9" s="7" t="s">
        <v>98</v>
      </c>
      <c r="B9" s="25">
        <f>IFERROR(__xludf.DUMMYFUNCTION("split(A9, "" "")"),67.0)</f>
        <v>67</v>
      </c>
      <c r="C9" s="25">
        <f>IFERROR(__xludf.DUMMYFUNCTION("""COMPUTED_VALUE"""),682.0)</f>
        <v>682</v>
      </c>
      <c r="D9" s="25">
        <f>IFERROR(__xludf.DUMMYFUNCTION("""COMPUTED_VALUE"""),682.0)</f>
        <v>682</v>
      </c>
      <c r="E9" s="25">
        <f>IFERROR(__xludf.DUMMYFUNCTION("""COMPUTED_VALUE"""),682.0)</f>
        <v>682</v>
      </c>
      <c r="F9" s="25">
        <f>IFERROR(__xludf.DUMMYFUNCTION("""COMPUTED_VALUE"""),683.0)</f>
        <v>683</v>
      </c>
      <c r="G9" s="25">
        <f>IFERROR(__xludf.DUMMYFUNCTION("""COMPUTED_VALUE"""),684.0)</f>
        <v>684</v>
      </c>
      <c r="H9" s="25">
        <f>IFERROR(__xludf.DUMMYFUNCTION("""COMPUTED_VALUE"""),686.0)</f>
        <v>686</v>
      </c>
      <c r="I9" s="25">
        <f>IFERROR(__xludf.DUMMYFUNCTION("""COMPUTED_VALUE"""),686.0)</f>
        <v>686</v>
      </c>
      <c r="J9" s="25">
        <f>IFERROR(__xludf.DUMMYFUNCTION("""COMPUTED_VALUE"""),688.0)</f>
        <v>688</v>
      </c>
      <c r="K9" s="25">
        <f>IFERROR(__xludf.DUMMYFUNCTION("""COMPUTED_VALUE"""),688.0)</f>
        <v>688</v>
      </c>
      <c r="L9" s="25">
        <f>IFERROR(__xludf.DUMMYFUNCTION("""COMPUTED_VALUE"""),689.0)</f>
        <v>689</v>
      </c>
      <c r="M9" s="25">
        <f>IFERROR(__xludf.DUMMYFUNCTION("""COMPUTED_VALUE"""),998.0)</f>
        <v>998</v>
      </c>
      <c r="P9" s="25">
        <f t="shared" si="3"/>
        <v>682</v>
      </c>
      <c r="Q9" s="25">
        <f t="shared" ref="Q9:Y9" si="18">E9-D9</f>
        <v>0</v>
      </c>
      <c r="R9" s="25">
        <f t="shared" si="18"/>
        <v>1</v>
      </c>
      <c r="S9" s="25">
        <f t="shared" si="18"/>
        <v>1</v>
      </c>
      <c r="T9" s="25">
        <f t="shared" si="18"/>
        <v>2</v>
      </c>
      <c r="U9" s="25">
        <f t="shared" si="18"/>
        <v>0</v>
      </c>
      <c r="V9" s="25">
        <f t="shared" si="18"/>
        <v>2</v>
      </c>
      <c r="W9" s="25">
        <f t="shared" si="18"/>
        <v>0</v>
      </c>
      <c r="X9" s="25">
        <f t="shared" si="18"/>
        <v>1</v>
      </c>
      <c r="Y9" s="25">
        <f t="shared" si="18"/>
        <v>309</v>
      </c>
      <c r="Z9" s="25">
        <f t="shared" si="5"/>
        <v>998</v>
      </c>
      <c r="AB9" s="25">
        <f t="shared" ref="AB9:AK9" si="19">P9*(P$1/10)</f>
        <v>682</v>
      </c>
      <c r="AC9" s="25">
        <f t="shared" si="19"/>
        <v>0</v>
      </c>
      <c r="AD9" s="25">
        <f t="shared" si="19"/>
        <v>0.8</v>
      </c>
      <c r="AE9" s="25">
        <f t="shared" si="19"/>
        <v>0.7</v>
      </c>
      <c r="AF9" s="25">
        <f t="shared" si="19"/>
        <v>1.2</v>
      </c>
      <c r="AG9" s="25">
        <f t="shared" si="19"/>
        <v>0</v>
      </c>
      <c r="AH9" s="25">
        <f t="shared" si="19"/>
        <v>0.8</v>
      </c>
      <c r="AI9" s="25">
        <f t="shared" si="19"/>
        <v>0</v>
      </c>
      <c r="AJ9" s="25">
        <f t="shared" si="19"/>
        <v>0.2</v>
      </c>
      <c r="AK9" s="25">
        <f t="shared" si="19"/>
        <v>30.9</v>
      </c>
      <c r="AL9" s="25">
        <f t="shared" si="7"/>
        <v>716.6</v>
      </c>
    </row>
    <row r="10">
      <c r="A10" s="7" t="s">
        <v>99</v>
      </c>
      <c r="B10" s="25">
        <f>IFERROR(__xludf.DUMMYFUNCTION("split(A10, "" "")"),68.0)</f>
        <v>68</v>
      </c>
      <c r="C10" s="25">
        <f>IFERROR(__xludf.DUMMYFUNCTION("""COMPUTED_VALUE"""),982.0)</f>
        <v>982</v>
      </c>
      <c r="D10" s="25">
        <f>IFERROR(__xludf.DUMMYFUNCTION("""COMPUTED_VALUE"""),982.0)</f>
        <v>982</v>
      </c>
      <c r="E10" s="25">
        <f>IFERROR(__xludf.DUMMYFUNCTION("""COMPUTED_VALUE"""),982.0)</f>
        <v>982</v>
      </c>
      <c r="F10" s="25">
        <f>IFERROR(__xludf.DUMMYFUNCTION("""COMPUTED_VALUE"""),987.0)</f>
        <v>987</v>
      </c>
      <c r="G10" s="25">
        <f>IFERROR(__xludf.DUMMYFUNCTION("""COMPUTED_VALUE"""),987.0)</f>
        <v>987</v>
      </c>
      <c r="H10" s="25">
        <f>IFERROR(__xludf.DUMMYFUNCTION("""COMPUTED_VALUE"""),988.0)</f>
        <v>988</v>
      </c>
      <c r="I10" s="25">
        <f>IFERROR(__xludf.DUMMYFUNCTION("""COMPUTED_VALUE"""),988.0)</f>
        <v>988</v>
      </c>
      <c r="J10" s="25">
        <f>IFERROR(__xludf.DUMMYFUNCTION("""COMPUTED_VALUE"""),990.0)</f>
        <v>990</v>
      </c>
      <c r="K10" s="25">
        <f>IFERROR(__xludf.DUMMYFUNCTION("""COMPUTED_VALUE"""),1046.0)</f>
        <v>1046</v>
      </c>
      <c r="L10" s="25">
        <f>IFERROR(__xludf.DUMMYFUNCTION("""COMPUTED_VALUE"""),1222.0)</f>
        <v>1222</v>
      </c>
      <c r="M10" s="25">
        <f>IFERROR(__xludf.DUMMYFUNCTION("""COMPUTED_VALUE"""),1718.0)</f>
        <v>1718</v>
      </c>
      <c r="P10" s="25">
        <f t="shared" si="3"/>
        <v>982</v>
      </c>
      <c r="Q10" s="25">
        <f t="shared" ref="Q10:Y10" si="20">E10-D10</f>
        <v>0</v>
      </c>
      <c r="R10" s="25">
        <f t="shared" si="20"/>
        <v>5</v>
      </c>
      <c r="S10" s="25">
        <f t="shared" si="20"/>
        <v>0</v>
      </c>
      <c r="T10" s="25">
        <f t="shared" si="20"/>
        <v>1</v>
      </c>
      <c r="U10" s="25">
        <f t="shared" si="20"/>
        <v>0</v>
      </c>
      <c r="V10" s="25">
        <f t="shared" si="20"/>
        <v>2</v>
      </c>
      <c r="W10" s="25">
        <f t="shared" si="20"/>
        <v>56</v>
      </c>
      <c r="X10" s="25">
        <f t="shared" si="20"/>
        <v>176</v>
      </c>
      <c r="Y10" s="25">
        <f t="shared" si="20"/>
        <v>496</v>
      </c>
      <c r="Z10" s="25">
        <f t="shared" si="5"/>
        <v>1718</v>
      </c>
      <c r="AB10" s="25">
        <f t="shared" ref="AB10:AK10" si="21">P10*(P$1/10)</f>
        <v>982</v>
      </c>
      <c r="AC10" s="25">
        <f t="shared" si="21"/>
        <v>0</v>
      </c>
      <c r="AD10" s="25">
        <f t="shared" si="21"/>
        <v>4</v>
      </c>
      <c r="AE10" s="25">
        <f t="shared" si="21"/>
        <v>0</v>
      </c>
      <c r="AF10" s="25">
        <f t="shared" si="21"/>
        <v>0.6</v>
      </c>
      <c r="AG10" s="25">
        <f t="shared" si="21"/>
        <v>0</v>
      </c>
      <c r="AH10" s="25">
        <f t="shared" si="21"/>
        <v>0.8</v>
      </c>
      <c r="AI10" s="25">
        <f t="shared" si="21"/>
        <v>16.8</v>
      </c>
      <c r="AJ10" s="25">
        <f t="shared" si="21"/>
        <v>35.2</v>
      </c>
      <c r="AK10" s="25">
        <f t="shared" si="21"/>
        <v>49.6</v>
      </c>
      <c r="AL10" s="25">
        <f t="shared" si="7"/>
        <v>1089</v>
      </c>
    </row>
    <row r="11">
      <c r="A11" s="7" t="s">
        <v>100</v>
      </c>
      <c r="B11" s="25">
        <f>IFERROR(__xludf.DUMMYFUNCTION("split(A11, "" "")"),69.0)</f>
        <v>69</v>
      </c>
      <c r="C11" s="25">
        <f>IFERROR(__xludf.DUMMYFUNCTION("""COMPUTED_VALUE"""),1162.0)</f>
        <v>1162</v>
      </c>
      <c r="D11" s="25">
        <f>IFERROR(__xludf.DUMMYFUNCTION("""COMPUTED_VALUE"""),1162.0)</f>
        <v>1162</v>
      </c>
      <c r="E11" s="25">
        <f>IFERROR(__xludf.DUMMYFUNCTION("""COMPUTED_VALUE"""),1162.0)</f>
        <v>1162</v>
      </c>
      <c r="F11" s="25">
        <f>IFERROR(__xludf.DUMMYFUNCTION("""COMPUTED_VALUE"""),1163.0)</f>
        <v>1163</v>
      </c>
      <c r="G11" s="25">
        <f>IFERROR(__xludf.DUMMYFUNCTION("""COMPUTED_VALUE"""),1164.0)</f>
        <v>1164</v>
      </c>
      <c r="H11" s="25">
        <f>IFERROR(__xludf.DUMMYFUNCTION("""COMPUTED_VALUE"""),1165.0)</f>
        <v>1165</v>
      </c>
      <c r="I11" s="25">
        <f>IFERROR(__xludf.DUMMYFUNCTION("""COMPUTED_VALUE"""),1167.0)</f>
        <v>1167</v>
      </c>
      <c r="J11" s="25">
        <f>IFERROR(__xludf.DUMMYFUNCTION("""COMPUTED_VALUE"""),1168.0)</f>
        <v>1168</v>
      </c>
      <c r="K11" s="25">
        <f>IFERROR(__xludf.DUMMYFUNCTION("""COMPUTED_VALUE"""),1170.0)</f>
        <v>1170</v>
      </c>
      <c r="L11" s="25">
        <f>IFERROR(__xludf.DUMMYFUNCTION("""COMPUTED_VALUE"""),1170.0)</f>
        <v>1170</v>
      </c>
      <c r="M11" s="25">
        <f>IFERROR(__xludf.DUMMYFUNCTION("""COMPUTED_VALUE"""),1171.0)</f>
        <v>1171</v>
      </c>
      <c r="P11" s="25">
        <f t="shared" si="3"/>
        <v>1162</v>
      </c>
      <c r="Q11" s="25">
        <f t="shared" ref="Q11:Y11" si="22">E11-D11</f>
        <v>0</v>
      </c>
      <c r="R11" s="25">
        <f t="shared" si="22"/>
        <v>1</v>
      </c>
      <c r="S11" s="25">
        <f t="shared" si="22"/>
        <v>1</v>
      </c>
      <c r="T11" s="25">
        <f t="shared" si="22"/>
        <v>1</v>
      </c>
      <c r="U11" s="25">
        <f t="shared" si="22"/>
        <v>2</v>
      </c>
      <c r="V11" s="25">
        <f t="shared" si="22"/>
        <v>1</v>
      </c>
      <c r="W11" s="25">
        <f t="shared" si="22"/>
        <v>2</v>
      </c>
      <c r="X11" s="25">
        <f t="shared" si="22"/>
        <v>0</v>
      </c>
      <c r="Y11" s="25">
        <f t="shared" si="22"/>
        <v>1</v>
      </c>
      <c r="Z11" s="25">
        <f t="shared" si="5"/>
        <v>1171</v>
      </c>
      <c r="AB11" s="25">
        <f t="shared" ref="AB11:AK11" si="23">P11*(P$1/10)</f>
        <v>1162</v>
      </c>
      <c r="AC11" s="25">
        <f t="shared" si="23"/>
        <v>0</v>
      </c>
      <c r="AD11" s="25">
        <f t="shared" si="23"/>
        <v>0.8</v>
      </c>
      <c r="AE11" s="25">
        <f t="shared" si="23"/>
        <v>0.7</v>
      </c>
      <c r="AF11" s="25">
        <f t="shared" si="23"/>
        <v>0.6</v>
      </c>
      <c r="AG11" s="25">
        <f t="shared" si="23"/>
        <v>1</v>
      </c>
      <c r="AH11" s="25">
        <f t="shared" si="23"/>
        <v>0.4</v>
      </c>
      <c r="AI11" s="25">
        <f t="shared" si="23"/>
        <v>0.6</v>
      </c>
      <c r="AJ11" s="25">
        <f t="shared" si="23"/>
        <v>0</v>
      </c>
      <c r="AK11" s="25">
        <f t="shared" si="23"/>
        <v>0.1</v>
      </c>
      <c r="AL11" s="25">
        <f t="shared" si="7"/>
        <v>1166.2</v>
      </c>
    </row>
    <row r="12">
      <c r="A12" s="7" t="s">
        <v>101</v>
      </c>
      <c r="B12" s="25">
        <f>IFERROR(__xludf.DUMMYFUNCTION("split(A12, "" "")"),70.0)</f>
        <v>70</v>
      </c>
      <c r="C12" s="25">
        <f>IFERROR(__xludf.DUMMYFUNCTION("""COMPUTED_VALUE"""),1165.0)</f>
        <v>1165</v>
      </c>
      <c r="D12" s="25">
        <f>IFERROR(__xludf.DUMMYFUNCTION("""COMPUTED_VALUE"""),1166.0)</f>
        <v>1166</v>
      </c>
      <c r="E12" s="25">
        <f>IFERROR(__xludf.DUMMYFUNCTION("""COMPUTED_VALUE"""),1166.0)</f>
        <v>1166</v>
      </c>
      <c r="F12" s="25">
        <f>IFERROR(__xludf.DUMMYFUNCTION("""COMPUTED_VALUE"""),1167.0)</f>
        <v>1167</v>
      </c>
      <c r="G12" s="25">
        <f>IFERROR(__xludf.DUMMYFUNCTION("""COMPUTED_VALUE"""),1168.0)</f>
        <v>1168</v>
      </c>
      <c r="H12" s="25">
        <f>IFERROR(__xludf.DUMMYFUNCTION("""COMPUTED_VALUE"""),1172.0)</f>
        <v>1172</v>
      </c>
      <c r="I12" s="25">
        <f>IFERROR(__xludf.DUMMYFUNCTION("""COMPUTED_VALUE"""),1172.0)</f>
        <v>1172</v>
      </c>
      <c r="J12" s="25">
        <f>IFERROR(__xludf.DUMMYFUNCTION("""COMPUTED_VALUE"""),1174.0)</f>
        <v>1174</v>
      </c>
      <c r="K12" s="25">
        <f>IFERROR(__xludf.DUMMYFUNCTION("""COMPUTED_VALUE"""),1175.0)</f>
        <v>1175</v>
      </c>
      <c r="L12" s="25">
        <f>IFERROR(__xludf.DUMMYFUNCTION("""COMPUTED_VALUE"""),1176.0)</f>
        <v>1176</v>
      </c>
      <c r="M12" s="25">
        <f>IFERROR(__xludf.DUMMYFUNCTION("""COMPUTED_VALUE"""),1177.0)</f>
        <v>1177</v>
      </c>
      <c r="P12" s="25">
        <f t="shared" si="3"/>
        <v>1166</v>
      </c>
      <c r="Q12" s="25">
        <f t="shared" ref="Q12:Y12" si="24">E12-D12</f>
        <v>0</v>
      </c>
      <c r="R12" s="25">
        <f t="shared" si="24"/>
        <v>1</v>
      </c>
      <c r="S12" s="25">
        <f t="shared" si="24"/>
        <v>1</v>
      </c>
      <c r="T12" s="25">
        <f t="shared" si="24"/>
        <v>4</v>
      </c>
      <c r="U12" s="25">
        <f t="shared" si="24"/>
        <v>0</v>
      </c>
      <c r="V12" s="25">
        <f t="shared" si="24"/>
        <v>2</v>
      </c>
      <c r="W12" s="25">
        <f t="shared" si="24"/>
        <v>1</v>
      </c>
      <c r="X12" s="25">
        <f t="shared" si="24"/>
        <v>1</v>
      </c>
      <c r="Y12" s="25">
        <f t="shared" si="24"/>
        <v>1</v>
      </c>
      <c r="Z12" s="25">
        <f t="shared" si="5"/>
        <v>1177</v>
      </c>
      <c r="AB12" s="25">
        <f t="shared" ref="AB12:AK12" si="25">P12*(P$1/10)</f>
        <v>1166</v>
      </c>
      <c r="AC12" s="25">
        <f t="shared" si="25"/>
        <v>0</v>
      </c>
      <c r="AD12" s="25">
        <f t="shared" si="25"/>
        <v>0.8</v>
      </c>
      <c r="AE12" s="25">
        <f t="shared" si="25"/>
        <v>0.7</v>
      </c>
      <c r="AF12" s="25">
        <f t="shared" si="25"/>
        <v>2.4</v>
      </c>
      <c r="AG12" s="25">
        <f t="shared" si="25"/>
        <v>0</v>
      </c>
      <c r="AH12" s="25">
        <f t="shared" si="25"/>
        <v>0.8</v>
      </c>
      <c r="AI12" s="25">
        <f t="shared" si="25"/>
        <v>0.3</v>
      </c>
      <c r="AJ12" s="25">
        <f t="shared" si="25"/>
        <v>0.2</v>
      </c>
      <c r="AK12" s="25">
        <f t="shared" si="25"/>
        <v>0.1</v>
      </c>
      <c r="AL12" s="25">
        <f t="shared" si="7"/>
        <v>1171.3</v>
      </c>
    </row>
    <row r="13">
      <c r="A13" s="7" t="s">
        <v>102</v>
      </c>
      <c r="B13" s="25">
        <f>IFERROR(__xludf.DUMMYFUNCTION("split(A13, "" "")"),71.0)</f>
        <v>71</v>
      </c>
      <c r="C13" s="25">
        <f>IFERROR(__xludf.DUMMYFUNCTION("""COMPUTED_VALUE"""),1522.0)</f>
        <v>1522</v>
      </c>
      <c r="D13" s="25">
        <f>IFERROR(__xludf.DUMMYFUNCTION("""COMPUTED_VALUE"""),1523.0)</f>
        <v>1523</v>
      </c>
      <c r="E13" s="25">
        <f>IFERROR(__xludf.DUMMYFUNCTION("""COMPUTED_VALUE"""),1523.0)</f>
        <v>1523</v>
      </c>
      <c r="F13" s="25">
        <f>IFERROR(__xludf.DUMMYFUNCTION("""COMPUTED_VALUE"""),1524.0)</f>
        <v>1524</v>
      </c>
      <c r="G13" s="25">
        <f>IFERROR(__xludf.DUMMYFUNCTION("""COMPUTED_VALUE"""),1526.0)</f>
        <v>1526</v>
      </c>
      <c r="H13" s="25">
        <f>IFERROR(__xludf.DUMMYFUNCTION("""COMPUTED_VALUE"""),1531.0)</f>
        <v>1531</v>
      </c>
      <c r="I13" s="25">
        <f>IFERROR(__xludf.DUMMYFUNCTION("""COMPUTED_VALUE"""),1531.0)</f>
        <v>1531</v>
      </c>
      <c r="J13" s="25">
        <f>IFERROR(__xludf.DUMMYFUNCTION("""COMPUTED_VALUE"""),1534.0)</f>
        <v>1534</v>
      </c>
      <c r="K13" s="25">
        <f>IFERROR(__xludf.DUMMYFUNCTION("""COMPUTED_VALUE"""),1534.0)</f>
        <v>1534</v>
      </c>
      <c r="L13" s="25">
        <f>IFERROR(__xludf.DUMMYFUNCTION("""COMPUTED_VALUE"""),1537.0)</f>
        <v>1537</v>
      </c>
      <c r="M13" s="25">
        <f>IFERROR(__xludf.DUMMYFUNCTION("""COMPUTED_VALUE"""),1578.0)</f>
        <v>1578</v>
      </c>
      <c r="P13" s="25">
        <f t="shared" si="3"/>
        <v>1523</v>
      </c>
      <c r="Q13" s="25">
        <f t="shared" ref="Q13:Y13" si="26">E13-D13</f>
        <v>0</v>
      </c>
      <c r="R13" s="25">
        <f t="shared" si="26"/>
        <v>1</v>
      </c>
      <c r="S13" s="25">
        <f t="shared" si="26"/>
        <v>2</v>
      </c>
      <c r="T13" s="25">
        <f t="shared" si="26"/>
        <v>5</v>
      </c>
      <c r="U13" s="25">
        <f t="shared" si="26"/>
        <v>0</v>
      </c>
      <c r="V13" s="25">
        <f t="shared" si="26"/>
        <v>3</v>
      </c>
      <c r="W13" s="25">
        <f t="shared" si="26"/>
        <v>0</v>
      </c>
      <c r="X13" s="25">
        <f t="shared" si="26"/>
        <v>3</v>
      </c>
      <c r="Y13" s="25">
        <f t="shared" si="26"/>
        <v>41</v>
      </c>
      <c r="Z13" s="25">
        <f t="shared" si="5"/>
        <v>1578</v>
      </c>
      <c r="AB13" s="25">
        <f t="shared" ref="AB13:AK13" si="27">P13*(P$1/10)</f>
        <v>1523</v>
      </c>
      <c r="AC13" s="25">
        <f t="shared" si="27"/>
        <v>0</v>
      </c>
      <c r="AD13" s="25">
        <f t="shared" si="27"/>
        <v>0.8</v>
      </c>
      <c r="AE13" s="25">
        <f t="shared" si="27"/>
        <v>1.4</v>
      </c>
      <c r="AF13" s="25">
        <f t="shared" si="27"/>
        <v>3</v>
      </c>
      <c r="AG13" s="25">
        <f t="shared" si="27"/>
        <v>0</v>
      </c>
      <c r="AH13" s="25">
        <f t="shared" si="27"/>
        <v>1.2</v>
      </c>
      <c r="AI13" s="25">
        <f t="shared" si="27"/>
        <v>0</v>
      </c>
      <c r="AJ13" s="25">
        <f t="shared" si="27"/>
        <v>0.6</v>
      </c>
      <c r="AK13" s="25">
        <f t="shared" si="27"/>
        <v>4.1</v>
      </c>
      <c r="AL13" s="25">
        <f t="shared" si="7"/>
        <v>1534.1</v>
      </c>
    </row>
    <row r="14">
      <c r="A14" s="7" t="s">
        <v>103</v>
      </c>
      <c r="B14" s="25">
        <f>IFERROR(__xludf.DUMMYFUNCTION("split(A14, "" "")"),72.0)</f>
        <v>72</v>
      </c>
      <c r="C14" s="25">
        <f>IFERROR(__xludf.DUMMYFUNCTION("""COMPUTED_VALUE"""),2169.0)</f>
        <v>2169</v>
      </c>
      <c r="D14" s="25">
        <f>IFERROR(__xludf.DUMMYFUNCTION("""COMPUTED_VALUE"""),2169.0)</f>
        <v>2169</v>
      </c>
      <c r="E14" s="25">
        <f>IFERROR(__xludf.DUMMYFUNCTION("""COMPUTED_VALUE"""),2178.0)</f>
        <v>2178</v>
      </c>
      <c r="F14" s="25">
        <f>IFERROR(__xludf.DUMMYFUNCTION("""COMPUTED_VALUE"""),2180.0)</f>
        <v>2180</v>
      </c>
      <c r="G14" s="25">
        <f>IFERROR(__xludf.DUMMYFUNCTION("""COMPUTED_VALUE"""),2181.0)</f>
        <v>2181</v>
      </c>
      <c r="H14" s="25">
        <f>IFERROR(__xludf.DUMMYFUNCTION("""COMPUTED_VALUE"""),2182.0)</f>
        <v>2182</v>
      </c>
      <c r="I14" s="25">
        <f>IFERROR(__xludf.DUMMYFUNCTION("""COMPUTED_VALUE"""),2183.0)</f>
        <v>2183</v>
      </c>
      <c r="J14" s="25">
        <f>IFERROR(__xludf.DUMMYFUNCTION("""COMPUTED_VALUE"""),2184.0)</f>
        <v>2184</v>
      </c>
      <c r="K14" s="25">
        <f>IFERROR(__xludf.DUMMYFUNCTION("""COMPUTED_VALUE"""),2240.0)</f>
        <v>2240</v>
      </c>
      <c r="L14" s="25">
        <f>IFERROR(__xludf.DUMMYFUNCTION("""COMPUTED_VALUE"""),2692.0)</f>
        <v>2692</v>
      </c>
      <c r="M14" s="25">
        <f>IFERROR(__xludf.DUMMYFUNCTION("""COMPUTED_VALUE"""),2993.0)</f>
        <v>2993</v>
      </c>
      <c r="P14" s="25">
        <f t="shared" si="3"/>
        <v>2169</v>
      </c>
      <c r="Q14" s="25">
        <f t="shared" ref="Q14:Y14" si="28">E14-D14</f>
        <v>9</v>
      </c>
      <c r="R14" s="25">
        <f t="shared" si="28"/>
        <v>2</v>
      </c>
      <c r="S14" s="25">
        <f t="shared" si="28"/>
        <v>1</v>
      </c>
      <c r="T14" s="25">
        <f t="shared" si="28"/>
        <v>1</v>
      </c>
      <c r="U14" s="25">
        <f t="shared" si="28"/>
        <v>1</v>
      </c>
      <c r="V14" s="25">
        <f t="shared" si="28"/>
        <v>1</v>
      </c>
      <c r="W14" s="25">
        <f t="shared" si="28"/>
        <v>56</v>
      </c>
      <c r="X14" s="25">
        <f t="shared" si="28"/>
        <v>452</v>
      </c>
      <c r="Y14" s="25">
        <f t="shared" si="28"/>
        <v>301</v>
      </c>
      <c r="Z14" s="25">
        <f t="shared" si="5"/>
        <v>2993</v>
      </c>
      <c r="AB14" s="25">
        <f t="shared" ref="AB14:AK14" si="29">P14*(P$1/10)</f>
        <v>2169</v>
      </c>
      <c r="AC14" s="25">
        <f t="shared" si="29"/>
        <v>8.1</v>
      </c>
      <c r="AD14" s="25">
        <f t="shared" si="29"/>
        <v>1.6</v>
      </c>
      <c r="AE14" s="25">
        <f t="shared" si="29"/>
        <v>0.7</v>
      </c>
      <c r="AF14" s="25">
        <f t="shared" si="29"/>
        <v>0.6</v>
      </c>
      <c r="AG14" s="25">
        <f t="shared" si="29"/>
        <v>0.5</v>
      </c>
      <c r="AH14" s="25">
        <f t="shared" si="29"/>
        <v>0.4</v>
      </c>
      <c r="AI14" s="25">
        <f t="shared" si="29"/>
        <v>16.8</v>
      </c>
      <c r="AJ14" s="25">
        <f t="shared" si="29"/>
        <v>90.4</v>
      </c>
      <c r="AK14" s="25">
        <f t="shared" si="29"/>
        <v>30.1</v>
      </c>
      <c r="AL14" s="25">
        <f t="shared" si="7"/>
        <v>2318.2</v>
      </c>
    </row>
    <row r="15">
      <c r="A15" s="7" t="s">
        <v>104</v>
      </c>
      <c r="B15" s="25">
        <f>IFERROR(__xludf.DUMMYFUNCTION("split(A15, "" "")"),73.0)</f>
        <v>73</v>
      </c>
      <c r="C15" s="25">
        <f>IFERROR(__xludf.DUMMYFUNCTION("""COMPUTED_VALUE"""),2252.0)</f>
        <v>2252</v>
      </c>
      <c r="D15" s="25">
        <f>IFERROR(__xludf.DUMMYFUNCTION("""COMPUTED_VALUE"""),2254.0)</f>
        <v>2254</v>
      </c>
      <c r="E15" s="25">
        <f>IFERROR(__xludf.DUMMYFUNCTION("""COMPUTED_VALUE"""),2254.0)</f>
        <v>2254</v>
      </c>
      <c r="F15" s="25">
        <f>IFERROR(__xludf.DUMMYFUNCTION("""COMPUTED_VALUE"""),2256.0)</f>
        <v>2256</v>
      </c>
      <c r="G15" s="25">
        <f>IFERROR(__xludf.DUMMYFUNCTION("""COMPUTED_VALUE"""),2257.0)</f>
        <v>2257</v>
      </c>
      <c r="H15" s="25">
        <f>IFERROR(__xludf.DUMMYFUNCTION("""COMPUTED_VALUE"""),2264.0)</f>
        <v>2264</v>
      </c>
      <c r="I15" s="25">
        <f>IFERROR(__xludf.DUMMYFUNCTION("""COMPUTED_VALUE"""),2265.0)</f>
        <v>2265</v>
      </c>
      <c r="J15" s="25">
        <f>IFERROR(__xludf.DUMMYFUNCTION("""COMPUTED_VALUE"""),2268.0)</f>
        <v>2268</v>
      </c>
      <c r="K15" s="25">
        <f>IFERROR(__xludf.DUMMYFUNCTION("""COMPUTED_VALUE"""),2271.0)</f>
        <v>2271</v>
      </c>
      <c r="L15" s="25">
        <f>IFERROR(__xludf.DUMMYFUNCTION("""COMPUTED_VALUE"""),2272.0)</f>
        <v>2272</v>
      </c>
      <c r="M15" s="25">
        <f>IFERROR(__xludf.DUMMYFUNCTION("""COMPUTED_VALUE"""),4563.0)</f>
        <v>4563</v>
      </c>
      <c r="P15" s="25">
        <f t="shared" si="3"/>
        <v>2254</v>
      </c>
      <c r="Q15" s="25">
        <f t="shared" ref="Q15:Y15" si="30">E15-D15</f>
        <v>0</v>
      </c>
      <c r="R15" s="25">
        <f t="shared" si="30"/>
        <v>2</v>
      </c>
      <c r="S15" s="25">
        <f t="shared" si="30"/>
        <v>1</v>
      </c>
      <c r="T15" s="25">
        <f t="shared" si="30"/>
        <v>7</v>
      </c>
      <c r="U15" s="25">
        <f t="shared" si="30"/>
        <v>1</v>
      </c>
      <c r="V15" s="25">
        <f t="shared" si="30"/>
        <v>3</v>
      </c>
      <c r="W15" s="25">
        <f t="shared" si="30"/>
        <v>3</v>
      </c>
      <c r="X15" s="25">
        <f t="shared" si="30"/>
        <v>1</v>
      </c>
      <c r="Y15" s="25">
        <f t="shared" si="30"/>
        <v>2291</v>
      </c>
      <c r="Z15" s="25">
        <f t="shared" si="5"/>
        <v>4563</v>
      </c>
      <c r="AB15" s="25">
        <f t="shared" ref="AB15:AK15" si="31">P15*(P$1/10)</f>
        <v>2254</v>
      </c>
      <c r="AC15" s="25">
        <f t="shared" si="31"/>
        <v>0</v>
      </c>
      <c r="AD15" s="25">
        <f t="shared" si="31"/>
        <v>1.6</v>
      </c>
      <c r="AE15" s="25">
        <f t="shared" si="31"/>
        <v>0.7</v>
      </c>
      <c r="AF15" s="25">
        <f t="shared" si="31"/>
        <v>4.2</v>
      </c>
      <c r="AG15" s="25">
        <f t="shared" si="31"/>
        <v>0.5</v>
      </c>
      <c r="AH15" s="25">
        <f t="shared" si="31"/>
        <v>1.2</v>
      </c>
      <c r="AI15" s="25">
        <f t="shared" si="31"/>
        <v>0.9</v>
      </c>
      <c r="AJ15" s="25">
        <f t="shared" si="31"/>
        <v>0.2</v>
      </c>
      <c r="AK15" s="25">
        <f t="shared" si="31"/>
        <v>229.1</v>
      </c>
      <c r="AL15" s="25">
        <f t="shared" si="7"/>
        <v>2492.4</v>
      </c>
    </row>
    <row r="16">
      <c r="A16" s="7" t="s">
        <v>105</v>
      </c>
      <c r="B16" s="25">
        <f>IFERROR(__xludf.DUMMYFUNCTION("split(A16, "" "")"),74.0)</f>
        <v>74</v>
      </c>
      <c r="C16" s="25">
        <f>IFERROR(__xludf.DUMMYFUNCTION("""COMPUTED_VALUE"""),2924.0)</f>
        <v>2924</v>
      </c>
      <c r="D16" s="25">
        <f>IFERROR(__xludf.DUMMYFUNCTION("""COMPUTED_VALUE"""),2928.0)</f>
        <v>2928</v>
      </c>
      <c r="E16" s="25">
        <f>IFERROR(__xludf.DUMMYFUNCTION("""COMPUTED_VALUE"""),2933.0)</f>
        <v>2933</v>
      </c>
      <c r="F16" s="25">
        <f>IFERROR(__xludf.DUMMYFUNCTION("""COMPUTED_VALUE"""),2933.0)</f>
        <v>2933</v>
      </c>
      <c r="G16" s="25">
        <f>IFERROR(__xludf.DUMMYFUNCTION("""COMPUTED_VALUE"""),2938.0)</f>
        <v>2938</v>
      </c>
      <c r="H16" s="25">
        <f>IFERROR(__xludf.DUMMYFUNCTION("""COMPUTED_VALUE"""),2941.0)</f>
        <v>2941</v>
      </c>
      <c r="I16" s="25">
        <f>IFERROR(__xludf.DUMMYFUNCTION("""COMPUTED_VALUE"""),2943.0)</f>
        <v>2943</v>
      </c>
      <c r="J16" s="25">
        <f>IFERROR(__xludf.DUMMYFUNCTION("""COMPUTED_VALUE"""),2944.0)</f>
        <v>2944</v>
      </c>
      <c r="K16" s="25">
        <f>IFERROR(__xludf.DUMMYFUNCTION("""COMPUTED_VALUE"""),2945.0)</f>
        <v>2945</v>
      </c>
      <c r="L16" s="25">
        <f>IFERROR(__xludf.DUMMYFUNCTION("""COMPUTED_VALUE"""),2946.0)</f>
        <v>2946</v>
      </c>
      <c r="M16" s="25">
        <f>IFERROR(__xludf.DUMMYFUNCTION("""COMPUTED_VALUE"""),3241.0)</f>
        <v>3241</v>
      </c>
      <c r="P16" s="25">
        <f t="shared" si="3"/>
        <v>2928</v>
      </c>
      <c r="Q16" s="25">
        <f t="shared" ref="Q16:Y16" si="32">E16-D16</f>
        <v>5</v>
      </c>
      <c r="R16" s="25">
        <f t="shared" si="32"/>
        <v>0</v>
      </c>
      <c r="S16" s="25">
        <f t="shared" si="32"/>
        <v>5</v>
      </c>
      <c r="T16" s="25">
        <f t="shared" si="32"/>
        <v>3</v>
      </c>
      <c r="U16" s="25">
        <f t="shared" si="32"/>
        <v>2</v>
      </c>
      <c r="V16" s="25">
        <f t="shared" si="32"/>
        <v>1</v>
      </c>
      <c r="W16" s="25">
        <f t="shared" si="32"/>
        <v>1</v>
      </c>
      <c r="X16" s="25">
        <f t="shared" si="32"/>
        <v>1</v>
      </c>
      <c r="Y16" s="25">
        <f t="shared" si="32"/>
        <v>295</v>
      </c>
      <c r="Z16" s="25">
        <f t="shared" si="5"/>
        <v>3241</v>
      </c>
      <c r="AB16" s="25">
        <f t="shared" ref="AB16:AK16" si="33">P16*(P$1/10)</f>
        <v>2928</v>
      </c>
      <c r="AC16" s="25">
        <f t="shared" si="33"/>
        <v>4.5</v>
      </c>
      <c r="AD16" s="25">
        <f t="shared" si="33"/>
        <v>0</v>
      </c>
      <c r="AE16" s="25">
        <f t="shared" si="33"/>
        <v>3.5</v>
      </c>
      <c r="AF16" s="25">
        <f t="shared" si="33"/>
        <v>1.8</v>
      </c>
      <c r="AG16" s="25">
        <f t="shared" si="33"/>
        <v>1</v>
      </c>
      <c r="AH16" s="25">
        <f t="shared" si="33"/>
        <v>0.4</v>
      </c>
      <c r="AI16" s="25">
        <f t="shared" si="33"/>
        <v>0.3</v>
      </c>
      <c r="AJ16" s="25">
        <f t="shared" si="33"/>
        <v>0.2</v>
      </c>
      <c r="AK16" s="25">
        <f t="shared" si="33"/>
        <v>29.5</v>
      </c>
      <c r="AL16" s="25">
        <f t="shared" si="7"/>
        <v>2969.2</v>
      </c>
    </row>
    <row r="17">
      <c r="A17" s="7" t="s">
        <v>106</v>
      </c>
      <c r="B17" s="25">
        <f>IFERROR(__xludf.DUMMYFUNCTION("split(A17, "" "")"),75.0)</f>
        <v>75</v>
      </c>
      <c r="C17" s="25">
        <f>IFERROR(__xludf.DUMMYFUNCTION("""COMPUTED_VALUE"""),3680.0)</f>
        <v>3680</v>
      </c>
      <c r="D17" s="25">
        <f>IFERROR(__xludf.DUMMYFUNCTION("""COMPUTED_VALUE"""),3680.0)</f>
        <v>3680</v>
      </c>
      <c r="E17" s="25">
        <f>IFERROR(__xludf.DUMMYFUNCTION("""COMPUTED_VALUE"""),3680.0)</f>
        <v>3680</v>
      </c>
      <c r="F17" s="25">
        <f>IFERROR(__xludf.DUMMYFUNCTION("""COMPUTED_VALUE"""),3680.0)</f>
        <v>3680</v>
      </c>
      <c r="G17" s="25">
        <f>IFERROR(__xludf.DUMMYFUNCTION("""COMPUTED_VALUE"""),3683.0)</f>
        <v>3683</v>
      </c>
      <c r="H17" s="25">
        <f>IFERROR(__xludf.DUMMYFUNCTION("""COMPUTED_VALUE"""),3694.0)</f>
        <v>3694</v>
      </c>
      <c r="I17" s="25">
        <f>IFERROR(__xludf.DUMMYFUNCTION("""COMPUTED_VALUE"""),3696.0)</f>
        <v>3696</v>
      </c>
      <c r="J17" s="25">
        <f>IFERROR(__xludf.DUMMYFUNCTION("""COMPUTED_VALUE"""),3697.0)</f>
        <v>3697</v>
      </c>
      <c r="K17" s="25">
        <f>IFERROR(__xludf.DUMMYFUNCTION("""COMPUTED_VALUE"""),3697.0)</f>
        <v>3697</v>
      </c>
      <c r="L17" s="25">
        <f>IFERROR(__xludf.DUMMYFUNCTION("""COMPUTED_VALUE"""),3701.0)</f>
        <v>3701</v>
      </c>
      <c r="M17" s="25">
        <f>IFERROR(__xludf.DUMMYFUNCTION("""COMPUTED_VALUE"""),3703.0)</f>
        <v>3703</v>
      </c>
      <c r="P17" s="25">
        <f t="shared" si="3"/>
        <v>3680</v>
      </c>
      <c r="Q17" s="25">
        <f t="shared" ref="Q17:Y17" si="34">E17-D17</f>
        <v>0</v>
      </c>
      <c r="R17" s="25">
        <f t="shared" si="34"/>
        <v>0</v>
      </c>
      <c r="S17" s="25">
        <f t="shared" si="34"/>
        <v>3</v>
      </c>
      <c r="T17" s="25">
        <f t="shared" si="34"/>
        <v>11</v>
      </c>
      <c r="U17" s="25">
        <f t="shared" si="34"/>
        <v>2</v>
      </c>
      <c r="V17" s="25">
        <f t="shared" si="34"/>
        <v>1</v>
      </c>
      <c r="W17" s="25">
        <f t="shared" si="34"/>
        <v>0</v>
      </c>
      <c r="X17" s="25">
        <f t="shared" si="34"/>
        <v>4</v>
      </c>
      <c r="Y17" s="25">
        <f t="shared" si="34"/>
        <v>2</v>
      </c>
      <c r="Z17" s="25">
        <f t="shared" si="5"/>
        <v>3703</v>
      </c>
      <c r="AB17" s="25">
        <f t="shared" ref="AB17:AK17" si="35">P17*(P$1/10)</f>
        <v>3680</v>
      </c>
      <c r="AC17" s="25">
        <f t="shared" si="35"/>
        <v>0</v>
      </c>
      <c r="AD17" s="25">
        <f t="shared" si="35"/>
        <v>0</v>
      </c>
      <c r="AE17" s="25">
        <f t="shared" si="35"/>
        <v>2.1</v>
      </c>
      <c r="AF17" s="25">
        <f t="shared" si="35"/>
        <v>6.6</v>
      </c>
      <c r="AG17" s="25">
        <f t="shared" si="35"/>
        <v>1</v>
      </c>
      <c r="AH17" s="25">
        <f t="shared" si="35"/>
        <v>0.4</v>
      </c>
      <c r="AI17" s="25">
        <f t="shared" si="35"/>
        <v>0</v>
      </c>
      <c r="AJ17" s="25">
        <f t="shared" si="35"/>
        <v>0.8</v>
      </c>
      <c r="AK17" s="25">
        <f t="shared" si="35"/>
        <v>0.2</v>
      </c>
      <c r="AL17" s="25">
        <f t="shared" si="7"/>
        <v>3691.1</v>
      </c>
    </row>
    <row r="18">
      <c r="A18" s="7" t="s">
        <v>107</v>
      </c>
      <c r="B18" s="25">
        <f>IFERROR(__xludf.DUMMYFUNCTION("split(A18, "" "")"),76.0)</f>
        <v>76</v>
      </c>
      <c r="C18" s="25">
        <f>IFERROR(__xludf.DUMMYFUNCTION("""COMPUTED_VALUE"""),5260.0)</f>
        <v>5260</v>
      </c>
      <c r="D18" s="25">
        <f>IFERROR(__xludf.DUMMYFUNCTION("""COMPUTED_VALUE"""),5264.0)</f>
        <v>5264</v>
      </c>
      <c r="E18" s="25">
        <f>IFERROR(__xludf.DUMMYFUNCTION("""COMPUTED_VALUE"""),5268.0)</f>
        <v>5268</v>
      </c>
      <c r="F18" s="25">
        <f>IFERROR(__xludf.DUMMYFUNCTION("""COMPUTED_VALUE"""),5276.0)</f>
        <v>5276</v>
      </c>
      <c r="G18" s="25">
        <f>IFERROR(__xludf.DUMMYFUNCTION("""COMPUTED_VALUE"""),5281.0)</f>
        <v>5281</v>
      </c>
      <c r="H18" s="25">
        <f>IFERROR(__xludf.DUMMYFUNCTION("""COMPUTED_VALUE"""),5285.0)</f>
        <v>5285</v>
      </c>
      <c r="I18" s="25">
        <f>IFERROR(__xludf.DUMMYFUNCTION("""COMPUTED_VALUE"""),5292.0)</f>
        <v>5292</v>
      </c>
      <c r="J18" s="25">
        <f>IFERROR(__xludf.DUMMYFUNCTION("""COMPUTED_VALUE"""),5294.0)</f>
        <v>5294</v>
      </c>
      <c r="K18" s="25">
        <f>IFERROR(__xludf.DUMMYFUNCTION("""COMPUTED_VALUE"""),5297.0)</f>
        <v>5297</v>
      </c>
      <c r="L18" s="25">
        <f>IFERROR(__xludf.DUMMYFUNCTION("""COMPUTED_VALUE"""),5361.0)</f>
        <v>5361</v>
      </c>
      <c r="M18" s="25">
        <f>IFERROR(__xludf.DUMMYFUNCTION("""COMPUTED_VALUE"""),6906.0)</f>
        <v>6906</v>
      </c>
      <c r="P18" s="25">
        <f t="shared" si="3"/>
        <v>5264</v>
      </c>
      <c r="Q18" s="25">
        <f t="shared" ref="Q18:Y18" si="36">E18-D18</f>
        <v>4</v>
      </c>
      <c r="R18" s="25">
        <f t="shared" si="36"/>
        <v>8</v>
      </c>
      <c r="S18" s="25">
        <f t="shared" si="36"/>
        <v>5</v>
      </c>
      <c r="T18" s="25">
        <f t="shared" si="36"/>
        <v>4</v>
      </c>
      <c r="U18" s="25">
        <f t="shared" si="36"/>
        <v>7</v>
      </c>
      <c r="V18" s="25">
        <f t="shared" si="36"/>
        <v>2</v>
      </c>
      <c r="W18" s="25">
        <f t="shared" si="36"/>
        <v>3</v>
      </c>
      <c r="X18" s="25">
        <f t="shared" si="36"/>
        <v>64</v>
      </c>
      <c r="Y18" s="25">
        <f t="shared" si="36"/>
        <v>1545</v>
      </c>
      <c r="Z18" s="25">
        <f t="shared" si="5"/>
        <v>6906</v>
      </c>
      <c r="AB18" s="25">
        <f t="shared" ref="AB18:AK18" si="37">P18*(P$1/10)</f>
        <v>5264</v>
      </c>
      <c r="AC18" s="25">
        <f t="shared" si="37"/>
        <v>3.6</v>
      </c>
      <c r="AD18" s="25">
        <f t="shared" si="37"/>
        <v>6.4</v>
      </c>
      <c r="AE18" s="25">
        <f t="shared" si="37"/>
        <v>3.5</v>
      </c>
      <c r="AF18" s="25">
        <f t="shared" si="37"/>
        <v>2.4</v>
      </c>
      <c r="AG18" s="25">
        <f t="shared" si="37"/>
        <v>3.5</v>
      </c>
      <c r="AH18" s="25">
        <f t="shared" si="37"/>
        <v>0.8</v>
      </c>
      <c r="AI18" s="25">
        <f t="shared" si="37"/>
        <v>0.9</v>
      </c>
      <c r="AJ18" s="25">
        <f t="shared" si="37"/>
        <v>12.8</v>
      </c>
      <c r="AK18" s="25">
        <f t="shared" si="37"/>
        <v>154.5</v>
      </c>
      <c r="AL18" s="25">
        <f t="shared" si="7"/>
        <v>5452.4</v>
      </c>
    </row>
    <row r="19">
      <c r="A19" s="7" t="s">
        <v>108</v>
      </c>
      <c r="B19" s="25">
        <f>IFERROR(__xludf.DUMMYFUNCTION("split(A19, "" "")"),77.0)</f>
        <v>77</v>
      </c>
      <c r="C19" s="25">
        <f>IFERROR(__xludf.DUMMYFUNCTION("""COMPUTED_VALUE"""),5473.0)</f>
        <v>5473</v>
      </c>
      <c r="D19" s="25">
        <f>IFERROR(__xludf.DUMMYFUNCTION("""COMPUTED_VALUE"""),5474.0)</f>
        <v>5474</v>
      </c>
      <c r="E19" s="25">
        <f>IFERROR(__xludf.DUMMYFUNCTION("""COMPUTED_VALUE"""),5474.0)</f>
        <v>5474</v>
      </c>
      <c r="F19" s="25">
        <f>IFERROR(__xludf.DUMMYFUNCTION("""COMPUTED_VALUE"""),5477.0)</f>
        <v>5477</v>
      </c>
      <c r="G19" s="25">
        <f>IFERROR(__xludf.DUMMYFUNCTION("""COMPUTED_VALUE"""),5479.0)</f>
        <v>5479</v>
      </c>
      <c r="H19" s="25">
        <f>IFERROR(__xludf.DUMMYFUNCTION("""COMPUTED_VALUE"""),5496.0)</f>
        <v>5496</v>
      </c>
      <c r="I19" s="25">
        <f>IFERROR(__xludf.DUMMYFUNCTION("""COMPUTED_VALUE"""),5499.0)</f>
        <v>5499</v>
      </c>
      <c r="J19" s="25">
        <f>IFERROR(__xludf.DUMMYFUNCTION("""COMPUTED_VALUE"""),5501.0)</f>
        <v>5501</v>
      </c>
      <c r="K19" s="25">
        <f>IFERROR(__xludf.DUMMYFUNCTION("""COMPUTED_VALUE"""),5506.0)</f>
        <v>5506</v>
      </c>
      <c r="L19" s="25">
        <f>IFERROR(__xludf.DUMMYFUNCTION("""COMPUTED_VALUE"""),5508.0)</f>
        <v>5508</v>
      </c>
      <c r="M19" s="25">
        <f>IFERROR(__xludf.DUMMYFUNCTION("""COMPUTED_VALUE"""),7732.0)</f>
        <v>7732</v>
      </c>
      <c r="P19" s="25">
        <f t="shared" si="3"/>
        <v>5474</v>
      </c>
      <c r="Q19" s="25">
        <f t="shared" ref="Q19:Y19" si="38">E19-D19</f>
        <v>0</v>
      </c>
      <c r="R19" s="25">
        <f t="shared" si="38"/>
        <v>3</v>
      </c>
      <c r="S19" s="25">
        <f t="shared" si="38"/>
        <v>2</v>
      </c>
      <c r="T19" s="25">
        <f t="shared" si="38"/>
        <v>17</v>
      </c>
      <c r="U19" s="25">
        <f t="shared" si="38"/>
        <v>3</v>
      </c>
      <c r="V19" s="25">
        <f t="shared" si="38"/>
        <v>2</v>
      </c>
      <c r="W19" s="25">
        <f t="shared" si="38"/>
        <v>5</v>
      </c>
      <c r="X19" s="25">
        <f t="shared" si="38"/>
        <v>2</v>
      </c>
      <c r="Y19" s="25">
        <f t="shared" si="38"/>
        <v>2224</v>
      </c>
      <c r="Z19" s="25">
        <f t="shared" si="5"/>
        <v>7732</v>
      </c>
      <c r="AB19" s="25">
        <f t="shared" ref="AB19:AK19" si="39">P19*(P$1/10)</f>
        <v>5474</v>
      </c>
      <c r="AC19" s="25">
        <f t="shared" si="39"/>
        <v>0</v>
      </c>
      <c r="AD19" s="25">
        <f t="shared" si="39"/>
        <v>2.4</v>
      </c>
      <c r="AE19" s="25">
        <f t="shared" si="39"/>
        <v>1.4</v>
      </c>
      <c r="AF19" s="25">
        <f t="shared" si="39"/>
        <v>10.2</v>
      </c>
      <c r="AG19" s="25">
        <f t="shared" si="39"/>
        <v>1.5</v>
      </c>
      <c r="AH19" s="25">
        <f t="shared" si="39"/>
        <v>0.8</v>
      </c>
      <c r="AI19" s="25">
        <f t="shared" si="39"/>
        <v>1.5</v>
      </c>
      <c r="AJ19" s="25">
        <f t="shared" si="39"/>
        <v>0.4</v>
      </c>
      <c r="AK19" s="25">
        <f t="shared" si="39"/>
        <v>222.4</v>
      </c>
      <c r="AL19" s="25">
        <f t="shared" si="7"/>
        <v>5714.6</v>
      </c>
    </row>
    <row r="20">
      <c r="A20" s="7" t="s">
        <v>109</v>
      </c>
      <c r="B20" s="25">
        <f>IFERROR(__xludf.DUMMYFUNCTION("split(A20, "" "")"),78.0)</f>
        <v>78</v>
      </c>
      <c r="C20" s="25">
        <f>IFERROR(__xludf.DUMMYFUNCTION("""COMPUTED_VALUE"""),6230.0)</f>
        <v>6230</v>
      </c>
      <c r="D20" s="25">
        <f>IFERROR(__xludf.DUMMYFUNCTION("""COMPUTED_VALUE"""),6233.0)</f>
        <v>6233</v>
      </c>
      <c r="E20" s="25">
        <f>IFERROR(__xludf.DUMMYFUNCTION("""COMPUTED_VALUE"""),6233.0)</f>
        <v>6233</v>
      </c>
      <c r="F20" s="25">
        <f>IFERROR(__xludf.DUMMYFUNCTION("""COMPUTED_VALUE"""),6236.0)</f>
        <v>6236</v>
      </c>
      <c r="G20" s="25">
        <f>IFERROR(__xludf.DUMMYFUNCTION("""COMPUTED_VALUE"""),6240.0)</f>
        <v>6240</v>
      </c>
      <c r="H20" s="25">
        <f>IFERROR(__xludf.DUMMYFUNCTION("""COMPUTED_VALUE"""),6258.0)</f>
        <v>6258</v>
      </c>
      <c r="I20" s="25">
        <f>IFERROR(__xludf.DUMMYFUNCTION("""COMPUTED_VALUE"""),6263.0)</f>
        <v>6263</v>
      </c>
      <c r="J20" s="25">
        <f>IFERROR(__xludf.DUMMYFUNCTION("""COMPUTED_VALUE"""),6268.0)</f>
        <v>6268</v>
      </c>
      <c r="K20" s="25">
        <f>IFERROR(__xludf.DUMMYFUNCTION("""COMPUTED_VALUE"""),6270.0)</f>
        <v>6270</v>
      </c>
      <c r="L20" s="25">
        <f>IFERROR(__xludf.DUMMYFUNCTION("""COMPUTED_VALUE"""),6278.0)</f>
        <v>6278</v>
      </c>
      <c r="M20" s="25">
        <f>IFERROR(__xludf.DUMMYFUNCTION("""COMPUTED_VALUE"""),14389.0)</f>
        <v>14389</v>
      </c>
      <c r="P20" s="25">
        <f t="shared" si="3"/>
        <v>6233</v>
      </c>
      <c r="Q20" s="25">
        <f t="shared" ref="Q20:Y20" si="40">E20-D20</f>
        <v>0</v>
      </c>
      <c r="R20" s="25">
        <f t="shared" si="40"/>
        <v>3</v>
      </c>
      <c r="S20" s="25">
        <f t="shared" si="40"/>
        <v>4</v>
      </c>
      <c r="T20" s="25">
        <f t="shared" si="40"/>
        <v>18</v>
      </c>
      <c r="U20" s="25">
        <f t="shared" si="40"/>
        <v>5</v>
      </c>
      <c r="V20" s="25">
        <f t="shared" si="40"/>
        <v>5</v>
      </c>
      <c r="W20" s="25">
        <f t="shared" si="40"/>
        <v>2</v>
      </c>
      <c r="X20" s="25">
        <f t="shared" si="40"/>
        <v>8</v>
      </c>
      <c r="Y20" s="25">
        <f t="shared" si="40"/>
        <v>8111</v>
      </c>
      <c r="Z20" s="25">
        <f t="shared" si="5"/>
        <v>14389</v>
      </c>
      <c r="AB20" s="25">
        <f t="shared" ref="AB20:AK20" si="41">P20*(P$1/10)</f>
        <v>6233</v>
      </c>
      <c r="AC20" s="25">
        <f t="shared" si="41"/>
        <v>0</v>
      </c>
      <c r="AD20" s="25">
        <f t="shared" si="41"/>
        <v>2.4</v>
      </c>
      <c r="AE20" s="25">
        <f t="shared" si="41"/>
        <v>2.8</v>
      </c>
      <c r="AF20" s="25">
        <f t="shared" si="41"/>
        <v>10.8</v>
      </c>
      <c r="AG20" s="25">
        <f t="shared" si="41"/>
        <v>2.5</v>
      </c>
      <c r="AH20" s="25">
        <f t="shared" si="41"/>
        <v>2</v>
      </c>
      <c r="AI20" s="25">
        <f t="shared" si="41"/>
        <v>0.6</v>
      </c>
      <c r="AJ20" s="25">
        <f t="shared" si="41"/>
        <v>1.6</v>
      </c>
      <c r="AK20" s="25">
        <f t="shared" si="41"/>
        <v>811.1</v>
      </c>
      <c r="AL20" s="25">
        <f t="shared" si="7"/>
        <v>7066.8</v>
      </c>
    </row>
    <row r="21">
      <c r="A21" s="7" t="s">
        <v>110</v>
      </c>
      <c r="B21" s="25">
        <f>IFERROR(__xludf.DUMMYFUNCTION("split(A21, "" "")"),79.0)</f>
        <v>79</v>
      </c>
      <c r="C21" s="25">
        <f>IFERROR(__xludf.DUMMYFUNCTION("""COMPUTED_VALUE"""),8234.0)</f>
        <v>8234</v>
      </c>
      <c r="D21" s="25">
        <f>IFERROR(__xludf.DUMMYFUNCTION("""COMPUTED_VALUE"""),8236.0)</f>
        <v>8236</v>
      </c>
      <c r="E21" s="25">
        <f>IFERROR(__xludf.DUMMYFUNCTION("""COMPUTED_VALUE"""),8241.0)</f>
        <v>8241</v>
      </c>
      <c r="F21" s="25">
        <f>IFERROR(__xludf.DUMMYFUNCTION("""COMPUTED_VALUE"""),8241.0)</f>
        <v>8241</v>
      </c>
      <c r="G21" s="25">
        <f>IFERROR(__xludf.DUMMYFUNCTION("""COMPUTED_VALUE"""),8252.0)</f>
        <v>8252</v>
      </c>
      <c r="H21" s="25">
        <f>IFERROR(__xludf.DUMMYFUNCTION("""COMPUTED_VALUE"""),8271.0)</f>
        <v>8271</v>
      </c>
      <c r="I21" s="25">
        <f>IFERROR(__xludf.DUMMYFUNCTION("""COMPUTED_VALUE"""),8273.0)</f>
        <v>8273</v>
      </c>
      <c r="J21" s="25">
        <f>IFERROR(__xludf.DUMMYFUNCTION("""COMPUTED_VALUE"""),8277.0)</f>
        <v>8277</v>
      </c>
      <c r="K21" s="25">
        <f>IFERROR(__xludf.DUMMYFUNCTION("""COMPUTED_VALUE"""),8279.0)</f>
        <v>8279</v>
      </c>
      <c r="L21" s="25">
        <f>IFERROR(__xludf.DUMMYFUNCTION("""COMPUTED_VALUE"""),8286.0)</f>
        <v>8286</v>
      </c>
      <c r="M21" s="25">
        <f>IFERROR(__xludf.DUMMYFUNCTION("""COMPUTED_VALUE"""),8372.0)</f>
        <v>8372</v>
      </c>
      <c r="P21" s="25">
        <f t="shared" si="3"/>
        <v>8236</v>
      </c>
      <c r="Q21" s="25">
        <f t="shared" ref="Q21:Y21" si="42">E21-D21</f>
        <v>5</v>
      </c>
      <c r="R21" s="25">
        <f t="shared" si="42"/>
        <v>0</v>
      </c>
      <c r="S21" s="25">
        <f t="shared" si="42"/>
        <v>11</v>
      </c>
      <c r="T21" s="25">
        <f t="shared" si="42"/>
        <v>19</v>
      </c>
      <c r="U21" s="25">
        <f t="shared" si="42"/>
        <v>2</v>
      </c>
      <c r="V21" s="25">
        <f t="shared" si="42"/>
        <v>4</v>
      </c>
      <c r="W21" s="25">
        <f t="shared" si="42"/>
        <v>2</v>
      </c>
      <c r="X21" s="25">
        <f t="shared" si="42"/>
        <v>7</v>
      </c>
      <c r="Y21" s="25">
        <f t="shared" si="42"/>
        <v>86</v>
      </c>
      <c r="Z21" s="25">
        <f t="shared" si="5"/>
        <v>8372</v>
      </c>
      <c r="AB21" s="25">
        <f t="shared" ref="AB21:AK21" si="43">P21*(P$1/10)</f>
        <v>8236</v>
      </c>
      <c r="AC21" s="25">
        <f t="shared" si="43"/>
        <v>4.5</v>
      </c>
      <c r="AD21" s="25">
        <f t="shared" si="43"/>
        <v>0</v>
      </c>
      <c r="AE21" s="25">
        <f t="shared" si="43"/>
        <v>7.7</v>
      </c>
      <c r="AF21" s="25">
        <f t="shared" si="43"/>
        <v>11.4</v>
      </c>
      <c r="AG21" s="25">
        <f t="shared" si="43"/>
        <v>1</v>
      </c>
      <c r="AH21" s="25">
        <f t="shared" si="43"/>
        <v>1.6</v>
      </c>
      <c r="AI21" s="25">
        <f t="shared" si="43"/>
        <v>0.6</v>
      </c>
      <c r="AJ21" s="25">
        <f t="shared" si="43"/>
        <v>1.4</v>
      </c>
      <c r="AK21" s="25">
        <f t="shared" si="43"/>
        <v>8.6</v>
      </c>
      <c r="AL21" s="25">
        <f t="shared" si="7"/>
        <v>8272.8</v>
      </c>
    </row>
    <row r="22">
      <c r="A22" s="7" t="s">
        <v>111</v>
      </c>
      <c r="B22" s="25">
        <f>IFERROR(__xludf.DUMMYFUNCTION("split(A22, "" "")"),80.0)</f>
        <v>80</v>
      </c>
      <c r="C22" s="25">
        <f>IFERROR(__xludf.DUMMYFUNCTION("""COMPUTED_VALUE"""),10938.0)</f>
        <v>10938</v>
      </c>
      <c r="D22" s="25">
        <f>IFERROR(__xludf.DUMMYFUNCTION("""COMPUTED_VALUE"""),10938.0)</f>
        <v>10938</v>
      </c>
      <c r="E22" s="25">
        <f>IFERROR(__xludf.DUMMYFUNCTION("""COMPUTED_VALUE"""),10945.0)</f>
        <v>10945</v>
      </c>
      <c r="F22" s="25">
        <f>IFERROR(__xludf.DUMMYFUNCTION("""COMPUTED_VALUE"""),10954.0)</f>
        <v>10954</v>
      </c>
      <c r="G22" s="25">
        <f>IFERROR(__xludf.DUMMYFUNCTION("""COMPUTED_VALUE"""),10976.0)</f>
        <v>10976</v>
      </c>
      <c r="H22" s="25">
        <f>IFERROR(__xludf.DUMMYFUNCTION("""COMPUTED_VALUE"""),10987.0)</f>
        <v>10987</v>
      </c>
      <c r="I22" s="25">
        <f>IFERROR(__xludf.DUMMYFUNCTION("""COMPUTED_VALUE"""),10988.0)</f>
        <v>10988</v>
      </c>
      <c r="J22" s="25">
        <f>IFERROR(__xludf.DUMMYFUNCTION("""COMPUTED_VALUE"""),10993.0)</f>
        <v>10993</v>
      </c>
      <c r="K22" s="25">
        <f>IFERROR(__xludf.DUMMYFUNCTION("""COMPUTED_VALUE"""),10993.0)</f>
        <v>10993</v>
      </c>
      <c r="L22" s="25">
        <f>IFERROR(__xludf.DUMMYFUNCTION("""COMPUTED_VALUE"""),11202.0)</f>
        <v>11202</v>
      </c>
      <c r="M22" s="25">
        <f>IFERROR(__xludf.DUMMYFUNCTION("""COMPUTED_VALUE"""),14813.0)</f>
        <v>14813</v>
      </c>
      <c r="P22" s="25">
        <f t="shared" si="3"/>
        <v>10938</v>
      </c>
      <c r="Q22" s="25">
        <f t="shared" ref="Q22:Y22" si="44">E22-D22</f>
        <v>7</v>
      </c>
      <c r="R22" s="25">
        <f t="shared" si="44"/>
        <v>9</v>
      </c>
      <c r="S22" s="25">
        <f t="shared" si="44"/>
        <v>22</v>
      </c>
      <c r="T22" s="25">
        <f t="shared" si="44"/>
        <v>11</v>
      </c>
      <c r="U22" s="25">
        <f t="shared" si="44"/>
        <v>1</v>
      </c>
      <c r="V22" s="25">
        <f t="shared" si="44"/>
        <v>5</v>
      </c>
      <c r="W22" s="25">
        <f t="shared" si="44"/>
        <v>0</v>
      </c>
      <c r="X22" s="25">
        <f t="shared" si="44"/>
        <v>209</v>
      </c>
      <c r="Y22" s="25">
        <f t="shared" si="44"/>
        <v>3611</v>
      </c>
      <c r="Z22" s="25">
        <f t="shared" si="5"/>
        <v>14813</v>
      </c>
      <c r="AB22" s="25">
        <f t="shared" ref="AB22:AK22" si="45">P22*(P$1/10)</f>
        <v>10938</v>
      </c>
      <c r="AC22" s="25">
        <f t="shared" si="45"/>
        <v>6.3</v>
      </c>
      <c r="AD22" s="25">
        <f t="shared" si="45"/>
        <v>7.2</v>
      </c>
      <c r="AE22" s="25">
        <f t="shared" si="45"/>
        <v>15.4</v>
      </c>
      <c r="AF22" s="25">
        <f t="shared" si="45"/>
        <v>6.6</v>
      </c>
      <c r="AG22" s="25">
        <f t="shared" si="45"/>
        <v>0.5</v>
      </c>
      <c r="AH22" s="25">
        <f t="shared" si="45"/>
        <v>2</v>
      </c>
      <c r="AI22" s="25">
        <f t="shared" si="45"/>
        <v>0</v>
      </c>
      <c r="AJ22" s="25">
        <f t="shared" si="45"/>
        <v>41.8</v>
      </c>
      <c r="AK22" s="25">
        <f t="shared" si="45"/>
        <v>361.1</v>
      </c>
      <c r="AL22" s="25">
        <f t="shared" si="7"/>
        <v>11378.9</v>
      </c>
    </row>
    <row r="23">
      <c r="A23" s="7" t="s">
        <v>112</v>
      </c>
      <c r="B23" s="25">
        <f>IFERROR(__xludf.DUMMYFUNCTION("split(A23, "" "")"),81.0)</f>
        <v>81</v>
      </c>
      <c r="C23" s="25">
        <f>IFERROR(__xludf.DUMMYFUNCTION("""COMPUTED_VALUE"""),12754.0)</f>
        <v>12754</v>
      </c>
      <c r="D23" s="25">
        <f>IFERROR(__xludf.DUMMYFUNCTION("""COMPUTED_VALUE"""),12754.0)</f>
        <v>12754</v>
      </c>
      <c r="E23" s="25">
        <f>IFERROR(__xludf.DUMMYFUNCTION("""COMPUTED_VALUE"""),12755.0)</f>
        <v>12755</v>
      </c>
      <c r="F23" s="25">
        <f>IFERROR(__xludf.DUMMYFUNCTION("""COMPUTED_VALUE"""),12755.0)</f>
        <v>12755</v>
      </c>
      <c r="G23" s="25">
        <f>IFERROR(__xludf.DUMMYFUNCTION("""COMPUTED_VALUE"""),12761.0)</f>
        <v>12761</v>
      </c>
      <c r="H23" s="25">
        <f>IFERROR(__xludf.DUMMYFUNCTION("""COMPUTED_VALUE"""),12804.0)</f>
        <v>12804</v>
      </c>
      <c r="I23" s="25">
        <f>IFERROR(__xludf.DUMMYFUNCTION("""COMPUTED_VALUE"""),12808.0)</f>
        <v>12808</v>
      </c>
      <c r="J23" s="25">
        <f>IFERROR(__xludf.DUMMYFUNCTION("""COMPUTED_VALUE"""),12811.0)</f>
        <v>12811</v>
      </c>
      <c r="K23" s="25">
        <f>IFERROR(__xludf.DUMMYFUNCTION("""COMPUTED_VALUE"""),12816.0)</f>
        <v>12816</v>
      </c>
      <c r="L23" s="25">
        <f>IFERROR(__xludf.DUMMYFUNCTION("""COMPUTED_VALUE"""),12825.0)</f>
        <v>12825</v>
      </c>
      <c r="M23" s="25">
        <f>IFERROR(__xludf.DUMMYFUNCTION("""COMPUTED_VALUE"""),16019.0)</f>
        <v>16019</v>
      </c>
      <c r="P23" s="25">
        <f t="shared" si="3"/>
        <v>12754</v>
      </c>
      <c r="Q23" s="25">
        <f t="shared" ref="Q23:Y23" si="46">E23-D23</f>
        <v>1</v>
      </c>
      <c r="R23" s="25">
        <f t="shared" si="46"/>
        <v>0</v>
      </c>
      <c r="S23" s="25">
        <f t="shared" si="46"/>
        <v>6</v>
      </c>
      <c r="T23" s="25">
        <f t="shared" si="46"/>
        <v>43</v>
      </c>
      <c r="U23" s="25">
        <f t="shared" si="46"/>
        <v>4</v>
      </c>
      <c r="V23" s="25">
        <f t="shared" si="46"/>
        <v>3</v>
      </c>
      <c r="W23" s="25">
        <f t="shared" si="46"/>
        <v>5</v>
      </c>
      <c r="X23" s="25">
        <f t="shared" si="46"/>
        <v>9</v>
      </c>
      <c r="Y23" s="25">
        <f t="shared" si="46"/>
        <v>3194</v>
      </c>
      <c r="Z23" s="25">
        <f t="shared" si="5"/>
        <v>16019</v>
      </c>
      <c r="AB23" s="25">
        <f t="shared" ref="AB23:AK23" si="47">P23*(P$1/10)</f>
        <v>12754</v>
      </c>
      <c r="AC23" s="25">
        <f t="shared" si="47"/>
        <v>0.9</v>
      </c>
      <c r="AD23" s="25">
        <f t="shared" si="47"/>
        <v>0</v>
      </c>
      <c r="AE23" s="25">
        <f t="shared" si="47"/>
        <v>4.2</v>
      </c>
      <c r="AF23" s="25">
        <f t="shared" si="47"/>
        <v>25.8</v>
      </c>
      <c r="AG23" s="25">
        <f t="shared" si="47"/>
        <v>2</v>
      </c>
      <c r="AH23" s="25">
        <f t="shared" si="47"/>
        <v>1.2</v>
      </c>
      <c r="AI23" s="25">
        <f t="shared" si="47"/>
        <v>1.5</v>
      </c>
      <c r="AJ23" s="25">
        <f t="shared" si="47"/>
        <v>1.8</v>
      </c>
      <c r="AK23" s="25">
        <f t="shared" si="47"/>
        <v>319.4</v>
      </c>
      <c r="AL23" s="25">
        <f t="shared" si="7"/>
        <v>13110.8</v>
      </c>
    </row>
    <row r="24">
      <c r="A24" s="7" t="s">
        <v>113</v>
      </c>
      <c r="B24" s="25">
        <f>IFERROR(__xludf.DUMMYFUNCTION("split(A24, "" "")"),82.0)</f>
        <v>82</v>
      </c>
      <c r="C24" s="25">
        <f>IFERROR(__xludf.DUMMYFUNCTION("""COMPUTED_VALUE"""),14024.0)</f>
        <v>14024</v>
      </c>
      <c r="D24" s="25">
        <f>IFERROR(__xludf.DUMMYFUNCTION("""COMPUTED_VALUE"""),14025.0)</f>
        <v>14025</v>
      </c>
      <c r="E24" s="25">
        <f>IFERROR(__xludf.DUMMYFUNCTION("""COMPUTED_VALUE"""),14025.0)</f>
        <v>14025</v>
      </c>
      <c r="F24" s="25">
        <f>IFERROR(__xludf.DUMMYFUNCTION("""COMPUTED_VALUE"""),14027.0)</f>
        <v>14027</v>
      </c>
      <c r="G24" s="25">
        <f>IFERROR(__xludf.DUMMYFUNCTION("""COMPUTED_VALUE"""),14037.0)</f>
        <v>14037</v>
      </c>
      <c r="H24" s="25">
        <f>IFERROR(__xludf.DUMMYFUNCTION("""COMPUTED_VALUE"""),14077.0)</f>
        <v>14077</v>
      </c>
      <c r="I24" s="25">
        <f>IFERROR(__xludf.DUMMYFUNCTION("""COMPUTED_VALUE"""),14085.0)</f>
        <v>14085</v>
      </c>
      <c r="J24" s="25">
        <f>IFERROR(__xludf.DUMMYFUNCTION("""COMPUTED_VALUE"""),14086.0)</f>
        <v>14086</v>
      </c>
      <c r="K24" s="25">
        <f>IFERROR(__xludf.DUMMYFUNCTION("""COMPUTED_VALUE"""),14088.0)</f>
        <v>14088</v>
      </c>
      <c r="L24" s="25">
        <f>IFERROR(__xludf.DUMMYFUNCTION("""COMPUTED_VALUE"""),14092.0)</f>
        <v>14092</v>
      </c>
      <c r="M24" s="25">
        <f>IFERROR(__xludf.DUMMYFUNCTION("""COMPUTED_VALUE"""),20262.0)</f>
        <v>20262</v>
      </c>
      <c r="P24" s="25">
        <f t="shared" si="3"/>
        <v>14025</v>
      </c>
      <c r="Q24" s="25">
        <f t="shared" ref="Q24:Y24" si="48">E24-D24</f>
        <v>0</v>
      </c>
      <c r="R24" s="25">
        <f t="shared" si="48"/>
        <v>2</v>
      </c>
      <c r="S24" s="25">
        <f t="shared" si="48"/>
        <v>10</v>
      </c>
      <c r="T24" s="25">
        <f t="shared" si="48"/>
        <v>40</v>
      </c>
      <c r="U24" s="25">
        <f t="shared" si="48"/>
        <v>8</v>
      </c>
      <c r="V24" s="25">
        <f t="shared" si="48"/>
        <v>1</v>
      </c>
      <c r="W24" s="25">
        <f t="shared" si="48"/>
        <v>2</v>
      </c>
      <c r="X24" s="25">
        <f t="shared" si="48"/>
        <v>4</v>
      </c>
      <c r="Y24" s="25">
        <f t="shared" si="48"/>
        <v>6170</v>
      </c>
      <c r="Z24" s="25">
        <f t="shared" si="5"/>
        <v>20262</v>
      </c>
      <c r="AB24" s="25">
        <f t="shared" ref="AB24:AK24" si="49">P24*(P$1/10)</f>
        <v>14025</v>
      </c>
      <c r="AC24" s="25">
        <f t="shared" si="49"/>
        <v>0</v>
      </c>
      <c r="AD24" s="25">
        <f t="shared" si="49"/>
        <v>1.6</v>
      </c>
      <c r="AE24" s="25">
        <f t="shared" si="49"/>
        <v>7</v>
      </c>
      <c r="AF24" s="25">
        <f t="shared" si="49"/>
        <v>24</v>
      </c>
      <c r="AG24" s="25">
        <f t="shared" si="49"/>
        <v>4</v>
      </c>
      <c r="AH24" s="25">
        <f t="shared" si="49"/>
        <v>0.4</v>
      </c>
      <c r="AI24" s="25">
        <f t="shared" si="49"/>
        <v>0.6</v>
      </c>
      <c r="AJ24" s="25">
        <f t="shared" si="49"/>
        <v>0.8</v>
      </c>
      <c r="AK24" s="25">
        <f t="shared" si="49"/>
        <v>617</v>
      </c>
      <c r="AL24" s="25">
        <f t="shared" si="7"/>
        <v>14680.4</v>
      </c>
    </row>
    <row r="25">
      <c r="A25" s="7" t="s">
        <v>114</v>
      </c>
      <c r="B25" s="25">
        <f>IFERROR(__xludf.DUMMYFUNCTION("split(A25, "" "")"),83.0)</f>
        <v>83</v>
      </c>
      <c r="C25" s="25">
        <f>IFERROR(__xludf.DUMMYFUNCTION("""COMPUTED_VALUE"""),18859.0)</f>
        <v>18859</v>
      </c>
      <c r="D25" s="25">
        <f>IFERROR(__xludf.DUMMYFUNCTION("""COMPUTED_VALUE"""),18875.0)</f>
        <v>18875</v>
      </c>
      <c r="E25" s="25">
        <f>IFERROR(__xludf.DUMMYFUNCTION("""COMPUTED_VALUE"""),18876.0)</f>
        <v>18876</v>
      </c>
      <c r="F25" s="25">
        <f>IFERROR(__xludf.DUMMYFUNCTION("""COMPUTED_VALUE"""),18884.0)</f>
        <v>18884</v>
      </c>
      <c r="G25" s="25">
        <f>IFERROR(__xludf.DUMMYFUNCTION("""COMPUTED_VALUE"""),18932.0)</f>
        <v>18932</v>
      </c>
      <c r="H25" s="25">
        <f>IFERROR(__xludf.DUMMYFUNCTION("""COMPUTED_VALUE"""),18940.0)</f>
        <v>18940</v>
      </c>
      <c r="I25" s="25">
        <f>IFERROR(__xludf.DUMMYFUNCTION("""COMPUTED_VALUE"""),18944.0)</f>
        <v>18944</v>
      </c>
      <c r="J25" s="25">
        <f>IFERROR(__xludf.DUMMYFUNCTION("""COMPUTED_VALUE"""),18947.0)</f>
        <v>18947</v>
      </c>
      <c r="K25" s="25">
        <f>IFERROR(__xludf.DUMMYFUNCTION("""COMPUTED_VALUE"""),18958.0)</f>
        <v>18958</v>
      </c>
      <c r="L25" s="25">
        <f>IFERROR(__xludf.DUMMYFUNCTION("""COMPUTED_VALUE"""),20472.0)</f>
        <v>20472</v>
      </c>
      <c r="M25" s="25">
        <f>IFERROR(__xludf.DUMMYFUNCTION("""COMPUTED_VALUE"""),43908.0)</f>
        <v>43908</v>
      </c>
      <c r="P25" s="25">
        <f t="shared" si="3"/>
        <v>18875</v>
      </c>
      <c r="Q25" s="25">
        <f t="shared" ref="Q25:Y25" si="50">E25-D25</f>
        <v>1</v>
      </c>
      <c r="R25" s="25">
        <f t="shared" si="50"/>
        <v>8</v>
      </c>
      <c r="S25" s="25">
        <f t="shared" si="50"/>
        <v>48</v>
      </c>
      <c r="T25" s="25">
        <f t="shared" si="50"/>
        <v>8</v>
      </c>
      <c r="U25" s="25">
        <f t="shared" si="50"/>
        <v>4</v>
      </c>
      <c r="V25" s="25">
        <f t="shared" si="50"/>
        <v>3</v>
      </c>
      <c r="W25" s="25">
        <f t="shared" si="50"/>
        <v>11</v>
      </c>
      <c r="X25" s="25">
        <f t="shared" si="50"/>
        <v>1514</v>
      </c>
      <c r="Y25" s="25">
        <f t="shared" si="50"/>
        <v>23436</v>
      </c>
      <c r="Z25" s="25">
        <f t="shared" si="5"/>
        <v>43908</v>
      </c>
      <c r="AB25" s="25">
        <f t="shared" ref="AB25:AK25" si="51">P25*(P$1/10)</f>
        <v>18875</v>
      </c>
      <c r="AC25" s="25">
        <f t="shared" si="51"/>
        <v>0.9</v>
      </c>
      <c r="AD25" s="25">
        <f t="shared" si="51"/>
        <v>6.4</v>
      </c>
      <c r="AE25" s="25">
        <f t="shared" si="51"/>
        <v>33.6</v>
      </c>
      <c r="AF25" s="25">
        <f t="shared" si="51"/>
        <v>4.8</v>
      </c>
      <c r="AG25" s="25">
        <f t="shared" si="51"/>
        <v>2</v>
      </c>
      <c r="AH25" s="25">
        <f t="shared" si="51"/>
        <v>1.2</v>
      </c>
      <c r="AI25" s="25">
        <f t="shared" si="51"/>
        <v>3.3</v>
      </c>
      <c r="AJ25" s="25">
        <f t="shared" si="51"/>
        <v>302.8</v>
      </c>
      <c r="AK25" s="25">
        <f t="shared" si="51"/>
        <v>2343.6</v>
      </c>
      <c r="AL25" s="25">
        <f t="shared" si="7"/>
        <v>21573.6</v>
      </c>
    </row>
    <row r="26">
      <c r="A26" s="7" t="s">
        <v>115</v>
      </c>
      <c r="B26" s="25">
        <f>IFERROR(__xludf.DUMMYFUNCTION("split(A26, "" "")"),84.0)</f>
        <v>84</v>
      </c>
      <c r="C26" s="25">
        <f>IFERROR(__xludf.DUMMYFUNCTION("""COMPUTED_VALUE"""),28003.0)</f>
        <v>28003</v>
      </c>
      <c r="D26" s="25">
        <f>IFERROR(__xludf.DUMMYFUNCTION("""COMPUTED_VALUE"""),28025.0)</f>
        <v>28025</v>
      </c>
      <c r="E26" s="25">
        <f>IFERROR(__xludf.DUMMYFUNCTION("""COMPUTED_VALUE"""),28082.0)</f>
        <v>28082</v>
      </c>
      <c r="F26" s="25">
        <f>IFERROR(__xludf.DUMMYFUNCTION("""COMPUTED_VALUE"""),28096.0)</f>
        <v>28096</v>
      </c>
      <c r="G26" s="25">
        <f>IFERROR(__xludf.DUMMYFUNCTION("""COMPUTED_VALUE"""),28104.0)</f>
        <v>28104</v>
      </c>
      <c r="H26" s="25">
        <f>IFERROR(__xludf.DUMMYFUNCTION("""COMPUTED_VALUE"""),28104.0)</f>
        <v>28104</v>
      </c>
      <c r="I26" s="25">
        <f>IFERROR(__xludf.DUMMYFUNCTION("""COMPUTED_VALUE"""),28122.0)</f>
        <v>28122</v>
      </c>
      <c r="J26" s="25">
        <f>IFERROR(__xludf.DUMMYFUNCTION("""COMPUTED_VALUE"""),28232.0)</f>
        <v>28232</v>
      </c>
      <c r="K26" s="25">
        <f>IFERROR(__xludf.DUMMYFUNCTION("""COMPUTED_VALUE"""),28915.0)</f>
        <v>28915</v>
      </c>
      <c r="L26" s="25">
        <f>IFERROR(__xludf.DUMMYFUNCTION("""COMPUTED_VALUE"""),32087.0)</f>
        <v>32087</v>
      </c>
      <c r="M26" s="25">
        <f>IFERROR(__xludf.DUMMYFUNCTION("""COMPUTED_VALUE"""),39124.0)</f>
        <v>39124</v>
      </c>
      <c r="P26" s="25">
        <f t="shared" si="3"/>
        <v>28025</v>
      </c>
      <c r="Q26" s="25">
        <f t="shared" ref="Q26:Y26" si="52">E26-D26</f>
        <v>57</v>
      </c>
      <c r="R26" s="25">
        <f t="shared" si="52"/>
        <v>14</v>
      </c>
      <c r="S26" s="25">
        <f t="shared" si="52"/>
        <v>8</v>
      </c>
      <c r="T26" s="25">
        <f t="shared" si="52"/>
        <v>0</v>
      </c>
      <c r="U26" s="25">
        <f t="shared" si="52"/>
        <v>18</v>
      </c>
      <c r="V26" s="25">
        <f t="shared" si="52"/>
        <v>110</v>
      </c>
      <c r="W26" s="25">
        <f t="shared" si="52"/>
        <v>683</v>
      </c>
      <c r="X26" s="25">
        <f t="shared" si="52"/>
        <v>3172</v>
      </c>
      <c r="Y26" s="25">
        <f t="shared" si="52"/>
        <v>7037</v>
      </c>
      <c r="Z26" s="25">
        <f t="shared" si="5"/>
        <v>39124</v>
      </c>
      <c r="AB26" s="25">
        <f t="shared" ref="AB26:AK26" si="53">P26*(P$1/10)</f>
        <v>28025</v>
      </c>
      <c r="AC26" s="25">
        <f t="shared" si="53"/>
        <v>51.3</v>
      </c>
      <c r="AD26" s="25">
        <f t="shared" si="53"/>
        <v>11.2</v>
      </c>
      <c r="AE26" s="25">
        <f t="shared" si="53"/>
        <v>5.6</v>
      </c>
      <c r="AF26" s="25">
        <f t="shared" si="53"/>
        <v>0</v>
      </c>
      <c r="AG26" s="25">
        <f t="shared" si="53"/>
        <v>9</v>
      </c>
      <c r="AH26" s="25">
        <f t="shared" si="53"/>
        <v>44</v>
      </c>
      <c r="AI26" s="25">
        <f t="shared" si="53"/>
        <v>204.9</v>
      </c>
      <c r="AJ26" s="25">
        <f t="shared" si="53"/>
        <v>634.4</v>
      </c>
      <c r="AK26" s="25">
        <f t="shared" si="53"/>
        <v>703.7</v>
      </c>
      <c r="AL26" s="25">
        <f t="shared" si="7"/>
        <v>29689.1</v>
      </c>
    </row>
    <row r="27">
      <c r="A27" s="7" t="s">
        <v>116</v>
      </c>
      <c r="B27" s="25">
        <f>IFERROR(__xludf.DUMMYFUNCTION("split(A27, "" "")"),85.0)</f>
        <v>85</v>
      </c>
      <c r="C27" s="25">
        <f>IFERROR(__xludf.DUMMYFUNCTION("""COMPUTED_VALUE"""),28421.0)</f>
        <v>28421</v>
      </c>
      <c r="D27" s="25">
        <f>IFERROR(__xludf.DUMMYFUNCTION("""COMPUTED_VALUE"""),28435.0)</f>
        <v>28435</v>
      </c>
      <c r="E27" s="25">
        <f>IFERROR(__xludf.DUMMYFUNCTION("""COMPUTED_VALUE"""),28438.0)</f>
        <v>28438</v>
      </c>
      <c r="F27" s="25">
        <f>IFERROR(__xludf.DUMMYFUNCTION("""COMPUTED_VALUE"""),28439.0)</f>
        <v>28439</v>
      </c>
      <c r="G27" s="25">
        <f>IFERROR(__xludf.DUMMYFUNCTION("""COMPUTED_VALUE"""),28451.0)</f>
        <v>28451</v>
      </c>
      <c r="H27" s="25">
        <f>IFERROR(__xludf.DUMMYFUNCTION("""COMPUTED_VALUE"""),28503.0)</f>
        <v>28503</v>
      </c>
      <c r="I27" s="25">
        <f>IFERROR(__xludf.DUMMYFUNCTION("""COMPUTED_VALUE"""),28511.0)</f>
        <v>28511</v>
      </c>
      <c r="J27" s="25">
        <f>IFERROR(__xludf.DUMMYFUNCTION("""COMPUTED_VALUE"""),28533.0)</f>
        <v>28533</v>
      </c>
      <c r="K27" s="25">
        <f>IFERROR(__xludf.DUMMYFUNCTION("""COMPUTED_VALUE"""),28536.0)</f>
        <v>28536</v>
      </c>
      <c r="L27" s="25">
        <f>IFERROR(__xludf.DUMMYFUNCTION("""COMPUTED_VALUE"""),28540.0)</f>
        <v>28540</v>
      </c>
      <c r="M27" s="25">
        <f>IFERROR(__xludf.DUMMYFUNCTION("""COMPUTED_VALUE"""),28573.0)</f>
        <v>28573</v>
      </c>
      <c r="P27" s="25">
        <f t="shared" si="3"/>
        <v>28435</v>
      </c>
      <c r="Q27" s="25">
        <f t="shared" ref="Q27:Y27" si="54">E27-D27</f>
        <v>3</v>
      </c>
      <c r="R27" s="25">
        <f t="shared" si="54"/>
        <v>1</v>
      </c>
      <c r="S27" s="25">
        <f t="shared" si="54"/>
        <v>12</v>
      </c>
      <c r="T27" s="25">
        <f t="shared" si="54"/>
        <v>52</v>
      </c>
      <c r="U27" s="25">
        <f t="shared" si="54"/>
        <v>8</v>
      </c>
      <c r="V27" s="25">
        <f t="shared" si="54"/>
        <v>22</v>
      </c>
      <c r="W27" s="25">
        <f t="shared" si="54"/>
        <v>3</v>
      </c>
      <c r="X27" s="25">
        <f t="shared" si="54"/>
        <v>4</v>
      </c>
      <c r="Y27" s="25">
        <f t="shared" si="54"/>
        <v>33</v>
      </c>
      <c r="Z27" s="25">
        <f t="shared" si="5"/>
        <v>28573</v>
      </c>
      <c r="AB27" s="25">
        <f t="shared" ref="AB27:AK27" si="55">P27*(P$1/10)</f>
        <v>28435</v>
      </c>
      <c r="AC27" s="25">
        <f t="shared" si="55"/>
        <v>2.7</v>
      </c>
      <c r="AD27" s="25">
        <f t="shared" si="55"/>
        <v>0.8</v>
      </c>
      <c r="AE27" s="25">
        <f t="shared" si="55"/>
        <v>8.4</v>
      </c>
      <c r="AF27" s="25">
        <f t="shared" si="55"/>
        <v>31.2</v>
      </c>
      <c r="AG27" s="25">
        <f t="shared" si="55"/>
        <v>4</v>
      </c>
      <c r="AH27" s="25">
        <f t="shared" si="55"/>
        <v>8.8</v>
      </c>
      <c r="AI27" s="25">
        <f t="shared" si="55"/>
        <v>0.9</v>
      </c>
      <c r="AJ27" s="25">
        <f t="shared" si="55"/>
        <v>0.8</v>
      </c>
      <c r="AK27" s="25">
        <f t="shared" si="55"/>
        <v>3.3</v>
      </c>
      <c r="AL27" s="25">
        <f t="shared" si="7"/>
        <v>28495.9</v>
      </c>
    </row>
    <row r="28">
      <c r="A28" s="7" t="s">
        <v>117</v>
      </c>
      <c r="B28" s="25">
        <f>IFERROR(__xludf.DUMMYFUNCTION("split(A28, "" "")"),86.0)</f>
        <v>86</v>
      </c>
      <c r="C28" s="25">
        <f>IFERROR(__xludf.DUMMYFUNCTION("""COMPUTED_VALUE"""),31468.0)</f>
        <v>31468</v>
      </c>
      <c r="D28" s="25">
        <f>IFERROR(__xludf.DUMMYFUNCTION("""COMPUTED_VALUE"""),31480.0)</f>
        <v>31480</v>
      </c>
      <c r="E28" s="25">
        <f>IFERROR(__xludf.DUMMYFUNCTION("""COMPUTED_VALUE"""),31484.0)</f>
        <v>31484</v>
      </c>
      <c r="F28" s="25">
        <f>IFERROR(__xludf.DUMMYFUNCTION("""COMPUTED_VALUE"""),31486.0)</f>
        <v>31486</v>
      </c>
      <c r="G28" s="25">
        <f>IFERROR(__xludf.DUMMYFUNCTION("""COMPUTED_VALUE"""),31490.0)</f>
        <v>31490</v>
      </c>
      <c r="H28" s="25">
        <f>IFERROR(__xludf.DUMMYFUNCTION("""COMPUTED_VALUE"""),31582.0)</f>
        <v>31582</v>
      </c>
      <c r="I28" s="25">
        <f>IFERROR(__xludf.DUMMYFUNCTION("""COMPUTED_VALUE"""),31585.0)</f>
        <v>31585</v>
      </c>
      <c r="J28" s="25">
        <f>IFERROR(__xludf.DUMMYFUNCTION("""COMPUTED_VALUE"""),31601.0)</f>
        <v>31601</v>
      </c>
      <c r="K28" s="25">
        <f>IFERROR(__xludf.DUMMYFUNCTION("""COMPUTED_VALUE"""),31614.0)</f>
        <v>31614</v>
      </c>
      <c r="L28" s="25">
        <f>IFERROR(__xludf.DUMMYFUNCTION("""COMPUTED_VALUE"""),31638.0)</f>
        <v>31638</v>
      </c>
      <c r="M28" s="25">
        <f>IFERROR(__xludf.DUMMYFUNCTION("""COMPUTED_VALUE"""),41800.0)</f>
        <v>41800</v>
      </c>
      <c r="P28" s="25">
        <f t="shared" si="3"/>
        <v>31480</v>
      </c>
      <c r="Q28" s="25">
        <f t="shared" ref="Q28:Y28" si="56">E28-D28</f>
        <v>4</v>
      </c>
      <c r="R28" s="25">
        <f t="shared" si="56"/>
        <v>2</v>
      </c>
      <c r="S28" s="25">
        <f t="shared" si="56"/>
        <v>4</v>
      </c>
      <c r="T28" s="25">
        <f t="shared" si="56"/>
        <v>92</v>
      </c>
      <c r="U28" s="25">
        <f t="shared" si="56"/>
        <v>3</v>
      </c>
      <c r="V28" s="25">
        <f t="shared" si="56"/>
        <v>16</v>
      </c>
      <c r="W28" s="25">
        <f t="shared" si="56"/>
        <v>13</v>
      </c>
      <c r="X28" s="25">
        <f t="shared" si="56"/>
        <v>24</v>
      </c>
      <c r="Y28" s="25">
        <f t="shared" si="56"/>
        <v>10162</v>
      </c>
      <c r="Z28" s="25">
        <f t="shared" si="5"/>
        <v>41800</v>
      </c>
      <c r="AB28" s="25">
        <f t="shared" ref="AB28:AK28" si="57">P28*(P$1/10)</f>
        <v>31480</v>
      </c>
      <c r="AC28" s="25">
        <f t="shared" si="57"/>
        <v>3.6</v>
      </c>
      <c r="AD28" s="25">
        <f t="shared" si="57"/>
        <v>1.6</v>
      </c>
      <c r="AE28" s="25">
        <f t="shared" si="57"/>
        <v>2.8</v>
      </c>
      <c r="AF28" s="25">
        <f t="shared" si="57"/>
        <v>55.2</v>
      </c>
      <c r="AG28" s="25">
        <f t="shared" si="57"/>
        <v>1.5</v>
      </c>
      <c r="AH28" s="25">
        <f t="shared" si="57"/>
        <v>6.4</v>
      </c>
      <c r="AI28" s="25">
        <f t="shared" si="57"/>
        <v>3.9</v>
      </c>
      <c r="AJ28" s="25">
        <f t="shared" si="57"/>
        <v>4.8</v>
      </c>
      <c r="AK28" s="25">
        <f t="shared" si="57"/>
        <v>1016.2</v>
      </c>
      <c r="AL28" s="25">
        <f t="shared" si="7"/>
        <v>32576</v>
      </c>
    </row>
    <row r="29">
      <c r="A29" s="7" t="s">
        <v>118</v>
      </c>
      <c r="B29" s="25">
        <f>IFERROR(__xludf.DUMMYFUNCTION("split(A29, "" "")"),87.0)</f>
        <v>87</v>
      </c>
      <c r="C29" s="25">
        <f>IFERROR(__xludf.DUMMYFUNCTION("""COMPUTED_VALUE"""),44774.0)</f>
        <v>44774</v>
      </c>
      <c r="D29" s="25">
        <f>IFERROR(__xludf.DUMMYFUNCTION("""COMPUTED_VALUE"""),44790.0)</f>
        <v>44790</v>
      </c>
      <c r="E29" s="25">
        <f>IFERROR(__xludf.DUMMYFUNCTION("""COMPUTED_VALUE"""),44815.0)</f>
        <v>44815</v>
      </c>
      <c r="F29" s="25">
        <f>IFERROR(__xludf.DUMMYFUNCTION("""COMPUTED_VALUE"""),44851.0)</f>
        <v>44851</v>
      </c>
      <c r="G29" s="25">
        <f>IFERROR(__xludf.DUMMYFUNCTION("""COMPUTED_VALUE"""),44934.0)</f>
        <v>44934</v>
      </c>
      <c r="H29" s="25">
        <f>IFERROR(__xludf.DUMMYFUNCTION("""COMPUTED_VALUE"""),44941.0)</f>
        <v>44941</v>
      </c>
      <c r="I29" s="25">
        <f>IFERROR(__xludf.DUMMYFUNCTION("""COMPUTED_VALUE"""),44949.0)</f>
        <v>44949</v>
      </c>
      <c r="J29" s="25">
        <f>IFERROR(__xludf.DUMMYFUNCTION("""COMPUTED_VALUE"""),44967.0)</f>
        <v>44967</v>
      </c>
      <c r="K29" s="25">
        <f>IFERROR(__xludf.DUMMYFUNCTION("""COMPUTED_VALUE"""),44985.0)</f>
        <v>44985</v>
      </c>
      <c r="L29" s="25">
        <f>IFERROR(__xludf.DUMMYFUNCTION("""COMPUTED_VALUE"""),51661.0)</f>
        <v>51661</v>
      </c>
      <c r="M29" s="25">
        <f>IFERROR(__xludf.DUMMYFUNCTION("""COMPUTED_VALUE"""),57790.0)</f>
        <v>57790</v>
      </c>
      <c r="P29" s="25">
        <f t="shared" si="3"/>
        <v>44790</v>
      </c>
      <c r="Q29" s="25">
        <f t="shared" ref="Q29:Y29" si="58">E29-D29</f>
        <v>25</v>
      </c>
      <c r="R29" s="25">
        <f t="shared" si="58"/>
        <v>36</v>
      </c>
      <c r="S29" s="25">
        <f t="shared" si="58"/>
        <v>83</v>
      </c>
      <c r="T29" s="25">
        <f t="shared" si="58"/>
        <v>7</v>
      </c>
      <c r="U29" s="25">
        <f t="shared" si="58"/>
        <v>8</v>
      </c>
      <c r="V29" s="25">
        <f t="shared" si="58"/>
        <v>18</v>
      </c>
      <c r="W29" s="25">
        <f t="shared" si="58"/>
        <v>18</v>
      </c>
      <c r="X29" s="25">
        <f t="shared" si="58"/>
        <v>6676</v>
      </c>
      <c r="Y29" s="25">
        <f t="shared" si="58"/>
        <v>6129</v>
      </c>
      <c r="Z29" s="25">
        <f t="shared" si="5"/>
        <v>57790</v>
      </c>
      <c r="AB29" s="25">
        <f t="shared" ref="AB29:AK29" si="59">P29*(P$1/10)</f>
        <v>44790</v>
      </c>
      <c r="AC29" s="25">
        <f t="shared" si="59"/>
        <v>22.5</v>
      </c>
      <c r="AD29" s="25">
        <f t="shared" si="59"/>
        <v>28.8</v>
      </c>
      <c r="AE29" s="25">
        <f t="shared" si="59"/>
        <v>58.1</v>
      </c>
      <c r="AF29" s="25">
        <f t="shared" si="59"/>
        <v>4.2</v>
      </c>
      <c r="AG29" s="25">
        <f t="shared" si="59"/>
        <v>4</v>
      </c>
      <c r="AH29" s="25">
        <f t="shared" si="59"/>
        <v>7.2</v>
      </c>
      <c r="AI29" s="25">
        <f t="shared" si="59"/>
        <v>5.4</v>
      </c>
      <c r="AJ29" s="25">
        <f t="shared" si="59"/>
        <v>1335.2</v>
      </c>
      <c r="AK29" s="25">
        <f t="shared" si="59"/>
        <v>612.9</v>
      </c>
      <c r="AL29" s="25">
        <f t="shared" si="7"/>
        <v>46868.3</v>
      </c>
    </row>
    <row r="30">
      <c r="A30" s="7" t="s">
        <v>119</v>
      </c>
      <c r="B30" s="25">
        <f>IFERROR(__xludf.DUMMYFUNCTION("split(A30, "" "")"),88.0)</f>
        <v>88</v>
      </c>
      <c r="C30" s="25">
        <f>IFERROR(__xludf.DUMMYFUNCTION("""COMPUTED_VALUE"""),61391.0)</f>
        <v>61391</v>
      </c>
      <c r="D30" s="25">
        <f>IFERROR(__xludf.DUMMYFUNCTION("""COMPUTED_VALUE"""),61420.0)</f>
        <v>61420</v>
      </c>
      <c r="E30" s="25">
        <f>IFERROR(__xludf.DUMMYFUNCTION("""COMPUTED_VALUE"""),61450.0)</f>
        <v>61450</v>
      </c>
      <c r="F30" s="25">
        <f>IFERROR(__xludf.DUMMYFUNCTION("""COMPUTED_VALUE"""),61557.0)</f>
        <v>61557</v>
      </c>
      <c r="G30" s="25">
        <f>IFERROR(__xludf.DUMMYFUNCTION("""COMPUTED_VALUE"""),61575.0)</f>
        <v>61575</v>
      </c>
      <c r="H30" s="25">
        <f>IFERROR(__xludf.DUMMYFUNCTION("""COMPUTED_VALUE"""),61578.0)</f>
        <v>61578</v>
      </c>
      <c r="I30" s="25">
        <f>IFERROR(__xludf.DUMMYFUNCTION("""COMPUTED_VALUE"""),61587.0)</f>
        <v>61587</v>
      </c>
      <c r="J30" s="25">
        <f>IFERROR(__xludf.DUMMYFUNCTION("""COMPUTED_VALUE"""),61609.0)</f>
        <v>61609</v>
      </c>
      <c r="K30" s="25">
        <f>IFERROR(__xludf.DUMMYFUNCTION("""COMPUTED_VALUE"""),62641.0)</f>
        <v>62641</v>
      </c>
      <c r="L30" s="25">
        <f>IFERROR(__xludf.DUMMYFUNCTION("""COMPUTED_VALUE"""),85719.0)</f>
        <v>85719</v>
      </c>
      <c r="M30" s="25">
        <f>IFERROR(__xludf.DUMMYFUNCTION("""COMPUTED_VALUE"""),138816.0)</f>
        <v>138816</v>
      </c>
      <c r="P30" s="25">
        <f t="shared" si="3"/>
        <v>61420</v>
      </c>
      <c r="Q30" s="25">
        <f t="shared" ref="Q30:Y30" si="60">E30-D30</f>
        <v>30</v>
      </c>
      <c r="R30" s="25">
        <f t="shared" si="60"/>
        <v>107</v>
      </c>
      <c r="S30" s="25">
        <f t="shared" si="60"/>
        <v>18</v>
      </c>
      <c r="T30" s="25">
        <f t="shared" si="60"/>
        <v>3</v>
      </c>
      <c r="U30" s="25">
        <f t="shared" si="60"/>
        <v>9</v>
      </c>
      <c r="V30" s="25">
        <f t="shared" si="60"/>
        <v>22</v>
      </c>
      <c r="W30" s="25">
        <f t="shared" si="60"/>
        <v>1032</v>
      </c>
      <c r="X30" s="25">
        <f t="shared" si="60"/>
        <v>23078</v>
      </c>
      <c r="Y30" s="25">
        <f t="shared" si="60"/>
        <v>53097</v>
      </c>
      <c r="Z30" s="25">
        <f t="shared" si="5"/>
        <v>138816</v>
      </c>
      <c r="AB30" s="25">
        <f t="shared" ref="AB30:AK30" si="61">P30*(P$1/10)</f>
        <v>61420</v>
      </c>
      <c r="AC30" s="25">
        <f t="shared" si="61"/>
        <v>27</v>
      </c>
      <c r="AD30" s="25">
        <f t="shared" si="61"/>
        <v>85.6</v>
      </c>
      <c r="AE30" s="25">
        <f t="shared" si="61"/>
        <v>12.6</v>
      </c>
      <c r="AF30" s="25">
        <f t="shared" si="61"/>
        <v>1.8</v>
      </c>
      <c r="AG30" s="25">
        <f t="shared" si="61"/>
        <v>4.5</v>
      </c>
      <c r="AH30" s="25">
        <f t="shared" si="61"/>
        <v>8.8</v>
      </c>
      <c r="AI30" s="25">
        <f t="shared" si="61"/>
        <v>309.6</v>
      </c>
      <c r="AJ30" s="25">
        <f t="shared" si="61"/>
        <v>4615.6</v>
      </c>
      <c r="AK30" s="25">
        <f t="shared" si="61"/>
        <v>5309.7</v>
      </c>
      <c r="AL30" s="25">
        <f t="shared" si="7"/>
        <v>71795.2</v>
      </c>
    </row>
    <row r="31">
      <c r="A31" s="7" t="s">
        <v>120</v>
      </c>
      <c r="B31" s="25">
        <f>IFERROR(__xludf.DUMMYFUNCTION("split(A31, "" "")"),89.0)</f>
        <v>89</v>
      </c>
      <c r="C31" s="25">
        <f>IFERROR(__xludf.DUMMYFUNCTION("""COMPUTED_VALUE"""),60729.0)</f>
        <v>60729</v>
      </c>
      <c r="D31" s="25">
        <f>IFERROR(__xludf.DUMMYFUNCTION("""COMPUTED_VALUE"""),60732.0)</f>
        <v>60732</v>
      </c>
      <c r="E31" s="25">
        <f>IFERROR(__xludf.DUMMYFUNCTION("""COMPUTED_VALUE"""),60737.0)</f>
        <v>60737</v>
      </c>
      <c r="F31" s="25">
        <f>IFERROR(__xludf.DUMMYFUNCTION("""COMPUTED_VALUE"""),60739.0)</f>
        <v>60739</v>
      </c>
      <c r="G31" s="25">
        <f>IFERROR(__xludf.DUMMYFUNCTION("""COMPUTED_VALUE"""),60769.0)</f>
        <v>60769</v>
      </c>
      <c r="H31" s="25">
        <f>IFERROR(__xludf.DUMMYFUNCTION("""COMPUTED_VALUE"""),60913.0)</f>
        <v>60913</v>
      </c>
      <c r="I31" s="25">
        <f>IFERROR(__xludf.DUMMYFUNCTION("""COMPUTED_VALUE"""),60940.0)</f>
        <v>60940</v>
      </c>
      <c r="J31" s="25">
        <f>IFERROR(__xludf.DUMMYFUNCTION("""COMPUTED_VALUE"""),60953.0)</f>
        <v>60953</v>
      </c>
      <c r="K31" s="25">
        <f>IFERROR(__xludf.DUMMYFUNCTION("""COMPUTED_VALUE"""),60954.0)</f>
        <v>60954</v>
      </c>
      <c r="L31" s="25">
        <f>IFERROR(__xludf.DUMMYFUNCTION("""COMPUTED_VALUE"""),60974.0)</f>
        <v>60974</v>
      </c>
      <c r="M31" s="25">
        <f>IFERROR(__xludf.DUMMYFUNCTION("""COMPUTED_VALUE"""),77471.0)</f>
        <v>77471</v>
      </c>
      <c r="P31" s="25">
        <f t="shared" si="3"/>
        <v>60732</v>
      </c>
      <c r="Q31" s="25">
        <f t="shared" ref="Q31:Y31" si="62">E31-D31</f>
        <v>5</v>
      </c>
      <c r="R31" s="25">
        <f t="shared" si="62"/>
        <v>2</v>
      </c>
      <c r="S31" s="25">
        <f t="shared" si="62"/>
        <v>30</v>
      </c>
      <c r="T31" s="25">
        <f t="shared" si="62"/>
        <v>144</v>
      </c>
      <c r="U31" s="25">
        <f t="shared" si="62"/>
        <v>27</v>
      </c>
      <c r="V31" s="25">
        <f t="shared" si="62"/>
        <v>13</v>
      </c>
      <c r="W31" s="25">
        <f t="shared" si="62"/>
        <v>1</v>
      </c>
      <c r="X31" s="25">
        <f t="shared" si="62"/>
        <v>20</v>
      </c>
      <c r="Y31" s="25">
        <f t="shared" si="62"/>
        <v>16497</v>
      </c>
      <c r="Z31" s="25">
        <f t="shared" si="5"/>
        <v>77471</v>
      </c>
      <c r="AB31" s="25">
        <f t="shared" ref="AB31:AK31" si="63">P31*(P$1/10)</f>
        <v>60732</v>
      </c>
      <c r="AC31" s="25">
        <f t="shared" si="63"/>
        <v>4.5</v>
      </c>
      <c r="AD31" s="25">
        <f t="shared" si="63"/>
        <v>1.6</v>
      </c>
      <c r="AE31" s="25">
        <f t="shared" si="63"/>
        <v>21</v>
      </c>
      <c r="AF31" s="25">
        <f t="shared" si="63"/>
        <v>86.4</v>
      </c>
      <c r="AG31" s="25">
        <f t="shared" si="63"/>
        <v>13.5</v>
      </c>
      <c r="AH31" s="25">
        <f t="shared" si="63"/>
        <v>5.2</v>
      </c>
      <c r="AI31" s="25">
        <f t="shared" si="63"/>
        <v>0.3</v>
      </c>
      <c r="AJ31" s="25">
        <f t="shared" si="63"/>
        <v>4</v>
      </c>
      <c r="AK31" s="25">
        <f t="shared" si="63"/>
        <v>1649.7</v>
      </c>
      <c r="AL31" s="25">
        <f t="shared" si="7"/>
        <v>62518.2</v>
      </c>
    </row>
    <row r="32">
      <c r="A32" s="7" t="s">
        <v>121</v>
      </c>
      <c r="B32" s="25">
        <f>IFERROR(__xludf.DUMMYFUNCTION("split(A32, "" "")"),90.0)</f>
        <v>90</v>
      </c>
      <c r="C32" s="25">
        <f>IFERROR(__xludf.DUMMYFUNCTION("""COMPUTED_VALUE"""),73838.0)</f>
        <v>73838</v>
      </c>
      <c r="D32" s="25">
        <f>IFERROR(__xludf.DUMMYFUNCTION("""COMPUTED_VALUE"""),73840.0)</f>
        <v>73840</v>
      </c>
      <c r="E32" s="25">
        <f>IFERROR(__xludf.DUMMYFUNCTION("""COMPUTED_VALUE"""),73840.0)</f>
        <v>73840</v>
      </c>
      <c r="F32" s="25">
        <f>IFERROR(__xludf.DUMMYFUNCTION("""COMPUTED_VALUE"""),73884.0)</f>
        <v>73884</v>
      </c>
      <c r="G32" s="25">
        <f>IFERROR(__xludf.DUMMYFUNCTION("""COMPUTED_VALUE"""),73896.0)</f>
        <v>73896</v>
      </c>
      <c r="H32" s="25">
        <f>IFERROR(__xludf.DUMMYFUNCTION("""COMPUTED_VALUE"""),74029.0)</f>
        <v>74029</v>
      </c>
      <c r="I32" s="25">
        <f>IFERROR(__xludf.DUMMYFUNCTION("""COMPUTED_VALUE"""),74072.0)</f>
        <v>74072</v>
      </c>
      <c r="J32" s="25">
        <f>IFERROR(__xludf.DUMMYFUNCTION("""COMPUTED_VALUE"""),74087.0)</f>
        <v>74087</v>
      </c>
      <c r="K32" s="25">
        <f>IFERROR(__xludf.DUMMYFUNCTION("""COMPUTED_VALUE"""),74092.0)</f>
        <v>74092</v>
      </c>
      <c r="L32" s="25">
        <f>IFERROR(__xludf.DUMMYFUNCTION("""COMPUTED_VALUE"""),74104.0)</f>
        <v>74104</v>
      </c>
      <c r="M32" s="25">
        <f>IFERROR(__xludf.DUMMYFUNCTION("""COMPUTED_VALUE"""),90205.0)</f>
        <v>90205</v>
      </c>
      <c r="P32" s="25">
        <f t="shared" si="3"/>
        <v>73840</v>
      </c>
      <c r="Q32" s="25">
        <f t="shared" ref="Q32:Y32" si="64">E32-D32</f>
        <v>0</v>
      </c>
      <c r="R32" s="25">
        <f t="shared" si="64"/>
        <v>44</v>
      </c>
      <c r="S32" s="25">
        <f t="shared" si="64"/>
        <v>12</v>
      </c>
      <c r="T32" s="25">
        <f t="shared" si="64"/>
        <v>133</v>
      </c>
      <c r="U32" s="25">
        <f t="shared" si="64"/>
        <v>43</v>
      </c>
      <c r="V32" s="25">
        <f t="shared" si="64"/>
        <v>15</v>
      </c>
      <c r="W32" s="25">
        <f t="shared" si="64"/>
        <v>5</v>
      </c>
      <c r="X32" s="25">
        <f t="shared" si="64"/>
        <v>12</v>
      </c>
      <c r="Y32" s="25">
        <f t="shared" si="64"/>
        <v>16101</v>
      </c>
      <c r="Z32" s="25">
        <f t="shared" si="5"/>
        <v>90205</v>
      </c>
      <c r="AB32" s="25">
        <f t="shared" ref="AB32:AK32" si="65">P32*(P$1/10)</f>
        <v>73840</v>
      </c>
      <c r="AC32" s="25">
        <f t="shared" si="65"/>
        <v>0</v>
      </c>
      <c r="AD32" s="25">
        <f t="shared" si="65"/>
        <v>35.2</v>
      </c>
      <c r="AE32" s="25">
        <f t="shared" si="65"/>
        <v>8.4</v>
      </c>
      <c r="AF32" s="25">
        <f t="shared" si="65"/>
        <v>79.8</v>
      </c>
      <c r="AG32" s="25">
        <f t="shared" si="65"/>
        <v>21.5</v>
      </c>
      <c r="AH32" s="25">
        <f t="shared" si="65"/>
        <v>6</v>
      </c>
      <c r="AI32" s="25">
        <f t="shared" si="65"/>
        <v>1.5</v>
      </c>
      <c r="AJ32" s="25">
        <f t="shared" si="65"/>
        <v>2.4</v>
      </c>
      <c r="AK32" s="25">
        <f t="shared" si="65"/>
        <v>1610.1</v>
      </c>
      <c r="AL32" s="25">
        <f t="shared" si="7"/>
        <v>75604.9</v>
      </c>
    </row>
    <row r="33">
      <c r="A33" s="7" t="s">
        <v>122</v>
      </c>
      <c r="B33" s="25">
        <f>IFERROR(__xludf.DUMMYFUNCTION("split(A33, "" "")"),91.0)</f>
        <v>91</v>
      </c>
      <c r="C33" s="25">
        <f>IFERROR(__xludf.DUMMYFUNCTION("""COMPUTED_VALUE"""),89779.0)</f>
        <v>89779</v>
      </c>
      <c r="D33" s="25">
        <f>IFERROR(__xludf.DUMMYFUNCTION("""COMPUTED_VALUE"""),89783.0)</f>
        <v>89783</v>
      </c>
      <c r="E33" s="25">
        <f>IFERROR(__xludf.DUMMYFUNCTION("""COMPUTED_VALUE"""),89803.0)</f>
        <v>89803</v>
      </c>
      <c r="F33" s="25">
        <f>IFERROR(__xludf.DUMMYFUNCTION("""COMPUTED_VALUE"""),89807.0)</f>
        <v>89807</v>
      </c>
      <c r="G33" s="25">
        <f>IFERROR(__xludf.DUMMYFUNCTION("""COMPUTED_VALUE"""),89856.0)</f>
        <v>89856</v>
      </c>
      <c r="H33" s="25">
        <f>IFERROR(__xludf.DUMMYFUNCTION("""COMPUTED_VALUE"""),90034.0)</f>
        <v>90034</v>
      </c>
      <c r="I33" s="25">
        <f>IFERROR(__xludf.DUMMYFUNCTION("""COMPUTED_VALUE"""),90056.0)</f>
        <v>90056</v>
      </c>
      <c r="J33" s="25">
        <f>IFERROR(__xludf.DUMMYFUNCTION("""COMPUTED_VALUE"""),90094.0)</f>
        <v>90094</v>
      </c>
      <c r="K33" s="25">
        <f>IFERROR(__xludf.DUMMYFUNCTION("""COMPUTED_VALUE"""),90124.0)</f>
        <v>90124</v>
      </c>
      <c r="L33" s="25">
        <f>IFERROR(__xludf.DUMMYFUNCTION("""COMPUTED_VALUE"""),90144.0)</f>
        <v>90144</v>
      </c>
      <c r="M33" s="25">
        <f>IFERROR(__xludf.DUMMYFUNCTION("""COMPUTED_VALUE"""),134457.0)</f>
        <v>134457</v>
      </c>
      <c r="P33" s="25">
        <f t="shared" si="3"/>
        <v>89783</v>
      </c>
      <c r="Q33" s="25">
        <f t="shared" ref="Q33:Y33" si="66">E33-D33</f>
        <v>20</v>
      </c>
      <c r="R33" s="25">
        <f t="shared" si="66"/>
        <v>4</v>
      </c>
      <c r="S33" s="25">
        <f t="shared" si="66"/>
        <v>49</v>
      </c>
      <c r="T33" s="25">
        <f t="shared" si="66"/>
        <v>178</v>
      </c>
      <c r="U33" s="25">
        <f t="shared" si="66"/>
        <v>22</v>
      </c>
      <c r="V33" s="25">
        <f t="shared" si="66"/>
        <v>38</v>
      </c>
      <c r="W33" s="25">
        <f t="shared" si="66"/>
        <v>30</v>
      </c>
      <c r="X33" s="25">
        <f t="shared" si="66"/>
        <v>20</v>
      </c>
      <c r="Y33" s="25">
        <f t="shared" si="66"/>
        <v>44313</v>
      </c>
      <c r="Z33" s="25">
        <f t="shared" si="5"/>
        <v>134457</v>
      </c>
      <c r="AB33" s="25">
        <f t="shared" ref="AB33:AK33" si="67">P33*(P$1/10)</f>
        <v>89783</v>
      </c>
      <c r="AC33" s="25">
        <f t="shared" si="67"/>
        <v>18</v>
      </c>
      <c r="AD33" s="25">
        <f t="shared" si="67"/>
        <v>3.2</v>
      </c>
      <c r="AE33" s="25">
        <f t="shared" si="67"/>
        <v>34.3</v>
      </c>
      <c r="AF33" s="25">
        <f t="shared" si="67"/>
        <v>106.8</v>
      </c>
      <c r="AG33" s="25">
        <f t="shared" si="67"/>
        <v>11</v>
      </c>
      <c r="AH33" s="25">
        <f t="shared" si="67"/>
        <v>15.2</v>
      </c>
      <c r="AI33" s="25">
        <f t="shared" si="67"/>
        <v>9</v>
      </c>
      <c r="AJ33" s="25">
        <f t="shared" si="67"/>
        <v>4</v>
      </c>
      <c r="AK33" s="25">
        <f t="shared" si="67"/>
        <v>4431.3</v>
      </c>
      <c r="AL33" s="25">
        <f t="shared" si="7"/>
        <v>94415.8</v>
      </c>
    </row>
    <row r="34">
      <c r="A34" s="7" t="s">
        <v>123</v>
      </c>
      <c r="B34" s="25">
        <f>IFERROR(__xludf.DUMMYFUNCTION("split(A34, "" "")"),92.0)</f>
        <v>92</v>
      </c>
      <c r="C34" s="25">
        <f>IFERROR(__xludf.DUMMYFUNCTION("""COMPUTED_VALUE"""),149873.0)</f>
        <v>149873</v>
      </c>
      <c r="D34" s="25">
        <f>IFERROR(__xludf.DUMMYFUNCTION("""COMPUTED_VALUE"""),149895.0)</f>
        <v>149895</v>
      </c>
      <c r="E34" s="25">
        <f>IFERROR(__xludf.DUMMYFUNCTION("""COMPUTED_VALUE"""),150027.0)</f>
        <v>150027</v>
      </c>
      <c r="F34" s="25">
        <f>IFERROR(__xludf.DUMMYFUNCTION("""COMPUTED_VALUE"""),150260.0)</f>
        <v>150260</v>
      </c>
      <c r="G34" s="25">
        <f>IFERROR(__xludf.DUMMYFUNCTION("""COMPUTED_VALUE"""),150269.0)</f>
        <v>150269</v>
      </c>
      <c r="H34" s="25">
        <f>IFERROR(__xludf.DUMMYFUNCTION("""COMPUTED_VALUE"""),150317.0)</f>
        <v>150317</v>
      </c>
      <c r="I34" s="25">
        <f>IFERROR(__xludf.DUMMYFUNCTION("""COMPUTED_VALUE"""),150355.0)</f>
        <v>150355</v>
      </c>
      <c r="J34" s="25">
        <f>IFERROR(__xludf.DUMMYFUNCTION("""COMPUTED_VALUE"""),150392.0)</f>
        <v>150392</v>
      </c>
      <c r="K34" s="25">
        <f>IFERROR(__xludf.DUMMYFUNCTION("""COMPUTED_VALUE"""),156150.0)</f>
        <v>156150</v>
      </c>
      <c r="L34" s="25">
        <f>IFERROR(__xludf.DUMMYFUNCTION("""COMPUTED_VALUE"""),176295.0)</f>
        <v>176295</v>
      </c>
      <c r="M34" s="25">
        <f>IFERROR(__xludf.DUMMYFUNCTION("""COMPUTED_VALUE"""),209296.0)</f>
        <v>209296</v>
      </c>
      <c r="P34" s="25">
        <f t="shared" si="3"/>
        <v>149895</v>
      </c>
      <c r="Q34" s="25">
        <f t="shared" ref="Q34:Y34" si="68">E34-D34</f>
        <v>132</v>
      </c>
      <c r="R34" s="25">
        <f t="shared" si="68"/>
        <v>233</v>
      </c>
      <c r="S34" s="25">
        <f t="shared" si="68"/>
        <v>9</v>
      </c>
      <c r="T34" s="25">
        <f t="shared" si="68"/>
        <v>48</v>
      </c>
      <c r="U34" s="25">
        <f t="shared" si="68"/>
        <v>38</v>
      </c>
      <c r="V34" s="25">
        <f t="shared" si="68"/>
        <v>37</v>
      </c>
      <c r="W34" s="25">
        <f t="shared" si="68"/>
        <v>5758</v>
      </c>
      <c r="X34" s="25">
        <f t="shared" si="68"/>
        <v>20145</v>
      </c>
      <c r="Y34" s="25">
        <f t="shared" si="68"/>
        <v>33001</v>
      </c>
      <c r="Z34" s="25">
        <f t="shared" si="5"/>
        <v>209296</v>
      </c>
      <c r="AB34" s="25">
        <f t="shared" ref="AB34:AK34" si="69">P34*(P$1/10)</f>
        <v>149895</v>
      </c>
      <c r="AC34" s="25">
        <f t="shared" si="69"/>
        <v>118.8</v>
      </c>
      <c r="AD34" s="25">
        <f t="shared" si="69"/>
        <v>186.4</v>
      </c>
      <c r="AE34" s="25">
        <f t="shared" si="69"/>
        <v>6.3</v>
      </c>
      <c r="AF34" s="25">
        <f t="shared" si="69"/>
        <v>28.8</v>
      </c>
      <c r="AG34" s="25">
        <f t="shared" si="69"/>
        <v>19</v>
      </c>
      <c r="AH34" s="25">
        <f t="shared" si="69"/>
        <v>14.8</v>
      </c>
      <c r="AI34" s="25">
        <f t="shared" si="69"/>
        <v>1727.4</v>
      </c>
      <c r="AJ34" s="25">
        <f t="shared" si="69"/>
        <v>4029</v>
      </c>
      <c r="AK34" s="25">
        <f t="shared" si="69"/>
        <v>3300.1</v>
      </c>
      <c r="AL34" s="25">
        <f t="shared" si="7"/>
        <v>159325.6</v>
      </c>
    </row>
    <row r="35">
      <c r="A35" s="7" t="s">
        <v>124</v>
      </c>
      <c r="B35" s="25">
        <f>IFERROR(__xludf.DUMMYFUNCTION("split(A35, "" "")"),93.0)</f>
        <v>93</v>
      </c>
      <c r="C35" s="25">
        <f>IFERROR(__xludf.DUMMYFUNCTION("""COMPUTED_VALUE"""),143580.0)</f>
        <v>143580</v>
      </c>
      <c r="D35" s="25">
        <f>IFERROR(__xludf.DUMMYFUNCTION("""COMPUTED_VALUE"""),143586.0)</f>
        <v>143586</v>
      </c>
      <c r="E35" s="25">
        <f>IFERROR(__xludf.DUMMYFUNCTION("""COMPUTED_VALUE"""),143652.0)</f>
        <v>143652</v>
      </c>
      <c r="F35" s="25">
        <f>IFERROR(__xludf.DUMMYFUNCTION("""COMPUTED_VALUE"""),143705.0)</f>
        <v>143705</v>
      </c>
      <c r="G35" s="25">
        <f>IFERROR(__xludf.DUMMYFUNCTION("""COMPUTED_VALUE"""),144015.0)</f>
        <v>144015</v>
      </c>
      <c r="H35" s="25">
        <f>IFERROR(__xludf.DUMMYFUNCTION("""COMPUTED_VALUE"""),144051.0)</f>
        <v>144051</v>
      </c>
      <c r="I35" s="25">
        <f>IFERROR(__xludf.DUMMYFUNCTION("""COMPUTED_VALUE"""),144063.0)</f>
        <v>144063</v>
      </c>
      <c r="J35" s="25">
        <f>IFERROR(__xludf.DUMMYFUNCTION("""COMPUTED_VALUE"""),144135.0)</f>
        <v>144135</v>
      </c>
      <c r="K35" s="25">
        <f>IFERROR(__xludf.DUMMYFUNCTION("""COMPUTED_VALUE"""),144182.0)</f>
        <v>144182</v>
      </c>
      <c r="L35" s="25">
        <f>IFERROR(__xludf.DUMMYFUNCTION("""COMPUTED_VALUE"""),165045.0)</f>
        <v>165045</v>
      </c>
      <c r="M35" s="25">
        <f>IFERROR(__xludf.DUMMYFUNCTION("""COMPUTED_VALUE"""),367326.0)</f>
        <v>367326</v>
      </c>
      <c r="P35" s="25">
        <f t="shared" si="3"/>
        <v>143586</v>
      </c>
      <c r="Q35" s="25">
        <f t="shared" ref="Q35:Y35" si="70">E35-D35</f>
        <v>66</v>
      </c>
      <c r="R35" s="25">
        <f t="shared" si="70"/>
        <v>53</v>
      </c>
      <c r="S35" s="25">
        <f t="shared" si="70"/>
        <v>310</v>
      </c>
      <c r="T35" s="25">
        <f t="shared" si="70"/>
        <v>36</v>
      </c>
      <c r="U35" s="25">
        <f t="shared" si="70"/>
        <v>12</v>
      </c>
      <c r="V35" s="25">
        <f t="shared" si="70"/>
        <v>72</v>
      </c>
      <c r="W35" s="25">
        <f t="shared" si="70"/>
        <v>47</v>
      </c>
      <c r="X35" s="25">
        <f t="shared" si="70"/>
        <v>20863</v>
      </c>
      <c r="Y35" s="25">
        <f t="shared" si="70"/>
        <v>202281</v>
      </c>
      <c r="Z35" s="25">
        <f t="shared" si="5"/>
        <v>367326</v>
      </c>
      <c r="AB35" s="25">
        <f t="shared" ref="AB35:AK35" si="71">P35*(P$1/10)</f>
        <v>143586</v>
      </c>
      <c r="AC35" s="25">
        <f t="shared" si="71"/>
        <v>59.4</v>
      </c>
      <c r="AD35" s="25">
        <f t="shared" si="71"/>
        <v>42.4</v>
      </c>
      <c r="AE35" s="25">
        <f t="shared" si="71"/>
        <v>217</v>
      </c>
      <c r="AF35" s="25">
        <f t="shared" si="71"/>
        <v>21.6</v>
      </c>
      <c r="AG35" s="25">
        <f t="shared" si="71"/>
        <v>6</v>
      </c>
      <c r="AH35" s="25">
        <f t="shared" si="71"/>
        <v>28.8</v>
      </c>
      <c r="AI35" s="25">
        <f t="shared" si="71"/>
        <v>14.1</v>
      </c>
      <c r="AJ35" s="25">
        <f t="shared" si="71"/>
        <v>4172.6</v>
      </c>
      <c r="AK35" s="25">
        <f t="shared" si="71"/>
        <v>20228.1</v>
      </c>
      <c r="AL35" s="25">
        <f t="shared" si="7"/>
        <v>168376</v>
      </c>
    </row>
    <row r="36">
      <c r="A36" s="7" t="s">
        <v>125</v>
      </c>
      <c r="B36" s="25">
        <f>IFERROR(__xludf.DUMMYFUNCTION("split(A36, "" "")"),94.0)</f>
        <v>94</v>
      </c>
      <c r="C36" s="25">
        <f>IFERROR(__xludf.DUMMYFUNCTION("""COMPUTED_VALUE"""),146323.0)</f>
        <v>146323</v>
      </c>
      <c r="D36" s="25">
        <f>IFERROR(__xludf.DUMMYFUNCTION("""COMPUTED_VALUE"""),146358.0)</f>
        <v>146358</v>
      </c>
      <c r="E36" s="25">
        <f>IFERROR(__xludf.DUMMYFUNCTION("""COMPUTED_VALUE"""),146426.0)</f>
        <v>146426</v>
      </c>
      <c r="F36" s="25">
        <f>IFERROR(__xludf.DUMMYFUNCTION("""COMPUTED_VALUE"""),146485.0)</f>
        <v>146485</v>
      </c>
      <c r="G36" s="25">
        <f>IFERROR(__xludf.DUMMYFUNCTION("""COMPUTED_VALUE"""),146534.0)</f>
        <v>146534</v>
      </c>
      <c r="H36" s="25">
        <f>IFERROR(__xludf.DUMMYFUNCTION("""COMPUTED_VALUE"""),146752.0)</f>
        <v>146752</v>
      </c>
      <c r="I36" s="25">
        <f>IFERROR(__xludf.DUMMYFUNCTION("""COMPUTED_VALUE"""),146851.0)</f>
        <v>146851</v>
      </c>
      <c r="J36" s="25">
        <f>IFERROR(__xludf.DUMMYFUNCTION("""COMPUTED_VALUE"""),146866.0)</f>
        <v>146866</v>
      </c>
      <c r="K36" s="25">
        <f>IFERROR(__xludf.DUMMYFUNCTION("""COMPUTED_VALUE"""),146935.0)</f>
        <v>146935</v>
      </c>
      <c r="L36" s="25">
        <f>IFERROR(__xludf.DUMMYFUNCTION("""COMPUTED_VALUE"""),146981.0)</f>
        <v>146981</v>
      </c>
      <c r="M36" s="25">
        <f>IFERROR(__xludf.DUMMYFUNCTION("""COMPUTED_VALUE"""),225112.0)</f>
        <v>225112</v>
      </c>
      <c r="P36" s="25">
        <f t="shared" si="3"/>
        <v>146358</v>
      </c>
      <c r="Q36" s="25">
        <f t="shared" ref="Q36:Y36" si="72">E36-D36</f>
        <v>68</v>
      </c>
      <c r="R36" s="25">
        <f t="shared" si="72"/>
        <v>59</v>
      </c>
      <c r="S36" s="25">
        <f t="shared" si="72"/>
        <v>49</v>
      </c>
      <c r="T36" s="25">
        <f t="shared" si="72"/>
        <v>218</v>
      </c>
      <c r="U36" s="25">
        <f t="shared" si="72"/>
        <v>99</v>
      </c>
      <c r="V36" s="25">
        <f t="shared" si="72"/>
        <v>15</v>
      </c>
      <c r="W36" s="25">
        <f t="shared" si="72"/>
        <v>69</v>
      </c>
      <c r="X36" s="25">
        <f t="shared" si="72"/>
        <v>46</v>
      </c>
      <c r="Y36" s="25">
        <f t="shared" si="72"/>
        <v>78131</v>
      </c>
      <c r="Z36" s="25">
        <f t="shared" si="5"/>
        <v>225112</v>
      </c>
      <c r="AB36" s="25">
        <f t="shared" ref="AB36:AK36" si="73">P36*(P$1/10)</f>
        <v>146358</v>
      </c>
      <c r="AC36" s="25">
        <f t="shared" si="73"/>
        <v>61.2</v>
      </c>
      <c r="AD36" s="25">
        <f t="shared" si="73"/>
        <v>47.2</v>
      </c>
      <c r="AE36" s="25">
        <f t="shared" si="73"/>
        <v>34.3</v>
      </c>
      <c r="AF36" s="25">
        <f t="shared" si="73"/>
        <v>130.8</v>
      </c>
      <c r="AG36" s="25">
        <f t="shared" si="73"/>
        <v>49.5</v>
      </c>
      <c r="AH36" s="25">
        <f t="shared" si="73"/>
        <v>6</v>
      </c>
      <c r="AI36" s="25">
        <f t="shared" si="73"/>
        <v>20.7</v>
      </c>
      <c r="AJ36" s="25">
        <f t="shared" si="73"/>
        <v>9.2</v>
      </c>
      <c r="AK36" s="25">
        <f t="shared" si="73"/>
        <v>7813.1</v>
      </c>
      <c r="AL36" s="25">
        <f t="shared" si="7"/>
        <v>154530</v>
      </c>
    </row>
    <row r="37">
      <c r="A37" s="7" t="s">
        <v>126</v>
      </c>
      <c r="B37" s="25">
        <f>IFERROR(__xludf.DUMMYFUNCTION("split(A37, "" "")"),95.0)</f>
        <v>95</v>
      </c>
      <c r="C37" s="25">
        <f>IFERROR(__xludf.DUMMYFUNCTION("""COMPUTED_VALUE"""),199160.0)</f>
        <v>199160</v>
      </c>
      <c r="D37" s="25">
        <f>IFERROR(__xludf.DUMMYFUNCTION("""COMPUTED_VALUE"""),199281.0)</f>
        <v>199281</v>
      </c>
      <c r="E37" s="25">
        <f>IFERROR(__xludf.DUMMYFUNCTION("""COMPUTED_VALUE"""),199283.0)</f>
        <v>199283</v>
      </c>
      <c r="F37" s="25">
        <f>IFERROR(__xludf.DUMMYFUNCTION("""COMPUTED_VALUE"""),199288.0)</f>
        <v>199288</v>
      </c>
      <c r="G37" s="25">
        <f>IFERROR(__xludf.DUMMYFUNCTION("""COMPUTED_VALUE"""),199302.0)</f>
        <v>199302</v>
      </c>
      <c r="H37" s="25">
        <f>IFERROR(__xludf.DUMMYFUNCTION("""COMPUTED_VALUE"""),199778.0)</f>
        <v>199778</v>
      </c>
      <c r="I37" s="25">
        <f>IFERROR(__xludf.DUMMYFUNCTION("""COMPUTED_VALUE"""),199810.0)</f>
        <v>199810</v>
      </c>
      <c r="J37" s="25">
        <f>IFERROR(__xludf.DUMMYFUNCTION("""COMPUTED_VALUE"""),199848.0)</f>
        <v>199848</v>
      </c>
      <c r="K37" s="25">
        <f>IFERROR(__xludf.DUMMYFUNCTION("""COMPUTED_VALUE"""),199935.0)</f>
        <v>199935</v>
      </c>
      <c r="L37" s="25">
        <f>IFERROR(__xludf.DUMMYFUNCTION("""COMPUTED_VALUE"""),199968.0)</f>
        <v>199968</v>
      </c>
      <c r="M37" s="25">
        <f>IFERROR(__xludf.DUMMYFUNCTION("""COMPUTED_VALUE"""),249843.0)</f>
        <v>249843</v>
      </c>
      <c r="P37" s="25">
        <f t="shared" si="3"/>
        <v>199281</v>
      </c>
      <c r="Q37" s="25">
        <f t="shared" ref="Q37:Y37" si="74">E37-D37</f>
        <v>2</v>
      </c>
      <c r="R37" s="25">
        <f t="shared" si="74"/>
        <v>5</v>
      </c>
      <c r="S37" s="25">
        <f t="shared" si="74"/>
        <v>14</v>
      </c>
      <c r="T37" s="25">
        <f t="shared" si="74"/>
        <v>476</v>
      </c>
      <c r="U37" s="25">
        <f t="shared" si="74"/>
        <v>32</v>
      </c>
      <c r="V37" s="25">
        <f t="shared" si="74"/>
        <v>38</v>
      </c>
      <c r="W37" s="25">
        <f t="shared" si="74"/>
        <v>87</v>
      </c>
      <c r="X37" s="25">
        <f t="shared" si="74"/>
        <v>33</v>
      </c>
      <c r="Y37" s="25">
        <f t="shared" si="74"/>
        <v>49875</v>
      </c>
      <c r="Z37" s="25">
        <f t="shared" si="5"/>
        <v>249843</v>
      </c>
      <c r="AB37" s="25">
        <f t="shared" ref="AB37:AK37" si="75">P37*(P$1/10)</f>
        <v>199281</v>
      </c>
      <c r="AC37" s="25">
        <f t="shared" si="75"/>
        <v>1.8</v>
      </c>
      <c r="AD37" s="25">
        <f t="shared" si="75"/>
        <v>4</v>
      </c>
      <c r="AE37" s="25">
        <f t="shared" si="75"/>
        <v>9.8</v>
      </c>
      <c r="AF37" s="25">
        <f t="shared" si="75"/>
        <v>285.6</v>
      </c>
      <c r="AG37" s="25">
        <f t="shared" si="75"/>
        <v>16</v>
      </c>
      <c r="AH37" s="25">
        <f t="shared" si="75"/>
        <v>15.2</v>
      </c>
      <c r="AI37" s="25">
        <f t="shared" si="75"/>
        <v>26.1</v>
      </c>
      <c r="AJ37" s="25">
        <f t="shared" si="75"/>
        <v>6.6</v>
      </c>
      <c r="AK37" s="25">
        <f t="shared" si="75"/>
        <v>4987.5</v>
      </c>
      <c r="AL37" s="25">
        <f t="shared" si="7"/>
        <v>204633.6</v>
      </c>
    </row>
    <row r="38">
      <c r="A38" s="7" t="s">
        <v>127</v>
      </c>
      <c r="B38" s="25">
        <f>IFERROR(__xludf.DUMMYFUNCTION("split(A38, "" "")"),96.0)</f>
        <v>96</v>
      </c>
      <c r="C38" s="25">
        <f>IFERROR(__xludf.DUMMYFUNCTION("""COMPUTED_VALUE"""),297037.0)</f>
        <v>297037</v>
      </c>
      <c r="D38" s="25">
        <f>IFERROR(__xludf.DUMMYFUNCTION("""COMPUTED_VALUE"""),297130.0)</f>
        <v>297130</v>
      </c>
      <c r="E38" s="25">
        <f>IFERROR(__xludf.DUMMYFUNCTION("""COMPUTED_VALUE"""),297387.0)</f>
        <v>297387</v>
      </c>
      <c r="F38" s="25">
        <f>IFERROR(__xludf.DUMMYFUNCTION("""COMPUTED_VALUE"""),297810.0)</f>
        <v>297810</v>
      </c>
      <c r="G38" s="25">
        <f>IFERROR(__xludf.DUMMYFUNCTION("""COMPUTED_VALUE"""),297830.0)</f>
        <v>297830</v>
      </c>
      <c r="H38" s="25">
        <f>IFERROR(__xludf.DUMMYFUNCTION("""COMPUTED_VALUE"""),297952.0)</f>
        <v>297952</v>
      </c>
      <c r="I38" s="25">
        <f>IFERROR(__xludf.DUMMYFUNCTION("""COMPUTED_VALUE"""),298052.0)</f>
        <v>298052</v>
      </c>
      <c r="J38" s="25">
        <f>IFERROR(__xludf.DUMMYFUNCTION("""COMPUTED_VALUE"""),298155.0)</f>
        <v>298155</v>
      </c>
      <c r="K38" s="25">
        <f>IFERROR(__xludf.DUMMYFUNCTION("""COMPUTED_VALUE"""),369293.0)</f>
        <v>369293</v>
      </c>
      <c r="L38" s="25">
        <f>IFERROR(__xludf.DUMMYFUNCTION("""COMPUTED_VALUE"""),397834.0)</f>
        <v>397834</v>
      </c>
      <c r="M38" s="25">
        <f>IFERROR(__xludf.DUMMYFUNCTION("""COMPUTED_VALUE"""),425360.0)</f>
        <v>425360</v>
      </c>
      <c r="P38" s="25">
        <f t="shared" si="3"/>
        <v>297130</v>
      </c>
      <c r="Q38" s="25">
        <f t="shared" ref="Q38:Y38" si="76">E38-D38</f>
        <v>257</v>
      </c>
      <c r="R38" s="25">
        <f t="shared" si="76"/>
        <v>423</v>
      </c>
      <c r="S38" s="25">
        <f t="shared" si="76"/>
        <v>20</v>
      </c>
      <c r="T38" s="25">
        <f t="shared" si="76"/>
        <v>122</v>
      </c>
      <c r="U38" s="25">
        <f t="shared" si="76"/>
        <v>100</v>
      </c>
      <c r="V38" s="25">
        <f t="shared" si="76"/>
        <v>103</v>
      </c>
      <c r="W38" s="25">
        <f t="shared" si="76"/>
        <v>71138</v>
      </c>
      <c r="X38" s="25">
        <f t="shared" si="76"/>
        <v>28541</v>
      </c>
      <c r="Y38" s="25">
        <f t="shared" si="76"/>
        <v>27526</v>
      </c>
      <c r="Z38" s="25">
        <f t="shared" si="5"/>
        <v>425360</v>
      </c>
      <c r="AB38" s="25">
        <f t="shared" ref="AB38:AK38" si="77">P38*(P$1/10)</f>
        <v>297130</v>
      </c>
      <c r="AC38" s="25">
        <f t="shared" si="77"/>
        <v>231.3</v>
      </c>
      <c r="AD38" s="25">
        <f t="shared" si="77"/>
        <v>338.4</v>
      </c>
      <c r="AE38" s="25">
        <f t="shared" si="77"/>
        <v>14</v>
      </c>
      <c r="AF38" s="25">
        <f t="shared" si="77"/>
        <v>73.2</v>
      </c>
      <c r="AG38" s="25">
        <f t="shared" si="77"/>
        <v>50</v>
      </c>
      <c r="AH38" s="25">
        <f t="shared" si="77"/>
        <v>41.2</v>
      </c>
      <c r="AI38" s="25">
        <f t="shared" si="77"/>
        <v>21341.4</v>
      </c>
      <c r="AJ38" s="25">
        <f t="shared" si="77"/>
        <v>5708.2</v>
      </c>
      <c r="AK38" s="25">
        <f t="shared" si="77"/>
        <v>2752.6</v>
      </c>
      <c r="AL38" s="25">
        <f t="shared" si="7"/>
        <v>327680.3</v>
      </c>
    </row>
    <row r="39">
      <c r="A39" s="7" t="s">
        <v>128</v>
      </c>
      <c r="B39" s="25">
        <f>IFERROR(__xludf.DUMMYFUNCTION("split(A39, "" "")"),97.0)</f>
        <v>97</v>
      </c>
      <c r="C39" s="25">
        <f>IFERROR(__xludf.DUMMYFUNCTION("""COMPUTED_VALUE"""),304805.0)</f>
        <v>304805</v>
      </c>
      <c r="D39" s="25">
        <f>IFERROR(__xludf.DUMMYFUNCTION("""COMPUTED_VALUE"""),304879.0)</f>
        <v>304879</v>
      </c>
      <c r="E39" s="25">
        <f>IFERROR(__xludf.DUMMYFUNCTION("""COMPUTED_VALUE"""),304898.0)</f>
        <v>304898</v>
      </c>
      <c r="F39" s="25">
        <f>IFERROR(__xludf.DUMMYFUNCTION("""COMPUTED_VALUE"""),305011.0)</f>
        <v>305011</v>
      </c>
      <c r="G39" s="25">
        <f>IFERROR(__xludf.DUMMYFUNCTION("""COMPUTED_VALUE"""),305713.0)</f>
        <v>305713</v>
      </c>
      <c r="H39" s="25">
        <f>IFERROR(__xludf.DUMMYFUNCTION("""COMPUTED_VALUE"""),305714.0)</f>
        <v>305714</v>
      </c>
      <c r="I39" s="25">
        <f>IFERROR(__xludf.DUMMYFUNCTION("""COMPUTED_VALUE"""),305738.0)</f>
        <v>305738</v>
      </c>
      <c r="J39" s="25">
        <f>IFERROR(__xludf.DUMMYFUNCTION("""COMPUTED_VALUE"""),305890.0)</f>
        <v>305890</v>
      </c>
      <c r="K39" s="25">
        <f>IFERROR(__xludf.DUMMYFUNCTION("""COMPUTED_VALUE"""),309889.0)</f>
        <v>309889</v>
      </c>
      <c r="L39" s="25">
        <f>IFERROR(__xludf.DUMMYFUNCTION("""COMPUTED_VALUE"""),392091.0)</f>
        <v>392091</v>
      </c>
      <c r="M39" s="25">
        <f>IFERROR(__xludf.DUMMYFUNCTION("""COMPUTED_VALUE"""),434369.0)</f>
        <v>434369</v>
      </c>
      <c r="P39" s="25">
        <f t="shared" si="3"/>
        <v>304879</v>
      </c>
      <c r="Q39" s="25">
        <f t="shared" ref="Q39:Y39" si="78">E39-D39</f>
        <v>19</v>
      </c>
      <c r="R39" s="25">
        <f t="shared" si="78"/>
        <v>113</v>
      </c>
      <c r="S39" s="25">
        <f t="shared" si="78"/>
        <v>702</v>
      </c>
      <c r="T39" s="25">
        <f t="shared" si="78"/>
        <v>1</v>
      </c>
      <c r="U39" s="25">
        <f t="shared" si="78"/>
        <v>24</v>
      </c>
      <c r="V39" s="25">
        <f t="shared" si="78"/>
        <v>152</v>
      </c>
      <c r="W39" s="25">
        <f t="shared" si="78"/>
        <v>3999</v>
      </c>
      <c r="X39" s="25">
        <f t="shared" si="78"/>
        <v>82202</v>
      </c>
      <c r="Y39" s="25">
        <f t="shared" si="78"/>
        <v>42278</v>
      </c>
      <c r="Z39" s="25">
        <f t="shared" si="5"/>
        <v>434369</v>
      </c>
      <c r="AB39" s="25">
        <f t="shared" ref="AB39:AK39" si="79">P39*(P$1/10)</f>
        <v>304879</v>
      </c>
      <c r="AC39" s="25">
        <f t="shared" si="79"/>
        <v>17.1</v>
      </c>
      <c r="AD39" s="25">
        <f t="shared" si="79"/>
        <v>90.4</v>
      </c>
      <c r="AE39" s="25">
        <f t="shared" si="79"/>
        <v>491.4</v>
      </c>
      <c r="AF39" s="25">
        <f t="shared" si="79"/>
        <v>0.6</v>
      </c>
      <c r="AG39" s="25">
        <f t="shared" si="79"/>
        <v>12</v>
      </c>
      <c r="AH39" s="25">
        <f t="shared" si="79"/>
        <v>60.8</v>
      </c>
      <c r="AI39" s="25">
        <f t="shared" si="79"/>
        <v>1199.7</v>
      </c>
      <c r="AJ39" s="25">
        <f t="shared" si="79"/>
        <v>16440.4</v>
      </c>
      <c r="AK39" s="25">
        <f t="shared" si="79"/>
        <v>4227.8</v>
      </c>
      <c r="AL39" s="25">
        <f t="shared" si="7"/>
        <v>327419.2</v>
      </c>
    </row>
    <row r="40">
      <c r="A40" s="7" t="s">
        <v>129</v>
      </c>
      <c r="B40" s="25">
        <f>IFERROR(__xludf.DUMMYFUNCTION("split(A40, "" "")"),98.0)</f>
        <v>98</v>
      </c>
      <c r="C40" s="25">
        <f>IFERROR(__xludf.DUMMYFUNCTION("""COMPUTED_VALUE"""),342643.0)</f>
        <v>342643</v>
      </c>
      <c r="D40" s="25">
        <f>IFERROR(__xludf.DUMMYFUNCTION("""COMPUTED_VALUE"""),342683.0)</f>
        <v>342683</v>
      </c>
      <c r="E40" s="25">
        <f>IFERROR(__xludf.DUMMYFUNCTION("""COMPUTED_VALUE"""),342772.0)</f>
        <v>342772</v>
      </c>
      <c r="F40" s="25">
        <f>IFERROR(__xludf.DUMMYFUNCTION("""COMPUTED_VALUE"""),342859.0)</f>
        <v>342859</v>
      </c>
      <c r="G40" s="25">
        <f>IFERROR(__xludf.DUMMYFUNCTION("""COMPUTED_VALUE"""),343611.0)</f>
        <v>343611</v>
      </c>
      <c r="H40" s="25">
        <f>IFERROR(__xludf.DUMMYFUNCTION("""COMPUTED_VALUE"""),343734.0)</f>
        <v>343734</v>
      </c>
      <c r="I40" s="25">
        <f>IFERROR(__xludf.DUMMYFUNCTION("""COMPUTED_VALUE"""),343807.0)</f>
        <v>343807</v>
      </c>
      <c r="J40" s="25">
        <f>IFERROR(__xludf.DUMMYFUNCTION("""COMPUTED_VALUE"""),343982.0)</f>
        <v>343982</v>
      </c>
      <c r="K40" s="25">
        <f>IFERROR(__xludf.DUMMYFUNCTION("""COMPUTED_VALUE"""),348326.0)</f>
        <v>348326</v>
      </c>
      <c r="L40" s="25">
        <f>IFERROR(__xludf.DUMMYFUNCTION("""COMPUTED_VALUE"""),411339.0)</f>
        <v>411339</v>
      </c>
      <c r="M40" s="25">
        <f>IFERROR(__xludf.DUMMYFUNCTION("""COMPUTED_VALUE"""),995151.0)</f>
        <v>995151</v>
      </c>
      <c r="P40" s="25">
        <f t="shared" si="3"/>
        <v>342683</v>
      </c>
      <c r="Q40" s="25">
        <f t="shared" ref="Q40:Y40" si="80">E40-D40</f>
        <v>89</v>
      </c>
      <c r="R40" s="25">
        <f t="shared" si="80"/>
        <v>87</v>
      </c>
      <c r="S40" s="25">
        <f t="shared" si="80"/>
        <v>752</v>
      </c>
      <c r="T40" s="25">
        <f t="shared" si="80"/>
        <v>123</v>
      </c>
      <c r="U40" s="25">
        <f t="shared" si="80"/>
        <v>73</v>
      </c>
      <c r="V40" s="25">
        <f t="shared" si="80"/>
        <v>175</v>
      </c>
      <c r="W40" s="25">
        <f t="shared" si="80"/>
        <v>4344</v>
      </c>
      <c r="X40" s="25">
        <f t="shared" si="80"/>
        <v>63013</v>
      </c>
      <c r="Y40" s="25">
        <f t="shared" si="80"/>
        <v>583812</v>
      </c>
      <c r="Z40" s="25">
        <f t="shared" si="5"/>
        <v>995151</v>
      </c>
      <c r="AB40" s="25">
        <f t="shared" ref="AB40:AK40" si="81">P40*(P$1/10)</f>
        <v>342683</v>
      </c>
      <c r="AC40" s="25">
        <f t="shared" si="81"/>
        <v>80.1</v>
      </c>
      <c r="AD40" s="25">
        <f t="shared" si="81"/>
        <v>69.6</v>
      </c>
      <c r="AE40" s="25">
        <f t="shared" si="81"/>
        <v>526.4</v>
      </c>
      <c r="AF40" s="25">
        <f t="shared" si="81"/>
        <v>73.8</v>
      </c>
      <c r="AG40" s="25">
        <f t="shared" si="81"/>
        <v>36.5</v>
      </c>
      <c r="AH40" s="25">
        <f t="shared" si="81"/>
        <v>70</v>
      </c>
      <c r="AI40" s="25">
        <f t="shared" si="81"/>
        <v>1303.2</v>
      </c>
      <c r="AJ40" s="25">
        <f t="shared" si="81"/>
        <v>12602.6</v>
      </c>
      <c r="AK40" s="25">
        <f t="shared" si="81"/>
        <v>58381.2</v>
      </c>
      <c r="AL40" s="25">
        <f t="shared" si="7"/>
        <v>415826.4</v>
      </c>
    </row>
    <row r="41">
      <c r="A41" s="7" t="s">
        <v>130</v>
      </c>
      <c r="B41" s="25">
        <f>IFERROR(__xludf.DUMMYFUNCTION("split(A41, "" "")"),99.0)</f>
        <v>99</v>
      </c>
      <c r="C41" s="25">
        <f>IFERROR(__xludf.DUMMYFUNCTION("""COMPUTED_VALUE"""),489679.0)</f>
        <v>489679</v>
      </c>
      <c r="D41" s="25">
        <f>IFERROR(__xludf.DUMMYFUNCTION("""COMPUTED_VALUE"""),489690.0)</f>
        <v>489690</v>
      </c>
      <c r="E41" s="25">
        <f>IFERROR(__xludf.DUMMYFUNCTION("""COMPUTED_VALUE"""),489879.0)</f>
        <v>489879</v>
      </c>
      <c r="F41" s="25">
        <f>IFERROR(__xludf.DUMMYFUNCTION("""COMPUTED_VALUE"""),489889.0)</f>
        <v>489889</v>
      </c>
      <c r="G41" s="25">
        <f>IFERROR(__xludf.DUMMYFUNCTION("""COMPUTED_VALUE"""),489907.0)</f>
        <v>489907</v>
      </c>
      <c r="H41" s="25">
        <f>IFERROR(__xludf.DUMMYFUNCTION("""COMPUTED_VALUE"""),490693.0)</f>
        <v>490693</v>
      </c>
      <c r="I41" s="25">
        <f>IFERROR(__xludf.DUMMYFUNCTION("""COMPUTED_VALUE"""),490972.0)</f>
        <v>490972</v>
      </c>
      <c r="J41" s="25">
        <f>IFERROR(__xludf.DUMMYFUNCTION("""COMPUTED_VALUE"""),491020.0)</f>
        <v>491020</v>
      </c>
      <c r="K41" s="25">
        <f>IFERROR(__xludf.DUMMYFUNCTION("""COMPUTED_VALUE"""),491063.0)</f>
        <v>491063</v>
      </c>
      <c r="L41" s="25">
        <f>IFERROR(__xludf.DUMMYFUNCTION("""COMPUTED_VALUE"""),491156.0)</f>
        <v>491156</v>
      </c>
      <c r="M41" s="25">
        <f>IFERROR(__xludf.DUMMYFUNCTION("""COMPUTED_VALUE"""),708811.0)</f>
        <v>708811</v>
      </c>
      <c r="P41" s="25">
        <f t="shared" si="3"/>
        <v>489690</v>
      </c>
      <c r="Q41" s="25">
        <f t="shared" ref="Q41:Y41" si="82">E41-D41</f>
        <v>189</v>
      </c>
      <c r="R41" s="25">
        <f t="shared" si="82"/>
        <v>10</v>
      </c>
      <c r="S41" s="25">
        <f t="shared" si="82"/>
        <v>18</v>
      </c>
      <c r="T41" s="25">
        <f t="shared" si="82"/>
        <v>786</v>
      </c>
      <c r="U41" s="25">
        <f t="shared" si="82"/>
        <v>279</v>
      </c>
      <c r="V41" s="25">
        <f t="shared" si="82"/>
        <v>48</v>
      </c>
      <c r="W41" s="25">
        <f t="shared" si="82"/>
        <v>43</v>
      </c>
      <c r="X41" s="25">
        <f t="shared" si="82"/>
        <v>93</v>
      </c>
      <c r="Y41" s="25">
        <f t="shared" si="82"/>
        <v>217655</v>
      </c>
      <c r="Z41" s="25">
        <f t="shared" si="5"/>
        <v>708811</v>
      </c>
      <c r="AB41" s="25">
        <f t="shared" ref="AB41:AK41" si="83">P41*(P$1/10)</f>
        <v>489690</v>
      </c>
      <c r="AC41" s="25">
        <f t="shared" si="83"/>
        <v>170.1</v>
      </c>
      <c r="AD41" s="25">
        <f t="shared" si="83"/>
        <v>8</v>
      </c>
      <c r="AE41" s="25">
        <f t="shared" si="83"/>
        <v>12.6</v>
      </c>
      <c r="AF41" s="25">
        <f t="shared" si="83"/>
        <v>471.6</v>
      </c>
      <c r="AG41" s="25">
        <f t="shared" si="83"/>
        <v>139.5</v>
      </c>
      <c r="AH41" s="25">
        <f t="shared" si="83"/>
        <v>19.2</v>
      </c>
      <c r="AI41" s="25">
        <f t="shared" si="83"/>
        <v>12.9</v>
      </c>
      <c r="AJ41" s="25">
        <f t="shared" si="83"/>
        <v>18.6</v>
      </c>
      <c r="AK41" s="25">
        <f t="shared" si="83"/>
        <v>21765.5</v>
      </c>
      <c r="AL41" s="25">
        <f t="shared" si="7"/>
        <v>512308</v>
      </c>
    </row>
    <row r="42">
      <c r="A42" s="7" t="s">
        <v>131</v>
      </c>
      <c r="B42" s="25">
        <f>IFERROR(__xludf.DUMMYFUNCTION("split(A42, "" "")"),100.0)</f>
        <v>100</v>
      </c>
      <c r="C42" s="25">
        <f>IFERROR(__xludf.DUMMYFUNCTION("""COMPUTED_VALUE"""),788233.0)</f>
        <v>788233</v>
      </c>
      <c r="D42" s="25">
        <f>IFERROR(__xludf.DUMMYFUNCTION("""COMPUTED_VALUE"""),788341.0)</f>
        <v>788341</v>
      </c>
      <c r="E42" s="25">
        <f>IFERROR(__xludf.DUMMYFUNCTION("""COMPUTED_VALUE"""),788818.0)</f>
        <v>788818</v>
      </c>
      <c r="F42" s="25">
        <f>IFERROR(__xludf.DUMMYFUNCTION("""COMPUTED_VALUE"""),789859.0)</f>
        <v>789859</v>
      </c>
      <c r="G42" s="25">
        <f>IFERROR(__xludf.DUMMYFUNCTION("""COMPUTED_VALUE"""),790070.0)</f>
        <v>790070</v>
      </c>
      <c r="H42" s="25">
        <f>IFERROR(__xludf.DUMMYFUNCTION("""COMPUTED_VALUE"""),790240.0)</f>
        <v>790240</v>
      </c>
      <c r="I42" s="25">
        <f>IFERROR(__xludf.DUMMYFUNCTION("""COMPUTED_VALUE"""),790279.0)</f>
        <v>790279</v>
      </c>
      <c r="J42" s="25">
        <f>IFERROR(__xludf.DUMMYFUNCTION("""COMPUTED_VALUE"""),790464.0)</f>
        <v>790464</v>
      </c>
      <c r="K42" s="25">
        <f>IFERROR(__xludf.DUMMYFUNCTION("""COMPUTED_VALUE"""),821107.0)</f>
        <v>821107</v>
      </c>
      <c r="L42" s="25">
        <f>IFERROR(__xludf.DUMMYFUNCTION("""COMPUTED_VALUE"""),905067.0)</f>
        <v>905067</v>
      </c>
      <c r="M42" s="25">
        <f>IFERROR(__xludf.DUMMYFUNCTION("""COMPUTED_VALUE"""),1105457.0)</f>
        <v>1105457</v>
      </c>
      <c r="P42" s="25">
        <f t="shared" si="3"/>
        <v>788341</v>
      </c>
      <c r="Q42" s="25">
        <f t="shared" ref="Q42:Y42" si="84">E42-D42</f>
        <v>477</v>
      </c>
      <c r="R42" s="25">
        <f t="shared" si="84"/>
        <v>1041</v>
      </c>
      <c r="S42" s="25">
        <f t="shared" si="84"/>
        <v>211</v>
      </c>
      <c r="T42" s="25">
        <f t="shared" si="84"/>
        <v>170</v>
      </c>
      <c r="U42" s="25">
        <f t="shared" si="84"/>
        <v>39</v>
      </c>
      <c r="V42" s="25">
        <f t="shared" si="84"/>
        <v>185</v>
      </c>
      <c r="W42" s="25">
        <f t="shared" si="84"/>
        <v>30643</v>
      </c>
      <c r="X42" s="25">
        <f t="shared" si="84"/>
        <v>83960</v>
      </c>
      <c r="Y42" s="25">
        <f t="shared" si="84"/>
        <v>200390</v>
      </c>
      <c r="Z42" s="25">
        <f t="shared" si="5"/>
        <v>1105457</v>
      </c>
      <c r="AB42" s="25">
        <f t="shared" ref="AB42:AK42" si="85">P42*(P$1/10)</f>
        <v>788341</v>
      </c>
      <c r="AC42" s="25">
        <f t="shared" si="85"/>
        <v>429.3</v>
      </c>
      <c r="AD42" s="25">
        <f t="shared" si="85"/>
        <v>832.8</v>
      </c>
      <c r="AE42" s="25">
        <f t="shared" si="85"/>
        <v>147.7</v>
      </c>
      <c r="AF42" s="25">
        <f t="shared" si="85"/>
        <v>102</v>
      </c>
      <c r="AG42" s="25">
        <f t="shared" si="85"/>
        <v>19.5</v>
      </c>
      <c r="AH42" s="25">
        <f t="shared" si="85"/>
        <v>74</v>
      </c>
      <c r="AI42" s="25">
        <f t="shared" si="85"/>
        <v>9192.9</v>
      </c>
      <c r="AJ42" s="25">
        <f t="shared" si="85"/>
        <v>16792</v>
      </c>
      <c r="AK42" s="25">
        <f t="shared" si="85"/>
        <v>20039</v>
      </c>
      <c r="AL42" s="25">
        <f t="shared" si="7"/>
        <v>835970.2</v>
      </c>
    </row>
    <row r="43">
      <c r="A43" s="7" t="s">
        <v>132</v>
      </c>
      <c r="B43" s="25">
        <f>IFERROR(__xludf.DUMMYFUNCTION("split(A43, "" "")"),101.0)</f>
        <v>101</v>
      </c>
      <c r="C43" s="25">
        <f>IFERROR(__xludf.DUMMYFUNCTION("""COMPUTED_VALUE"""),758502.0)</f>
        <v>758502</v>
      </c>
      <c r="D43" s="25">
        <f>IFERROR(__xludf.DUMMYFUNCTION("""COMPUTED_VALUE"""),758593.0)</f>
        <v>758593</v>
      </c>
      <c r="E43" s="25">
        <f>IFERROR(__xludf.DUMMYFUNCTION("""COMPUTED_VALUE"""),758772.0)</f>
        <v>758772</v>
      </c>
      <c r="F43" s="25">
        <f>IFERROR(__xludf.DUMMYFUNCTION("""COMPUTED_VALUE"""),758772.0)</f>
        <v>758772</v>
      </c>
      <c r="G43" s="25">
        <f>IFERROR(__xludf.DUMMYFUNCTION("""COMPUTED_VALUE"""),760342.0)</f>
        <v>760342</v>
      </c>
      <c r="H43" s="25">
        <f>IFERROR(__xludf.DUMMYFUNCTION("""COMPUTED_VALUE"""),760354.0)</f>
        <v>760354</v>
      </c>
      <c r="I43" s="25">
        <f>IFERROR(__xludf.DUMMYFUNCTION("""COMPUTED_VALUE"""),760532.0)</f>
        <v>760532</v>
      </c>
      <c r="J43" s="25">
        <f>IFERROR(__xludf.DUMMYFUNCTION("""COMPUTED_VALUE"""),760581.0)</f>
        <v>760581</v>
      </c>
      <c r="K43" s="25">
        <f>IFERROR(__xludf.DUMMYFUNCTION("""COMPUTED_VALUE"""),760595.0)</f>
        <v>760595</v>
      </c>
      <c r="L43" s="25">
        <f>IFERROR(__xludf.DUMMYFUNCTION("""COMPUTED_VALUE"""),792654.0)</f>
        <v>792654</v>
      </c>
      <c r="M43" s="25">
        <f>IFERROR(__xludf.DUMMYFUNCTION("""COMPUTED_VALUE"""),1225133.0)</f>
        <v>1225133</v>
      </c>
      <c r="P43" s="25">
        <f t="shared" si="3"/>
        <v>758593</v>
      </c>
      <c r="Q43" s="25">
        <f t="shared" ref="Q43:Y43" si="86">E43-D43</f>
        <v>179</v>
      </c>
      <c r="R43" s="25">
        <f t="shared" si="86"/>
        <v>0</v>
      </c>
      <c r="S43" s="25">
        <f t="shared" si="86"/>
        <v>1570</v>
      </c>
      <c r="T43" s="25">
        <f t="shared" si="86"/>
        <v>12</v>
      </c>
      <c r="U43" s="25">
        <f t="shared" si="86"/>
        <v>178</v>
      </c>
      <c r="V43" s="25">
        <f t="shared" si="86"/>
        <v>49</v>
      </c>
      <c r="W43" s="25">
        <f t="shared" si="86"/>
        <v>14</v>
      </c>
      <c r="X43" s="25">
        <f t="shared" si="86"/>
        <v>32059</v>
      </c>
      <c r="Y43" s="25">
        <f t="shared" si="86"/>
        <v>432479</v>
      </c>
      <c r="Z43" s="25">
        <f t="shared" si="5"/>
        <v>1225133</v>
      </c>
      <c r="AB43" s="25">
        <f t="shared" ref="AB43:AK43" si="87">P43*(P$1/10)</f>
        <v>758593</v>
      </c>
      <c r="AC43" s="25">
        <f t="shared" si="87"/>
        <v>161.1</v>
      </c>
      <c r="AD43" s="25">
        <f t="shared" si="87"/>
        <v>0</v>
      </c>
      <c r="AE43" s="25">
        <f t="shared" si="87"/>
        <v>1099</v>
      </c>
      <c r="AF43" s="25">
        <f t="shared" si="87"/>
        <v>7.2</v>
      </c>
      <c r="AG43" s="25">
        <f t="shared" si="87"/>
        <v>89</v>
      </c>
      <c r="AH43" s="25">
        <f t="shared" si="87"/>
        <v>19.6</v>
      </c>
      <c r="AI43" s="25">
        <f t="shared" si="87"/>
        <v>4.2</v>
      </c>
      <c r="AJ43" s="25">
        <f t="shared" si="87"/>
        <v>6411.8</v>
      </c>
      <c r="AK43" s="25">
        <f t="shared" si="87"/>
        <v>43247.9</v>
      </c>
      <c r="AL43" s="25">
        <f t="shared" si="7"/>
        <v>809632.8</v>
      </c>
    </row>
    <row r="44">
      <c r="A44" s="7" t="s">
        <v>133</v>
      </c>
      <c r="B44" s="25">
        <f>IFERROR(__xludf.DUMMYFUNCTION("split(A44, "" "")"),102.0)</f>
        <v>102</v>
      </c>
      <c r="C44" s="25">
        <f>IFERROR(__xludf.DUMMYFUNCTION("""COMPUTED_VALUE"""),866721.0)</f>
        <v>866721</v>
      </c>
      <c r="D44" s="25">
        <f>IFERROR(__xludf.DUMMYFUNCTION("""COMPUTED_VALUE"""),866865.0)</f>
        <v>866865</v>
      </c>
      <c r="E44" s="25">
        <f>IFERROR(__xludf.DUMMYFUNCTION("""COMPUTED_VALUE"""),866868.0)</f>
        <v>866868</v>
      </c>
      <c r="F44" s="25">
        <f>IFERROR(__xludf.DUMMYFUNCTION("""COMPUTED_VALUE"""),866888.0)</f>
        <v>866888</v>
      </c>
      <c r="G44" s="25">
        <f>IFERROR(__xludf.DUMMYFUNCTION("""COMPUTED_VALUE"""),869011.0)</f>
        <v>869011</v>
      </c>
      <c r="H44" s="25">
        <f>IFERROR(__xludf.DUMMYFUNCTION("""COMPUTED_VALUE"""),869070.0)</f>
        <v>869070</v>
      </c>
      <c r="I44" s="25">
        <f>IFERROR(__xludf.DUMMYFUNCTION("""COMPUTED_VALUE"""),869116.0)</f>
        <v>869116</v>
      </c>
      <c r="J44" s="25">
        <f>IFERROR(__xludf.DUMMYFUNCTION("""COMPUTED_VALUE"""),869238.0)</f>
        <v>869238</v>
      </c>
      <c r="K44" s="25">
        <f>IFERROR(__xludf.DUMMYFUNCTION("""COMPUTED_VALUE"""),869291.0)</f>
        <v>869291</v>
      </c>
      <c r="L44" s="25">
        <f>IFERROR(__xludf.DUMMYFUNCTION("""COMPUTED_VALUE"""),1115913.0)</f>
        <v>1115913</v>
      </c>
      <c r="M44" s="25">
        <f>IFERROR(__xludf.DUMMYFUNCTION("""COMPUTED_VALUE"""),1201513.0)</f>
        <v>1201513</v>
      </c>
      <c r="P44" s="25">
        <f t="shared" si="3"/>
        <v>866865</v>
      </c>
      <c r="Q44" s="25">
        <f t="shared" ref="Q44:Y44" si="88">E44-D44</f>
        <v>3</v>
      </c>
      <c r="R44" s="25">
        <f t="shared" si="88"/>
        <v>20</v>
      </c>
      <c r="S44" s="25">
        <f t="shared" si="88"/>
        <v>2123</v>
      </c>
      <c r="T44" s="25">
        <f t="shared" si="88"/>
        <v>59</v>
      </c>
      <c r="U44" s="25">
        <f t="shared" si="88"/>
        <v>46</v>
      </c>
      <c r="V44" s="25">
        <f t="shared" si="88"/>
        <v>122</v>
      </c>
      <c r="W44" s="25">
        <f t="shared" si="88"/>
        <v>53</v>
      </c>
      <c r="X44" s="25">
        <f t="shared" si="88"/>
        <v>246622</v>
      </c>
      <c r="Y44" s="25">
        <f t="shared" si="88"/>
        <v>85600</v>
      </c>
      <c r="Z44" s="25">
        <f t="shared" si="5"/>
        <v>1201513</v>
      </c>
      <c r="AB44" s="25">
        <f t="shared" ref="AB44:AK44" si="89">P44*(P$1/10)</f>
        <v>866865</v>
      </c>
      <c r="AC44" s="25">
        <f t="shared" si="89"/>
        <v>2.7</v>
      </c>
      <c r="AD44" s="25">
        <f t="shared" si="89"/>
        <v>16</v>
      </c>
      <c r="AE44" s="25">
        <f t="shared" si="89"/>
        <v>1486.1</v>
      </c>
      <c r="AF44" s="25">
        <f t="shared" si="89"/>
        <v>35.4</v>
      </c>
      <c r="AG44" s="25">
        <f t="shared" si="89"/>
        <v>23</v>
      </c>
      <c r="AH44" s="25">
        <f t="shared" si="89"/>
        <v>48.8</v>
      </c>
      <c r="AI44" s="25">
        <f t="shared" si="89"/>
        <v>15.9</v>
      </c>
      <c r="AJ44" s="25">
        <f t="shared" si="89"/>
        <v>49324.4</v>
      </c>
      <c r="AK44" s="25">
        <f t="shared" si="89"/>
        <v>8560</v>
      </c>
      <c r="AL44" s="25">
        <f t="shared" si="7"/>
        <v>926377.3</v>
      </c>
    </row>
    <row r="45">
      <c r="A45" s="7" t="s">
        <v>134</v>
      </c>
      <c r="B45" s="25">
        <f>IFERROR(__xludf.DUMMYFUNCTION("split(A45, "" "")"),103.0)</f>
        <v>103</v>
      </c>
      <c r="C45" s="25">
        <f>IFERROR(__xludf.DUMMYFUNCTION("""COMPUTED_VALUE"""),893072.0)</f>
        <v>893072</v>
      </c>
      <c r="D45" s="25">
        <f>IFERROR(__xludf.DUMMYFUNCTION("""COMPUTED_VALUE"""),893121.0)</f>
        <v>893121</v>
      </c>
      <c r="E45" s="25">
        <f>IFERROR(__xludf.DUMMYFUNCTION("""COMPUTED_VALUE"""),893228.0)</f>
        <v>893228</v>
      </c>
      <c r="F45" s="25">
        <f>IFERROR(__xludf.DUMMYFUNCTION("""COMPUTED_VALUE"""),893281.0)</f>
        <v>893281</v>
      </c>
      <c r="G45" s="25">
        <f>IFERROR(__xludf.DUMMYFUNCTION("""COMPUTED_VALUE"""),895387.0)</f>
        <v>895387</v>
      </c>
      <c r="H45" s="25">
        <f>IFERROR(__xludf.DUMMYFUNCTION("""COMPUTED_VALUE"""),895659.0)</f>
        <v>895659</v>
      </c>
      <c r="I45" s="25">
        <f>IFERROR(__xludf.DUMMYFUNCTION("""COMPUTED_VALUE"""),895755.0)</f>
        <v>895755</v>
      </c>
      <c r="J45" s="25">
        <f>IFERROR(__xludf.DUMMYFUNCTION("""COMPUTED_VALUE"""),895989.0)</f>
        <v>895989</v>
      </c>
      <c r="K45" s="25">
        <f>IFERROR(__xludf.DUMMYFUNCTION("""COMPUTED_VALUE"""),896198.0)</f>
        <v>896198</v>
      </c>
      <c r="L45" s="25">
        <f>IFERROR(__xludf.DUMMYFUNCTION("""COMPUTED_VALUE"""),1201197.0)</f>
        <v>1201197</v>
      </c>
      <c r="M45" s="25">
        <f>IFERROR(__xludf.DUMMYFUNCTION("""COMPUTED_VALUE"""),2701813.0)</f>
        <v>2701813</v>
      </c>
      <c r="P45" s="25">
        <f t="shared" si="3"/>
        <v>893121</v>
      </c>
      <c r="Q45" s="25">
        <f t="shared" ref="Q45:Y45" si="90">E45-D45</f>
        <v>107</v>
      </c>
      <c r="R45" s="25">
        <f t="shared" si="90"/>
        <v>53</v>
      </c>
      <c r="S45" s="25">
        <f t="shared" si="90"/>
        <v>2106</v>
      </c>
      <c r="T45" s="25">
        <f t="shared" si="90"/>
        <v>272</v>
      </c>
      <c r="U45" s="25">
        <f t="shared" si="90"/>
        <v>96</v>
      </c>
      <c r="V45" s="25">
        <f t="shared" si="90"/>
        <v>234</v>
      </c>
      <c r="W45" s="25">
        <f t="shared" si="90"/>
        <v>209</v>
      </c>
      <c r="X45" s="25">
        <f t="shared" si="90"/>
        <v>304999</v>
      </c>
      <c r="Y45" s="25">
        <f t="shared" si="90"/>
        <v>1500616</v>
      </c>
      <c r="Z45" s="25">
        <f t="shared" si="5"/>
        <v>2701813</v>
      </c>
      <c r="AB45" s="25">
        <f t="shared" ref="AB45:AK45" si="91">P45*(P$1/10)</f>
        <v>893121</v>
      </c>
      <c r="AC45" s="25">
        <f t="shared" si="91"/>
        <v>96.3</v>
      </c>
      <c r="AD45" s="25">
        <f t="shared" si="91"/>
        <v>42.4</v>
      </c>
      <c r="AE45" s="25">
        <f t="shared" si="91"/>
        <v>1474.2</v>
      </c>
      <c r="AF45" s="25">
        <f t="shared" si="91"/>
        <v>163.2</v>
      </c>
      <c r="AG45" s="25">
        <f t="shared" si="91"/>
        <v>48</v>
      </c>
      <c r="AH45" s="25">
        <f t="shared" si="91"/>
        <v>93.6</v>
      </c>
      <c r="AI45" s="25">
        <f t="shared" si="91"/>
        <v>62.7</v>
      </c>
      <c r="AJ45" s="25">
        <f t="shared" si="91"/>
        <v>60999.8</v>
      </c>
      <c r="AK45" s="25">
        <f t="shared" si="91"/>
        <v>150061.6</v>
      </c>
      <c r="AL45" s="25">
        <f t="shared" si="7"/>
        <v>1106162.8</v>
      </c>
    </row>
    <row r="46">
      <c r="A46" s="7" t="s">
        <v>135</v>
      </c>
      <c r="B46" s="25">
        <f>IFERROR(__xludf.DUMMYFUNCTION("split(A46, "" "")"),104.0)</f>
        <v>104</v>
      </c>
      <c r="C46" s="25">
        <f>IFERROR(__xludf.DUMMYFUNCTION("""COMPUTED_VALUE"""),1446129.0)</f>
        <v>1446129</v>
      </c>
      <c r="D46" s="25">
        <f>IFERROR(__xludf.DUMMYFUNCTION("""COMPUTED_VALUE"""),1446172.0)</f>
        <v>1446172</v>
      </c>
      <c r="E46" s="25">
        <f>IFERROR(__xludf.DUMMYFUNCTION("""COMPUTED_VALUE"""),1447291.0)</f>
        <v>1447291</v>
      </c>
      <c r="F46" s="25">
        <f>IFERROR(__xludf.DUMMYFUNCTION("""COMPUTED_VALUE"""),1449357.0)</f>
        <v>1449357</v>
      </c>
      <c r="G46" s="25">
        <f>IFERROR(__xludf.DUMMYFUNCTION("""COMPUTED_VALUE"""),1449443.0)</f>
        <v>1449443</v>
      </c>
      <c r="H46" s="25">
        <f>IFERROR(__xludf.DUMMYFUNCTION("""COMPUTED_VALUE"""),1449508.0)</f>
        <v>1449508</v>
      </c>
      <c r="I46" s="25">
        <f>IFERROR(__xludf.DUMMYFUNCTION("""COMPUTED_VALUE"""),1449851.0)</f>
        <v>1449851</v>
      </c>
      <c r="J46" s="25">
        <f>IFERROR(__xludf.DUMMYFUNCTION("""COMPUTED_VALUE"""),1450165.0)</f>
        <v>1450165</v>
      </c>
      <c r="K46" s="25">
        <f>IFERROR(__xludf.DUMMYFUNCTION("""COMPUTED_VALUE"""),1456570.0)</f>
        <v>1456570</v>
      </c>
      <c r="L46" s="25">
        <f>IFERROR(__xludf.DUMMYFUNCTION("""COMPUTED_VALUE"""),2031263.0)</f>
        <v>2031263</v>
      </c>
      <c r="M46" s="25">
        <f>IFERROR(__xludf.DUMMYFUNCTION("""COMPUTED_VALUE"""),2135026.0)</f>
        <v>2135026</v>
      </c>
      <c r="P46" s="25">
        <f t="shared" si="3"/>
        <v>1446172</v>
      </c>
      <c r="Q46" s="25">
        <f t="shared" ref="Q46:Y46" si="92">E46-D46</f>
        <v>1119</v>
      </c>
      <c r="R46" s="25">
        <f t="shared" si="92"/>
        <v>2066</v>
      </c>
      <c r="S46" s="25">
        <f t="shared" si="92"/>
        <v>86</v>
      </c>
      <c r="T46" s="25">
        <f t="shared" si="92"/>
        <v>65</v>
      </c>
      <c r="U46" s="25">
        <f t="shared" si="92"/>
        <v>343</v>
      </c>
      <c r="V46" s="25">
        <f t="shared" si="92"/>
        <v>314</v>
      </c>
      <c r="W46" s="25">
        <f t="shared" si="92"/>
        <v>6405</v>
      </c>
      <c r="X46" s="25">
        <f t="shared" si="92"/>
        <v>574693</v>
      </c>
      <c r="Y46" s="25">
        <f t="shared" si="92"/>
        <v>103763</v>
      </c>
      <c r="Z46" s="25">
        <f t="shared" si="5"/>
        <v>2135026</v>
      </c>
      <c r="AB46" s="25">
        <f t="shared" ref="AB46:AK46" si="93">P46*(P$1/10)</f>
        <v>1446172</v>
      </c>
      <c r="AC46" s="25">
        <f t="shared" si="93"/>
        <v>1007.1</v>
      </c>
      <c r="AD46" s="25">
        <f t="shared" si="93"/>
        <v>1652.8</v>
      </c>
      <c r="AE46" s="25">
        <f t="shared" si="93"/>
        <v>60.2</v>
      </c>
      <c r="AF46" s="25">
        <f t="shared" si="93"/>
        <v>39</v>
      </c>
      <c r="AG46" s="25">
        <f t="shared" si="93"/>
        <v>171.5</v>
      </c>
      <c r="AH46" s="25">
        <f t="shared" si="93"/>
        <v>125.6</v>
      </c>
      <c r="AI46" s="25">
        <f t="shared" si="93"/>
        <v>1921.5</v>
      </c>
      <c r="AJ46" s="25">
        <f t="shared" si="93"/>
        <v>114938.6</v>
      </c>
      <c r="AK46" s="25">
        <f t="shared" si="93"/>
        <v>10376.3</v>
      </c>
      <c r="AL46" s="25">
        <f t="shared" si="7"/>
        <v>1576464.6</v>
      </c>
    </row>
    <row r="49">
      <c r="Z49" s="25">
        <f>sum(Z2:Z46)-sum(Y2:Y46)</f>
        <v>8985534</v>
      </c>
    </row>
    <row r="50">
      <c r="Z50" s="25">
        <f>sum(Z2:Z46)</f>
        <v>12748824</v>
      </c>
    </row>
    <row r="51">
      <c r="Z51" s="25">
        <f>Z50/Z49</f>
        <v>1.418816511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14" width="12.63"/>
    <col customWidth="1" min="17" max="23" width="3.5"/>
    <col customWidth="1" min="24" max="24" width="12.75"/>
    <col customWidth="1" min="25" max="25" width="11.13"/>
    <col customWidth="1" min="27" max="27" width="1.0"/>
    <col hidden="1" min="28" max="36" width="12.63"/>
    <col customWidth="1" hidden="1" min="37" max="37" width="4.88"/>
    <col customWidth="1" min="38" max="38" width="16.13"/>
    <col customWidth="1" min="39" max="39" width="7.75"/>
    <col customWidth="1" min="40" max="40" width="36.25"/>
  </cols>
  <sheetData>
    <row r="1" ht="20.25" customHeight="1">
      <c r="A1" s="70"/>
      <c r="B1" s="17" t="s">
        <v>15</v>
      </c>
      <c r="C1" s="17" t="s">
        <v>48</v>
      </c>
      <c r="D1" s="17" t="s">
        <v>48</v>
      </c>
      <c r="E1" s="17" t="s">
        <v>80</v>
      </c>
      <c r="F1" s="17" t="s">
        <v>81</v>
      </c>
      <c r="G1" s="17" t="s">
        <v>82</v>
      </c>
      <c r="H1" s="17" t="s">
        <v>83</v>
      </c>
      <c r="I1" s="17" t="s">
        <v>84</v>
      </c>
      <c r="J1" s="17" t="s">
        <v>85</v>
      </c>
      <c r="K1" s="17" t="s">
        <v>86</v>
      </c>
      <c r="L1" s="17" t="s">
        <v>87</v>
      </c>
      <c r="M1" s="17" t="s">
        <v>88</v>
      </c>
      <c r="N1" s="16"/>
      <c r="O1" s="16"/>
      <c r="P1" s="17">
        <v>10.0</v>
      </c>
      <c r="Q1" s="17">
        <v>9.0</v>
      </c>
      <c r="R1" s="17">
        <v>8.0</v>
      </c>
      <c r="S1" s="17">
        <v>7.0</v>
      </c>
      <c r="T1" s="17">
        <v>6.0</v>
      </c>
      <c r="U1" s="17">
        <v>5.0</v>
      </c>
      <c r="V1" s="17">
        <v>4.0</v>
      </c>
      <c r="W1" s="17">
        <v>3.0</v>
      </c>
      <c r="X1" s="17">
        <v>2.0</v>
      </c>
      <c r="Y1" s="17">
        <v>1.0</v>
      </c>
      <c r="Z1" s="17" t="s">
        <v>89</v>
      </c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71" t="s">
        <v>90</v>
      </c>
      <c r="AM1" s="72" t="s">
        <v>53</v>
      </c>
      <c r="AN1" s="6">
        <v>1.1574074074074074E-8</v>
      </c>
    </row>
    <row r="2" ht="16.5" customHeight="1">
      <c r="A2" s="73" t="s">
        <v>136</v>
      </c>
      <c r="B2" s="74">
        <v>32.0</v>
      </c>
      <c r="C2" s="25">
        <v>16.0</v>
      </c>
      <c r="D2" s="25">
        <v>16.0</v>
      </c>
      <c r="E2" s="25">
        <v>16.0</v>
      </c>
      <c r="F2" s="25">
        <v>16.0</v>
      </c>
      <c r="G2" s="25">
        <v>16.0</v>
      </c>
      <c r="H2" s="25">
        <v>16.0</v>
      </c>
      <c r="I2" s="25">
        <v>16.0</v>
      </c>
      <c r="J2" s="25">
        <v>16.0</v>
      </c>
      <c r="K2" s="25">
        <v>16.0</v>
      </c>
      <c r="L2" s="25">
        <v>16.0</v>
      </c>
      <c r="M2" s="25">
        <v>16.0</v>
      </c>
      <c r="P2" s="25">
        <v>16.0</v>
      </c>
      <c r="Q2" s="25">
        <v>0.0</v>
      </c>
      <c r="R2" s="25">
        <v>0.0</v>
      </c>
      <c r="S2" s="25">
        <v>0.0</v>
      </c>
      <c r="T2" s="25">
        <v>0.0</v>
      </c>
      <c r="U2" s="25">
        <v>0.0</v>
      </c>
      <c r="V2" s="25">
        <v>0.0</v>
      </c>
      <c r="W2" s="25">
        <v>0.0</v>
      </c>
      <c r="X2" s="25">
        <v>0.0</v>
      </c>
      <c r="Y2" s="25">
        <v>0.0</v>
      </c>
      <c r="Z2" s="25">
        <v>16.0</v>
      </c>
      <c r="AB2" s="25">
        <v>16.0</v>
      </c>
      <c r="AC2" s="25">
        <v>0.0</v>
      </c>
      <c r="AD2" s="25">
        <v>0.0</v>
      </c>
      <c r="AE2" s="25">
        <v>0.0</v>
      </c>
      <c r="AF2" s="25">
        <v>0.0</v>
      </c>
      <c r="AG2" s="25">
        <v>0.0</v>
      </c>
      <c r="AH2" s="25">
        <v>0.0</v>
      </c>
      <c r="AI2" s="25">
        <v>0.0</v>
      </c>
      <c r="AJ2" s="25">
        <v>0.0</v>
      </c>
      <c r="AK2" s="25">
        <v>0.0</v>
      </c>
      <c r="AL2" s="25">
        <v>16.0</v>
      </c>
      <c r="AM2" s="39">
        <v>1.8518518518518518E-7</v>
      </c>
    </row>
    <row r="3" ht="1.5" customHeight="1">
      <c r="A3" s="73" t="s">
        <v>137</v>
      </c>
      <c r="B3" s="74">
        <v>33.0</v>
      </c>
      <c r="C3" s="25">
        <v>18.0</v>
      </c>
      <c r="D3" s="25">
        <v>18.0</v>
      </c>
      <c r="E3" s="25">
        <v>18.0</v>
      </c>
      <c r="F3" s="25">
        <v>18.0</v>
      </c>
      <c r="G3" s="25">
        <v>18.0</v>
      </c>
      <c r="H3" s="25">
        <v>18.0</v>
      </c>
      <c r="I3" s="25">
        <v>18.0</v>
      </c>
      <c r="J3" s="25">
        <v>18.0</v>
      </c>
      <c r="K3" s="25">
        <v>18.0</v>
      </c>
      <c r="L3" s="25">
        <v>18.0</v>
      </c>
      <c r="M3" s="25">
        <v>18.0</v>
      </c>
      <c r="P3" s="25">
        <v>18.0</v>
      </c>
      <c r="Q3" s="25">
        <v>0.0</v>
      </c>
      <c r="R3" s="25">
        <v>0.0</v>
      </c>
      <c r="S3" s="25">
        <v>0.0</v>
      </c>
      <c r="T3" s="25">
        <v>0.0</v>
      </c>
      <c r="U3" s="25">
        <v>0.0</v>
      </c>
      <c r="V3" s="25">
        <v>0.0</v>
      </c>
      <c r="W3" s="25">
        <v>0.0</v>
      </c>
      <c r="X3" s="25">
        <v>0.0</v>
      </c>
      <c r="Y3" s="25">
        <v>0.0</v>
      </c>
      <c r="Z3" s="25">
        <v>18.0</v>
      </c>
      <c r="AB3" s="25">
        <v>18.0</v>
      </c>
      <c r="AC3" s="25">
        <v>0.0</v>
      </c>
      <c r="AD3" s="25">
        <v>0.0</v>
      </c>
      <c r="AE3" s="25">
        <v>0.0</v>
      </c>
      <c r="AF3" s="25">
        <v>0.0</v>
      </c>
      <c r="AG3" s="25">
        <v>0.0</v>
      </c>
      <c r="AH3" s="25">
        <v>0.0</v>
      </c>
      <c r="AI3" s="25">
        <v>0.0</v>
      </c>
      <c r="AJ3" s="25">
        <v>0.0</v>
      </c>
      <c r="AK3" s="25">
        <v>0.0</v>
      </c>
      <c r="AL3" s="25">
        <v>18.0</v>
      </c>
      <c r="AM3" s="39">
        <v>2.0833333333333333E-7</v>
      </c>
    </row>
    <row r="4" ht="1.5" customHeight="1">
      <c r="A4" s="73" t="s">
        <v>138</v>
      </c>
      <c r="B4" s="74">
        <v>34.0</v>
      </c>
      <c r="C4" s="25">
        <v>17.0</v>
      </c>
      <c r="D4" s="25">
        <v>17.0</v>
      </c>
      <c r="E4" s="25">
        <v>17.0</v>
      </c>
      <c r="F4" s="25">
        <v>17.0</v>
      </c>
      <c r="G4" s="25">
        <v>17.0</v>
      </c>
      <c r="H4" s="25">
        <v>17.0</v>
      </c>
      <c r="I4" s="25">
        <v>17.0</v>
      </c>
      <c r="J4" s="25">
        <v>17.0</v>
      </c>
      <c r="K4" s="25">
        <v>17.0</v>
      </c>
      <c r="L4" s="25">
        <v>17.0</v>
      </c>
      <c r="M4" s="25">
        <v>17.0</v>
      </c>
      <c r="P4" s="25">
        <v>17.0</v>
      </c>
      <c r="Q4" s="25">
        <v>0.0</v>
      </c>
      <c r="R4" s="25">
        <v>0.0</v>
      </c>
      <c r="S4" s="25">
        <v>0.0</v>
      </c>
      <c r="T4" s="25">
        <v>0.0</v>
      </c>
      <c r="U4" s="25">
        <v>0.0</v>
      </c>
      <c r="V4" s="25">
        <v>0.0</v>
      </c>
      <c r="W4" s="25">
        <v>0.0</v>
      </c>
      <c r="X4" s="25">
        <v>0.0</v>
      </c>
      <c r="Y4" s="25">
        <v>0.0</v>
      </c>
      <c r="Z4" s="25">
        <v>17.0</v>
      </c>
      <c r="AB4" s="25">
        <v>17.0</v>
      </c>
      <c r="AC4" s="25">
        <v>0.0</v>
      </c>
      <c r="AD4" s="25">
        <v>0.0</v>
      </c>
      <c r="AE4" s="25">
        <v>0.0</v>
      </c>
      <c r="AF4" s="25">
        <v>0.0</v>
      </c>
      <c r="AG4" s="25">
        <v>0.0</v>
      </c>
      <c r="AH4" s="25">
        <v>0.0</v>
      </c>
      <c r="AI4" s="25">
        <v>0.0</v>
      </c>
      <c r="AJ4" s="25">
        <v>0.0</v>
      </c>
      <c r="AK4" s="25">
        <v>0.0</v>
      </c>
      <c r="AL4" s="25">
        <v>17.0</v>
      </c>
      <c r="AM4" s="39">
        <v>1.9675925925925924E-7</v>
      </c>
    </row>
    <row r="5" ht="1.5" customHeight="1">
      <c r="A5" s="73" t="s">
        <v>139</v>
      </c>
      <c r="B5" s="74">
        <v>35.0</v>
      </c>
      <c r="C5" s="25">
        <v>18.0</v>
      </c>
      <c r="D5" s="25">
        <v>18.0</v>
      </c>
      <c r="E5" s="25">
        <v>18.0</v>
      </c>
      <c r="F5" s="25">
        <v>18.0</v>
      </c>
      <c r="G5" s="25">
        <v>18.0</v>
      </c>
      <c r="H5" s="25">
        <v>18.0</v>
      </c>
      <c r="I5" s="25">
        <v>18.0</v>
      </c>
      <c r="J5" s="25">
        <v>18.0</v>
      </c>
      <c r="K5" s="25">
        <v>18.0</v>
      </c>
      <c r="L5" s="25">
        <v>18.0</v>
      </c>
      <c r="M5" s="25">
        <v>18.0</v>
      </c>
      <c r="P5" s="25">
        <v>18.0</v>
      </c>
      <c r="Q5" s="25">
        <v>0.0</v>
      </c>
      <c r="R5" s="25">
        <v>0.0</v>
      </c>
      <c r="S5" s="25">
        <v>0.0</v>
      </c>
      <c r="T5" s="25">
        <v>0.0</v>
      </c>
      <c r="U5" s="25">
        <v>0.0</v>
      </c>
      <c r="V5" s="25">
        <v>0.0</v>
      </c>
      <c r="W5" s="25">
        <v>0.0</v>
      </c>
      <c r="X5" s="25">
        <v>0.0</v>
      </c>
      <c r="Y5" s="25">
        <v>0.0</v>
      </c>
      <c r="Z5" s="25">
        <v>18.0</v>
      </c>
      <c r="AB5" s="25">
        <v>18.0</v>
      </c>
      <c r="AC5" s="25">
        <v>0.0</v>
      </c>
      <c r="AD5" s="25">
        <v>0.0</v>
      </c>
      <c r="AE5" s="25">
        <v>0.0</v>
      </c>
      <c r="AF5" s="25">
        <v>0.0</v>
      </c>
      <c r="AG5" s="25">
        <v>0.0</v>
      </c>
      <c r="AH5" s="25">
        <v>0.0</v>
      </c>
      <c r="AI5" s="25">
        <v>0.0</v>
      </c>
      <c r="AJ5" s="25">
        <v>0.0</v>
      </c>
      <c r="AK5" s="25">
        <v>0.0</v>
      </c>
      <c r="AL5" s="25">
        <v>18.0</v>
      </c>
      <c r="AM5" s="39">
        <v>2.0833333333333333E-7</v>
      </c>
    </row>
    <row r="6" ht="1.5" customHeight="1">
      <c r="A6" s="73" t="s">
        <v>140</v>
      </c>
      <c r="B6" s="74">
        <v>36.0</v>
      </c>
      <c r="C6" s="25">
        <v>18.0</v>
      </c>
      <c r="D6" s="25">
        <v>18.0</v>
      </c>
      <c r="E6" s="25">
        <v>18.0</v>
      </c>
      <c r="F6" s="25">
        <v>18.0</v>
      </c>
      <c r="G6" s="25">
        <v>18.0</v>
      </c>
      <c r="H6" s="25">
        <v>18.0</v>
      </c>
      <c r="I6" s="25">
        <v>18.0</v>
      </c>
      <c r="J6" s="25">
        <v>18.0</v>
      </c>
      <c r="K6" s="25">
        <v>18.0</v>
      </c>
      <c r="L6" s="25">
        <v>18.0</v>
      </c>
      <c r="M6" s="25">
        <v>18.0</v>
      </c>
      <c r="P6" s="25">
        <v>18.0</v>
      </c>
      <c r="Q6" s="25">
        <v>0.0</v>
      </c>
      <c r="R6" s="25">
        <v>0.0</v>
      </c>
      <c r="S6" s="25">
        <v>0.0</v>
      </c>
      <c r="T6" s="25">
        <v>0.0</v>
      </c>
      <c r="U6" s="25">
        <v>0.0</v>
      </c>
      <c r="V6" s="25">
        <v>0.0</v>
      </c>
      <c r="W6" s="25">
        <v>0.0</v>
      </c>
      <c r="X6" s="25">
        <v>0.0</v>
      </c>
      <c r="Y6" s="25">
        <v>0.0</v>
      </c>
      <c r="Z6" s="25">
        <v>18.0</v>
      </c>
      <c r="AB6" s="25">
        <v>18.0</v>
      </c>
      <c r="AC6" s="25">
        <v>0.0</v>
      </c>
      <c r="AD6" s="25">
        <v>0.0</v>
      </c>
      <c r="AE6" s="25">
        <v>0.0</v>
      </c>
      <c r="AF6" s="25">
        <v>0.0</v>
      </c>
      <c r="AG6" s="25">
        <v>0.0</v>
      </c>
      <c r="AH6" s="25">
        <v>0.0</v>
      </c>
      <c r="AI6" s="25">
        <v>0.0</v>
      </c>
      <c r="AJ6" s="25">
        <v>0.0</v>
      </c>
      <c r="AK6" s="25">
        <v>0.0</v>
      </c>
      <c r="AL6" s="25">
        <v>18.0</v>
      </c>
      <c r="AM6" s="39">
        <v>2.0833333333333333E-7</v>
      </c>
    </row>
    <row r="7" ht="1.5" customHeight="1">
      <c r="A7" s="73" t="s">
        <v>141</v>
      </c>
      <c r="B7" s="74">
        <v>37.0</v>
      </c>
      <c r="C7" s="25">
        <v>21.0</v>
      </c>
      <c r="D7" s="25">
        <v>21.0</v>
      </c>
      <c r="E7" s="25">
        <v>21.0</v>
      </c>
      <c r="F7" s="25">
        <v>21.0</v>
      </c>
      <c r="G7" s="25">
        <v>21.0</v>
      </c>
      <c r="H7" s="25">
        <v>21.0</v>
      </c>
      <c r="I7" s="25">
        <v>21.0</v>
      </c>
      <c r="J7" s="25">
        <v>21.0</v>
      </c>
      <c r="K7" s="25">
        <v>21.0</v>
      </c>
      <c r="L7" s="25">
        <v>21.0</v>
      </c>
      <c r="M7" s="25">
        <v>21.0</v>
      </c>
      <c r="P7" s="25">
        <v>21.0</v>
      </c>
      <c r="Q7" s="25">
        <v>0.0</v>
      </c>
      <c r="R7" s="25">
        <v>0.0</v>
      </c>
      <c r="S7" s="25">
        <v>0.0</v>
      </c>
      <c r="T7" s="25">
        <v>0.0</v>
      </c>
      <c r="U7" s="25">
        <v>0.0</v>
      </c>
      <c r="V7" s="25">
        <v>0.0</v>
      </c>
      <c r="W7" s="25">
        <v>0.0</v>
      </c>
      <c r="X7" s="25">
        <v>0.0</v>
      </c>
      <c r="Y7" s="25">
        <v>0.0</v>
      </c>
      <c r="Z7" s="25">
        <v>21.0</v>
      </c>
      <c r="AB7" s="25">
        <v>21.0</v>
      </c>
      <c r="AC7" s="25">
        <v>0.0</v>
      </c>
      <c r="AD7" s="25">
        <v>0.0</v>
      </c>
      <c r="AE7" s="25">
        <v>0.0</v>
      </c>
      <c r="AF7" s="25">
        <v>0.0</v>
      </c>
      <c r="AG7" s="25">
        <v>0.0</v>
      </c>
      <c r="AH7" s="25">
        <v>0.0</v>
      </c>
      <c r="AI7" s="25">
        <v>0.0</v>
      </c>
      <c r="AJ7" s="25">
        <v>0.0</v>
      </c>
      <c r="AK7" s="25">
        <v>0.0</v>
      </c>
      <c r="AL7" s="25">
        <v>21.0</v>
      </c>
      <c r="AM7" s="39">
        <v>2.4305555555555555E-7</v>
      </c>
    </row>
    <row r="8" ht="1.5" customHeight="1">
      <c r="A8" s="73" t="s">
        <v>142</v>
      </c>
      <c r="B8" s="74">
        <v>38.0</v>
      </c>
      <c r="C8" s="25">
        <v>16.0</v>
      </c>
      <c r="D8" s="25">
        <v>16.0</v>
      </c>
      <c r="E8" s="25">
        <v>16.0</v>
      </c>
      <c r="F8" s="25">
        <v>16.0</v>
      </c>
      <c r="G8" s="25">
        <v>16.0</v>
      </c>
      <c r="H8" s="25">
        <v>16.0</v>
      </c>
      <c r="I8" s="25">
        <v>16.0</v>
      </c>
      <c r="J8" s="25">
        <v>16.0</v>
      </c>
      <c r="K8" s="25">
        <v>16.0</v>
      </c>
      <c r="L8" s="25">
        <v>16.0</v>
      </c>
      <c r="M8" s="25">
        <v>16.0</v>
      </c>
      <c r="P8" s="25">
        <v>16.0</v>
      </c>
      <c r="Q8" s="25">
        <v>0.0</v>
      </c>
      <c r="R8" s="25">
        <v>0.0</v>
      </c>
      <c r="S8" s="25">
        <v>0.0</v>
      </c>
      <c r="T8" s="25">
        <v>0.0</v>
      </c>
      <c r="U8" s="25">
        <v>0.0</v>
      </c>
      <c r="V8" s="25">
        <v>0.0</v>
      </c>
      <c r="W8" s="25">
        <v>0.0</v>
      </c>
      <c r="X8" s="25">
        <v>0.0</v>
      </c>
      <c r="Y8" s="25">
        <v>0.0</v>
      </c>
      <c r="Z8" s="25">
        <v>16.0</v>
      </c>
      <c r="AB8" s="25">
        <v>16.0</v>
      </c>
      <c r="AC8" s="25">
        <v>0.0</v>
      </c>
      <c r="AD8" s="25">
        <v>0.0</v>
      </c>
      <c r="AE8" s="25">
        <v>0.0</v>
      </c>
      <c r="AF8" s="25">
        <v>0.0</v>
      </c>
      <c r="AG8" s="25">
        <v>0.0</v>
      </c>
      <c r="AH8" s="25">
        <v>0.0</v>
      </c>
      <c r="AI8" s="25">
        <v>0.0</v>
      </c>
      <c r="AJ8" s="25">
        <v>0.0</v>
      </c>
      <c r="AK8" s="25">
        <v>0.0</v>
      </c>
      <c r="AL8" s="25">
        <v>16.0</v>
      </c>
      <c r="AM8" s="39">
        <v>1.8518518518518518E-7</v>
      </c>
    </row>
    <row r="9" ht="1.5" customHeight="1">
      <c r="A9" s="73" t="s">
        <v>143</v>
      </c>
      <c r="B9" s="74">
        <v>39.0</v>
      </c>
      <c r="C9" s="25">
        <v>17.0</v>
      </c>
      <c r="D9" s="25">
        <v>17.0</v>
      </c>
      <c r="E9" s="25">
        <v>17.0</v>
      </c>
      <c r="F9" s="25">
        <v>17.0</v>
      </c>
      <c r="G9" s="25">
        <v>17.0</v>
      </c>
      <c r="H9" s="25">
        <v>17.0</v>
      </c>
      <c r="I9" s="25">
        <v>17.0</v>
      </c>
      <c r="J9" s="25">
        <v>17.0</v>
      </c>
      <c r="K9" s="25">
        <v>17.0</v>
      </c>
      <c r="L9" s="25">
        <v>17.0</v>
      </c>
      <c r="M9" s="25">
        <v>17.0</v>
      </c>
      <c r="P9" s="25">
        <v>17.0</v>
      </c>
      <c r="Q9" s="25">
        <v>0.0</v>
      </c>
      <c r="R9" s="25">
        <v>0.0</v>
      </c>
      <c r="S9" s="25">
        <v>0.0</v>
      </c>
      <c r="T9" s="25">
        <v>0.0</v>
      </c>
      <c r="U9" s="25">
        <v>0.0</v>
      </c>
      <c r="V9" s="25">
        <v>0.0</v>
      </c>
      <c r="W9" s="25">
        <v>0.0</v>
      </c>
      <c r="X9" s="25">
        <v>0.0</v>
      </c>
      <c r="Y9" s="25">
        <v>0.0</v>
      </c>
      <c r="Z9" s="25">
        <v>17.0</v>
      </c>
      <c r="AB9" s="25">
        <v>17.0</v>
      </c>
      <c r="AC9" s="25">
        <v>0.0</v>
      </c>
      <c r="AD9" s="25">
        <v>0.0</v>
      </c>
      <c r="AE9" s="25">
        <v>0.0</v>
      </c>
      <c r="AF9" s="25">
        <v>0.0</v>
      </c>
      <c r="AG9" s="25">
        <v>0.0</v>
      </c>
      <c r="AH9" s="25">
        <v>0.0</v>
      </c>
      <c r="AI9" s="25">
        <v>0.0</v>
      </c>
      <c r="AJ9" s="25">
        <v>0.0</v>
      </c>
      <c r="AK9" s="25">
        <v>0.0</v>
      </c>
      <c r="AL9" s="25">
        <v>17.0</v>
      </c>
      <c r="AM9" s="39">
        <v>1.9675925925925924E-7</v>
      </c>
    </row>
    <row r="10" ht="1.5" customHeight="1">
      <c r="A10" s="73" t="s">
        <v>144</v>
      </c>
      <c r="B10" s="74">
        <v>40.0</v>
      </c>
      <c r="C10" s="25">
        <v>20.0</v>
      </c>
      <c r="D10" s="25">
        <v>20.0</v>
      </c>
      <c r="E10" s="25">
        <v>20.0</v>
      </c>
      <c r="F10" s="25">
        <v>20.0</v>
      </c>
      <c r="G10" s="25">
        <v>20.0</v>
      </c>
      <c r="H10" s="25">
        <v>20.0</v>
      </c>
      <c r="I10" s="25">
        <v>20.0</v>
      </c>
      <c r="J10" s="25">
        <v>20.0</v>
      </c>
      <c r="K10" s="25">
        <v>20.0</v>
      </c>
      <c r="L10" s="25">
        <v>20.0</v>
      </c>
      <c r="M10" s="25">
        <v>20.0</v>
      </c>
      <c r="P10" s="25">
        <v>20.0</v>
      </c>
      <c r="Q10" s="25">
        <v>0.0</v>
      </c>
      <c r="R10" s="25">
        <v>0.0</v>
      </c>
      <c r="S10" s="25">
        <v>0.0</v>
      </c>
      <c r="T10" s="25">
        <v>0.0</v>
      </c>
      <c r="U10" s="25">
        <v>0.0</v>
      </c>
      <c r="V10" s="25">
        <v>0.0</v>
      </c>
      <c r="W10" s="25">
        <v>0.0</v>
      </c>
      <c r="X10" s="25">
        <v>0.0</v>
      </c>
      <c r="Y10" s="25">
        <v>0.0</v>
      </c>
      <c r="Z10" s="25">
        <v>20.0</v>
      </c>
      <c r="AB10" s="25">
        <v>20.0</v>
      </c>
      <c r="AC10" s="25">
        <v>0.0</v>
      </c>
      <c r="AD10" s="25">
        <v>0.0</v>
      </c>
      <c r="AE10" s="25">
        <v>0.0</v>
      </c>
      <c r="AF10" s="25">
        <v>0.0</v>
      </c>
      <c r="AG10" s="25">
        <v>0.0</v>
      </c>
      <c r="AH10" s="25">
        <v>0.0</v>
      </c>
      <c r="AI10" s="25">
        <v>0.0</v>
      </c>
      <c r="AJ10" s="25">
        <v>0.0</v>
      </c>
      <c r="AK10" s="25">
        <v>0.0</v>
      </c>
      <c r="AL10" s="25">
        <v>20.0</v>
      </c>
      <c r="AM10" s="39">
        <v>2.3148148148148148E-7</v>
      </c>
    </row>
    <row r="11" ht="1.5" customHeight="1">
      <c r="A11" s="73" t="s">
        <v>145</v>
      </c>
      <c r="B11" s="74">
        <v>41.0</v>
      </c>
      <c r="C11" s="25">
        <v>18.0</v>
      </c>
      <c r="D11" s="25">
        <v>18.0</v>
      </c>
      <c r="E11" s="25">
        <v>18.0</v>
      </c>
      <c r="F11" s="25">
        <v>18.0</v>
      </c>
      <c r="G11" s="25">
        <v>18.0</v>
      </c>
      <c r="H11" s="25">
        <v>18.0</v>
      </c>
      <c r="I11" s="25">
        <v>18.0</v>
      </c>
      <c r="J11" s="25">
        <v>18.0</v>
      </c>
      <c r="K11" s="25">
        <v>18.0</v>
      </c>
      <c r="L11" s="25">
        <v>18.0</v>
      </c>
      <c r="M11" s="25">
        <v>18.0</v>
      </c>
      <c r="P11" s="25">
        <v>18.0</v>
      </c>
      <c r="Q11" s="25">
        <v>0.0</v>
      </c>
      <c r="R11" s="25">
        <v>0.0</v>
      </c>
      <c r="S11" s="25">
        <v>0.0</v>
      </c>
      <c r="T11" s="25">
        <v>0.0</v>
      </c>
      <c r="U11" s="25">
        <v>0.0</v>
      </c>
      <c r="V11" s="25">
        <v>0.0</v>
      </c>
      <c r="W11" s="25">
        <v>0.0</v>
      </c>
      <c r="X11" s="25">
        <v>0.0</v>
      </c>
      <c r="Y11" s="25">
        <v>0.0</v>
      </c>
      <c r="Z11" s="25">
        <v>18.0</v>
      </c>
      <c r="AB11" s="25">
        <v>18.0</v>
      </c>
      <c r="AC11" s="25">
        <v>0.0</v>
      </c>
      <c r="AD11" s="25">
        <v>0.0</v>
      </c>
      <c r="AE11" s="25">
        <v>0.0</v>
      </c>
      <c r="AF11" s="25">
        <v>0.0</v>
      </c>
      <c r="AG11" s="25">
        <v>0.0</v>
      </c>
      <c r="AH11" s="25">
        <v>0.0</v>
      </c>
      <c r="AI11" s="25">
        <v>0.0</v>
      </c>
      <c r="AJ11" s="25">
        <v>0.0</v>
      </c>
      <c r="AK11" s="25">
        <v>0.0</v>
      </c>
      <c r="AL11" s="25">
        <v>18.0</v>
      </c>
      <c r="AM11" s="39">
        <v>2.0833333333333333E-7</v>
      </c>
    </row>
    <row r="12" ht="1.5" customHeight="1">
      <c r="A12" s="73" t="s">
        <v>146</v>
      </c>
      <c r="B12" s="74">
        <v>42.0</v>
      </c>
      <c r="C12" s="25">
        <v>20.0</v>
      </c>
      <c r="D12" s="25">
        <v>20.0</v>
      </c>
      <c r="E12" s="25">
        <v>20.0</v>
      </c>
      <c r="F12" s="25">
        <v>20.0</v>
      </c>
      <c r="G12" s="25">
        <v>20.0</v>
      </c>
      <c r="H12" s="25">
        <v>20.0</v>
      </c>
      <c r="I12" s="25">
        <v>20.0</v>
      </c>
      <c r="J12" s="25">
        <v>20.0</v>
      </c>
      <c r="K12" s="25">
        <v>20.0</v>
      </c>
      <c r="L12" s="25">
        <v>20.0</v>
      </c>
      <c r="M12" s="25">
        <v>20.0</v>
      </c>
      <c r="P12" s="25">
        <v>20.0</v>
      </c>
      <c r="Q12" s="25">
        <v>0.0</v>
      </c>
      <c r="R12" s="25">
        <v>0.0</v>
      </c>
      <c r="S12" s="25">
        <v>0.0</v>
      </c>
      <c r="T12" s="25">
        <v>0.0</v>
      </c>
      <c r="U12" s="25">
        <v>0.0</v>
      </c>
      <c r="V12" s="25">
        <v>0.0</v>
      </c>
      <c r="W12" s="25">
        <v>0.0</v>
      </c>
      <c r="X12" s="25">
        <v>0.0</v>
      </c>
      <c r="Y12" s="25">
        <v>0.0</v>
      </c>
      <c r="Z12" s="25">
        <v>20.0</v>
      </c>
      <c r="AB12" s="25">
        <v>20.0</v>
      </c>
      <c r="AC12" s="25">
        <v>0.0</v>
      </c>
      <c r="AD12" s="25">
        <v>0.0</v>
      </c>
      <c r="AE12" s="25">
        <v>0.0</v>
      </c>
      <c r="AF12" s="25">
        <v>0.0</v>
      </c>
      <c r="AG12" s="25">
        <v>0.0</v>
      </c>
      <c r="AH12" s="25">
        <v>0.0</v>
      </c>
      <c r="AI12" s="25">
        <v>0.0</v>
      </c>
      <c r="AJ12" s="25">
        <v>0.0</v>
      </c>
      <c r="AK12" s="25">
        <v>0.0</v>
      </c>
      <c r="AL12" s="25">
        <v>20.0</v>
      </c>
      <c r="AM12" s="39">
        <v>2.3148148148148148E-7</v>
      </c>
    </row>
    <row r="13" ht="1.5" customHeight="1">
      <c r="A13" s="73" t="s">
        <v>147</v>
      </c>
      <c r="B13" s="74">
        <v>43.0</v>
      </c>
      <c r="C13" s="25">
        <v>20.0</v>
      </c>
      <c r="D13" s="25">
        <v>20.0</v>
      </c>
      <c r="E13" s="25">
        <v>20.0</v>
      </c>
      <c r="F13" s="25">
        <v>20.0</v>
      </c>
      <c r="G13" s="25">
        <v>20.0</v>
      </c>
      <c r="H13" s="25">
        <v>20.0</v>
      </c>
      <c r="I13" s="25">
        <v>20.0</v>
      </c>
      <c r="J13" s="25">
        <v>20.0</v>
      </c>
      <c r="K13" s="25">
        <v>20.0</v>
      </c>
      <c r="L13" s="25">
        <v>20.0</v>
      </c>
      <c r="M13" s="25">
        <v>21.0</v>
      </c>
      <c r="P13" s="25">
        <v>20.0</v>
      </c>
      <c r="Q13" s="25">
        <v>0.0</v>
      </c>
      <c r="R13" s="25">
        <v>0.0</v>
      </c>
      <c r="S13" s="25">
        <v>0.0</v>
      </c>
      <c r="T13" s="25">
        <v>0.0</v>
      </c>
      <c r="U13" s="25">
        <v>0.0</v>
      </c>
      <c r="V13" s="25">
        <v>0.0</v>
      </c>
      <c r="W13" s="25">
        <v>0.0</v>
      </c>
      <c r="X13" s="25">
        <v>0.0</v>
      </c>
      <c r="Y13" s="25">
        <v>1.0</v>
      </c>
      <c r="Z13" s="25">
        <v>21.0</v>
      </c>
      <c r="AB13" s="25">
        <v>20.0</v>
      </c>
      <c r="AC13" s="25">
        <v>0.0</v>
      </c>
      <c r="AD13" s="25">
        <v>0.0</v>
      </c>
      <c r="AE13" s="25">
        <v>0.0</v>
      </c>
      <c r="AF13" s="25">
        <v>0.0</v>
      </c>
      <c r="AG13" s="25">
        <v>0.0</v>
      </c>
      <c r="AH13" s="25">
        <v>0.0</v>
      </c>
      <c r="AI13" s="25">
        <v>0.0</v>
      </c>
      <c r="AJ13" s="25">
        <v>0.0</v>
      </c>
      <c r="AK13" s="25">
        <v>0.1</v>
      </c>
      <c r="AL13" s="25">
        <v>20.1</v>
      </c>
      <c r="AM13" s="39">
        <v>2.4305555555555555E-7</v>
      </c>
    </row>
    <row r="14" ht="1.5" customHeight="1">
      <c r="A14" s="73" t="s">
        <v>148</v>
      </c>
      <c r="B14" s="74">
        <v>44.0</v>
      </c>
      <c r="C14" s="25">
        <v>21.0</v>
      </c>
      <c r="D14" s="25">
        <v>21.0</v>
      </c>
      <c r="E14" s="25">
        <v>21.0</v>
      </c>
      <c r="F14" s="25">
        <v>21.0</v>
      </c>
      <c r="G14" s="25">
        <v>21.0</v>
      </c>
      <c r="H14" s="25">
        <v>21.0</v>
      </c>
      <c r="I14" s="25">
        <v>21.0</v>
      </c>
      <c r="J14" s="25">
        <v>21.0</v>
      </c>
      <c r="K14" s="25">
        <v>21.0</v>
      </c>
      <c r="L14" s="25">
        <v>21.0</v>
      </c>
      <c r="M14" s="25">
        <v>21.0</v>
      </c>
      <c r="P14" s="25">
        <v>21.0</v>
      </c>
      <c r="Q14" s="25">
        <v>0.0</v>
      </c>
      <c r="R14" s="25">
        <v>0.0</v>
      </c>
      <c r="S14" s="25">
        <v>0.0</v>
      </c>
      <c r="T14" s="25">
        <v>0.0</v>
      </c>
      <c r="U14" s="25">
        <v>0.0</v>
      </c>
      <c r="V14" s="25">
        <v>0.0</v>
      </c>
      <c r="W14" s="25">
        <v>0.0</v>
      </c>
      <c r="X14" s="25">
        <v>0.0</v>
      </c>
      <c r="Y14" s="25">
        <v>0.0</v>
      </c>
      <c r="Z14" s="25">
        <v>21.0</v>
      </c>
      <c r="AB14" s="25">
        <v>21.0</v>
      </c>
      <c r="AC14" s="25">
        <v>0.0</v>
      </c>
      <c r="AD14" s="25">
        <v>0.0</v>
      </c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5">
        <v>0.0</v>
      </c>
      <c r="AK14" s="25">
        <v>0.0</v>
      </c>
      <c r="AL14" s="25">
        <v>21.0</v>
      </c>
      <c r="AM14" s="39">
        <v>2.4305555555555555E-7</v>
      </c>
    </row>
    <row r="15" ht="1.5" customHeight="1">
      <c r="A15" s="73" t="s">
        <v>149</v>
      </c>
      <c r="B15" s="74">
        <v>45.0</v>
      </c>
      <c r="C15" s="25">
        <v>22.0</v>
      </c>
      <c r="D15" s="25">
        <v>22.0</v>
      </c>
      <c r="E15" s="25">
        <v>22.0</v>
      </c>
      <c r="F15" s="25">
        <v>22.0</v>
      </c>
      <c r="G15" s="25">
        <v>22.0</v>
      </c>
      <c r="H15" s="25">
        <v>22.0</v>
      </c>
      <c r="I15" s="25">
        <v>22.0</v>
      </c>
      <c r="J15" s="25">
        <v>22.0</v>
      </c>
      <c r="K15" s="25">
        <v>22.0</v>
      </c>
      <c r="L15" s="25">
        <v>22.0</v>
      </c>
      <c r="M15" s="25">
        <v>23.0</v>
      </c>
      <c r="P15" s="25">
        <v>22.0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25">
        <v>1.0</v>
      </c>
      <c r="Z15" s="25">
        <v>23.0</v>
      </c>
      <c r="AB15" s="25">
        <v>22.0</v>
      </c>
      <c r="AC15" s="25">
        <v>0.0</v>
      </c>
      <c r="AD15" s="25">
        <v>0.0</v>
      </c>
      <c r="AE15" s="25">
        <v>0.0</v>
      </c>
      <c r="AF15" s="25">
        <v>0.0</v>
      </c>
      <c r="AG15" s="25">
        <v>0.0</v>
      </c>
      <c r="AH15" s="25">
        <v>0.0</v>
      </c>
      <c r="AI15" s="25">
        <v>0.0</v>
      </c>
      <c r="AJ15" s="25">
        <v>0.0</v>
      </c>
      <c r="AK15" s="25">
        <v>0.1</v>
      </c>
      <c r="AL15" s="25">
        <v>22.1</v>
      </c>
      <c r="AM15" s="39">
        <v>2.662037037037037E-7</v>
      </c>
    </row>
    <row r="16" ht="1.5" customHeight="1">
      <c r="A16" s="73" t="s">
        <v>150</v>
      </c>
      <c r="B16" s="74">
        <v>46.0</v>
      </c>
      <c r="C16" s="25">
        <v>22.0</v>
      </c>
      <c r="D16" s="25">
        <v>22.0</v>
      </c>
      <c r="E16" s="25">
        <v>22.0</v>
      </c>
      <c r="F16" s="25">
        <v>22.0</v>
      </c>
      <c r="G16" s="25">
        <v>22.0</v>
      </c>
      <c r="H16" s="25">
        <v>22.0</v>
      </c>
      <c r="I16" s="25">
        <v>22.0</v>
      </c>
      <c r="J16" s="25">
        <v>22.0</v>
      </c>
      <c r="K16" s="25">
        <v>22.0</v>
      </c>
      <c r="L16" s="25">
        <v>22.0</v>
      </c>
      <c r="M16" s="25">
        <v>22.0</v>
      </c>
      <c r="P16" s="25">
        <v>22.0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v>0.0</v>
      </c>
      <c r="Z16" s="25">
        <v>22.0</v>
      </c>
      <c r="AB16" s="25">
        <v>22.0</v>
      </c>
      <c r="AC16" s="25">
        <v>0.0</v>
      </c>
      <c r="AD16" s="25">
        <v>0.0</v>
      </c>
      <c r="AE16" s="25">
        <v>0.0</v>
      </c>
      <c r="AF16" s="25">
        <v>0.0</v>
      </c>
      <c r="AG16" s="25">
        <v>0.0</v>
      </c>
      <c r="AH16" s="25">
        <v>0.0</v>
      </c>
      <c r="AI16" s="25">
        <v>0.0</v>
      </c>
      <c r="AJ16" s="25">
        <v>0.0</v>
      </c>
      <c r="AK16" s="25">
        <v>0.0</v>
      </c>
      <c r="AL16" s="25">
        <v>22.0</v>
      </c>
      <c r="AM16" s="39">
        <v>2.5462962962962963E-7</v>
      </c>
    </row>
    <row r="17" ht="1.5" customHeight="1">
      <c r="A17" s="73" t="s">
        <v>151</v>
      </c>
      <c r="B17" s="74">
        <v>47.0</v>
      </c>
      <c r="C17" s="25">
        <v>24.0</v>
      </c>
      <c r="D17" s="25">
        <v>24.0</v>
      </c>
      <c r="E17" s="25">
        <v>24.0</v>
      </c>
      <c r="F17" s="25">
        <v>24.0</v>
      </c>
      <c r="G17" s="25">
        <v>24.0</v>
      </c>
      <c r="H17" s="25">
        <v>24.0</v>
      </c>
      <c r="I17" s="25">
        <v>24.0</v>
      </c>
      <c r="J17" s="25">
        <v>24.0</v>
      </c>
      <c r="K17" s="25">
        <v>24.0</v>
      </c>
      <c r="L17" s="25">
        <v>26.0</v>
      </c>
      <c r="M17" s="25">
        <v>27.0</v>
      </c>
      <c r="P17" s="25">
        <v>24.0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v>2.0</v>
      </c>
      <c r="Y17" s="25">
        <v>1.0</v>
      </c>
      <c r="Z17" s="25">
        <v>27.0</v>
      </c>
      <c r="AB17" s="25">
        <v>24.0</v>
      </c>
      <c r="AC17" s="25">
        <v>0.0</v>
      </c>
      <c r="AD17" s="25">
        <v>0.0</v>
      </c>
      <c r="AE17" s="25">
        <v>0.0</v>
      </c>
      <c r="AF17" s="25">
        <v>0.0</v>
      </c>
      <c r="AG17" s="25">
        <v>0.0</v>
      </c>
      <c r="AH17" s="25">
        <v>0.0</v>
      </c>
      <c r="AI17" s="25">
        <v>0.0</v>
      </c>
      <c r="AJ17" s="25">
        <v>0.4</v>
      </c>
      <c r="AK17" s="25">
        <v>0.1</v>
      </c>
      <c r="AL17" s="25">
        <v>24.5</v>
      </c>
      <c r="AM17" s="39">
        <v>3.1249999999999997E-7</v>
      </c>
    </row>
    <row r="18" ht="1.5" customHeight="1">
      <c r="A18" s="73" t="s">
        <v>152</v>
      </c>
      <c r="B18" s="74">
        <v>48.0</v>
      </c>
      <c r="C18" s="25">
        <v>27.0</v>
      </c>
      <c r="D18" s="25">
        <v>27.0</v>
      </c>
      <c r="E18" s="25">
        <v>27.0</v>
      </c>
      <c r="F18" s="25">
        <v>27.0</v>
      </c>
      <c r="G18" s="25">
        <v>27.0</v>
      </c>
      <c r="H18" s="25">
        <v>27.0</v>
      </c>
      <c r="I18" s="25">
        <v>27.0</v>
      </c>
      <c r="J18" s="25">
        <v>27.0</v>
      </c>
      <c r="K18" s="25">
        <v>27.0</v>
      </c>
      <c r="L18" s="25">
        <v>27.0</v>
      </c>
      <c r="M18" s="25">
        <v>27.0</v>
      </c>
      <c r="P18" s="25">
        <v>27.0</v>
      </c>
      <c r="Q18" s="25">
        <v>0.0</v>
      </c>
      <c r="R18" s="25">
        <v>0.0</v>
      </c>
      <c r="S18" s="25">
        <v>0.0</v>
      </c>
      <c r="T18" s="25">
        <v>0.0</v>
      </c>
      <c r="U18" s="25">
        <v>0.0</v>
      </c>
      <c r="V18" s="25">
        <v>0.0</v>
      </c>
      <c r="W18" s="25">
        <v>0.0</v>
      </c>
      <c r="X18" s="25">
        <v>0.0</v>
      </c>
      <c r="Y18" s="25">
        <v>0.0</v>
      </c>
      <c r="Z18" s="25">
        <v>27.0</v>
      </c>
      <c r="AB18" s="25">
        <v>27.0</v>
      </c>
      <c r="AC18" s="25">
        <v>0.0</v>
      </c>
      <c r="AD18" s="25">
        <v>0.0</v>
      </c>
      <c r="AE18" s="25">
        <v>0.0</v>
      </c>
      <c r="AF18" s="25">
        <v>0.0</v>
      </c>
      <c r="AG18" s="25">
        <v>0.0</v>
      </c>
      <c r="AH18" s="25">
        <v>0.0</v>
      </c>
      <c r="AI18" s="25">
        <v>0.0</v>
      </c>
      <c r="AJ18" s="25">
        <v>0.0</v>
      </c>
      <c r="AK18" s="25">
        <v>0.0</v>
      </c>
      <c r="AL18" s="25">
        <v>27.0</v>
      </c>
      <c r="AM18" s="39">
        <v>3.1249999999999997E-7</v>
      </c>
    </row>
    <row r="19" ht="1.5" customHeight="1">
      <c r="A19" s="73" t="s">
        <v>153</v>
      </c>
      <c r="B19" s="74">
        <v>49.0</v>
      </c>
      <c r="C19" s="25">
        <v>27.0</v>
      </c>
      <c r="D19" s="25">
        <v>27.0</v>
      </c>
      <c r="E19" s="25">
        <v>27.0</v>
      </c>
      <c r="F19" s="25">
        <v>27.0</v>
      </c>
      <c r="G19" s="25">
        <v>27.0</v>
      </c>
      <c r="H19" s="25">
        <v>27.0</v>
      </c>
      <c r="I19" s="25">
        <v>27.0</v>
      </c>
      <c r="J19" s="25">
        <v>27.0</v>
      </c>
      <c r="K19" s="25">
        <v>27.0</v>
      </c>
      <c r="L19" s="25">
        <v>27.0</v>
      </c>
      <c r="M19" s="25">
        <v>28.0</v>
      </c>
      <c r="P19" s="25">
        <v>27.0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0.0</v>
      </c>
      <c r="Y19" s="25">
        <v>1.0</v>
      </c>
      <c r="Z19" s="25">
        <v>28.0</v>
      </c>
      <c r="AB19" s="25">
        <v>27.0</v>
      </c>
      <c r="AC19" s="25">
        <v>0.0</v>
      </c>
      <c r="AD19" s="25">
        <v>0.0</v>
      </c>
      <c r="AE19" s="25">
        <v>0.0</v>
      </c>
      <c r="AF19" s="25">
        <v>0.0</v>
      </c>
      <c r="AG19" s="25">
        <v>0.0</v>
      </c>
      <c r="AH19" s="25">
        <v>0.0</v>
      </c>
      <c r="AI19" s="25">
        <v>0.0</v>
      </c>
      <c r="AJ19" s="25">
        <v>0.0</v>
      </c>
      <c r="AK19" s="25">
        <v>0.1</v>
      </c>
      <c r="AL19" s="25">
        <v>27.1</v>
      </c>
      <c r="AM19" s="39">
        <v>3.2407407407407406E-7</v>
      </c>
    </row>
    <row r="20" ht="1.5" customHeight="1">
      <c r="A20" s="73" t="s">
        <v>154</v>
      </c>
      <c r="B20" s="74">
        <v>50.0</v>
      </c>
      <c r="C20" s="25">
        <v>28.0</v>
      </c>
      <c r="D20" s="25">
        <v>28.0</v>
      </c>
      <c r="E20" s="25">
        <v>28.0</v>
      </c>
      <c r="F20" s="25">
        <v>28.0</v>
      </c>
      <c r="G20" s="25">
        <v>28.0</v>
      </c>
      <c r="H20" s="25">
        <v>28.0</v>
      </c>
      <c r="I20" s="25">
        <v>28.0</v>
      </c>
      <c r="J20" s="25">
        <v>28.0</v>
      </c>
      <c r="K20" s="25">
        <v>28.0</v>
      </c>
      <c r="L20" s="25">
        <v>28.0</v>
      </c>
      <c r="M20" s="25">
        <v>28.0</v>
      </c>
      <c r="P20" s="25">
        <v>28.0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0.0</v>
      </c>
      <c r="Y20" s="25">
        <v>0.0</v>
      </c>
      <c r="Z20" s="25">
        <v>28.0</v>
      </c>
      <c r="AB20" s="25">
        <v>28.0</v>
      </c>
      <c r="AC20" s="25">
        <v>0.0</v>
      </c>
      <c r="AD20" s="25">
        <v>0.0</v>
      </c>
      <c r="AE20" s="25">
        <v>0.0</v>
      </c>
      <c r="AF20" s="25">
        <v>0.0</v>
      </c>
      <c r="AG20" s="25">
        <v>0.0</v>
      </c>
      <c r="AH20" s="25">
        <v>0.0</v>
      </c>
      <c r="AI20" s="25">
        <v>0.0</v>
      </c>
      <c r="AJ20" s="25">
        <v>0.0</v>
      </c>
      <c r="AK20" s="25">
        <v>0.0</v>
      </c>
      <c r="AL20" s="25">
        <v>28.0</v>
      </c>
      <c r="AM20" s="39">
        <v>3.2407407407407406E-7</v>
      </c>
    </row>
    <row r="21" ht="1.5" customHeight="1">
      <c r="A21" s="73" t="s">
        <v>155</v>
      </c>
      <c r="B21" s="74">
        <v>51.0</v>
      </c>
      <c r="C21" s="25">
        <v>33.0</v>
      </c>
      <c r="D21" s="25">
        <v>33.0</v>
      </c>
      <c r="E21" s="25">
        <v>33.0</v>
      </c>
      <c r="F21" s="25">
        <v>33.0</v>
      </c>
      <c r="G21" s="25">
        <v>33.0</v>
      </c>
      <c r="H21" s="25">
        <v>33.0</v>
      </c>
      <c r="I21" s="25">
        <v>33.0</v>
      </c>
      <c r="J21" s="25">
        <v>33.0</v>
      </c>
      <c r="K21" s="25">
        <v>33.0</v>
      </c>
      <c r="L21" s="25">
        <v>33.0</v>
      </c>
      <c r="M21" s="25">
        <v>34.0</v>
      </c>
      <c r="P21" s="25">
        <v>33.0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1.0</v>
      </c>
      <c r="Z21" s="25">
        <v>34.0</v>
      </c>
      <c r="AB21" s="25">
        <v>33.0</v>
      </c>
      <c r="AC21" s="25">
        <v>0.0</v>
      </c>
      <c r="AD21" s="25">
        <v>0.0</v>
      </c>
      <c r="AE21" s="25">
        <v>0.0</v>
      </c>
      <c r="AF21" s="25">
        <v>0.0</v>
      </c>
      <c r="AG21" s="25">
        <v>0.0</v>
      </c>
      <c r="AH21" s="25">
        <v>0.0</v>
      </c>
      <c r="AI21" s="25">
        <v>0.0</v>
      </c>
      <c r="AJ21" s="25">
        <v>0.0</v>
      </c>
      <c r="AK21" s="25">
        <v>0.1</v>
      </c>
      <c r="AL21" s="25">
        <v>33.1</v>
      </c>
      <c r="AM21" s="39">
        <v>3.935185185185185E-7</v>
      </c>
    </row>
    <row r="22" ht="1.5" customHeight="1">
      <c r="A22" s="73" t="s">
        <v>156</v>
      </c>
      <c r="B22" s="74">
        <v>52.0</v>
      </c>
      <c r="C22" s="25">
        <v>39.0</v>
      </c>
      <c r="D22" s="25">
        <v>39.0</v>
      </c>
      <c r="E22" s="25">
        <v>39.0</v>
      </c>
      <c r="F22" s="25">
        <v>39.0</v>
      </c>
      <c r="G22" s="25">
        <v>39.0</v>
      </c>
      <c r="H22" s="25">
        <v>39.0</v>
      </c>
      <c r="I22" s="25">
        <v>39.0</v>
      </c>
      <c r="J22" s="25">
        <v>39.0</v>
      </c>
      <c r="K22" s="25">
        <v>39.0</v>
      </c>
      <c r="L22" s="25">
        <v>40.0</v>
      </c>
      <c r="M22" s="25">
        <v>46.0</v>
      </c>
      <c r="P22" s="25">
        <v>39.0</v>
      </c>
      <c r="Q22" s="25">
        <v>0.0</v>
      </c>
      <c r="R22" s="25">
        <v>0.0</v>
      </c>
      <c r="S22" s="25">
        <v>0.0</v>
      </c>
      <c r="T22" s="25">
        <v>0.0</v>
      </c>
      <c r="U22" s="25">
        <v>0.0</v>
      </c>
      <c r="V22" s="25">
        <v>0.0</v>
      </c>
      <c r="W22" s="25">
        <v>0.0</v>
      </c>
      <c r="X22" s="25">
        <v>1.0</v>
      </c>
      <c r="Y22" s="25">
        <v>6.0</v>
      </c>
      <c r="Z22" s="25">
        <v>46.0</v>
      </c>
      <c r="AB22" s="25">
        <v>39.0</v>
      </c>
      <c r="AC22" s="25">
        <v>0.0</v>
      </c>
      <c r="AD22" s="25">
        <v>0.0</v>
      </c>
      <c r="AE22" s="25">
        <v>0.0</v>
      </c>
      <c r="AF22" s="25">
        <v>0.0</v>
      </c>
      <c r="AG22" s="25">
        <v>0.0</v>
      </c>
      <c r="AH22" s="25">
        <v>0.0</v>
      </c>
      <c r="AI22" s="25">
        <v>0.0</v>
      </c>
      <c r="AJ22" s="25">
        <v>0.2</v>
      </c>
      <c r="AK22" s="25">
        <v>0.6000000000000001</v>
      </c>
      <c r="AL22" s="25">
        <v>39.800000000000004</v>
      </c>
      <c r="AM22" s="39">
        <v>5.324074074074074E-7</v>
      </c>
    </row>
    <row r="23" ht="1.5" customHeight="1">
      <c r="A23" s="73" t="s">
        <v>157</v>
      </c>
      <c r="B23" s="74">
        <v>53.0</v>
      </c>
      <c r="C23" s="25">
        <v>44.0</v>
      </c>
      <c r="D23" s="25">
        <v>44.0</v>
      </c>
      <c r="E23" s="25">
        <v>44.0</v>
      </c>
      <c r="F23" s="25">
        <v>44.0</v>
      </c>
      <c r="G23" s="25">
        <v>44.0</v>
      </c>
      <c r="H23" s="25">
        <v>45.0</v>
      </c>
      <c r="I23" s="25">
        <v>45.0</v>
      </c>
      <c r="J23" s="25">
        <v>45.0</v>
      </c>
      <c r="K23" s="25">
        <v>45.0</v>
      </c>
      <c r="L23" s="25">
        <v>45.0</v>
      </c>
      <c r="M23" s="25">
        <v>47.0</v>
      </c>
      <c r="P23" s="25">
        <v>44.0</v>
      </c>
      <c r="Q23" s="25">
        <v>0.0</v>
      </c>
      <c r="R23" s="25">
        <v>0.0</v>
      </c>
      <c r="S23" s="25">
        <v>0.0</v>
      </c>
      <c r="T23" s="25">
        <v>1.0</v>
      </c>
      <c r="U23" s="25">
        <v>0.0</v>
      </c>
      <c r="V23" s="25">
        <v>0.0</v>
      </c>
      <c r="W23" s="25">
        <v>0.0</v>
      </c>
      <c r="X23" s="25">
        <v>0.0</v>
      </c>
      <c r="Y23" s="25">
        <v>2.0</v>
      </c>
      <c r="Z23" s="25">
        <v>47.0</v>
      </c>
      <c r="AB23" s="25">
        <v>44.0</v>
      </c>
      <c r="AC23" s="25">
        <v>0.0</v>
      </c>
      <c r="AD23" s="25">
        <v>0.0</v>
      </c>
      <c r="AE23" s="25">
        <v>0.0</v>
      </c>
      <c r="AF23" s="25">
        <v>0.6</v>
      </c>
      <c r="AG23" s="25">
        <v>0.0</v>
      </c>
      <c r="AH23" s="25">
        <v>0.0</v>
      </c>
      <c r="AI23" s="25">
        <v>0.0</v>
      </c>
      <c r="AJ23" s="25">
        <v>0.0</v>
      </c>
      <c r="AK23" s="25">
        <v>0.2</v>
      </c>
      <c r="AL23" s="25">
        <v>44.800000000000004</v>
      </c>
      <c r="AM23" s="39">
        <v>5.439814814814814E-7</v>
      </c>
    </row>
    <row r="24" ht="1.5" customHeight="1">
      <c r="A24" s="73" t="s">
        <v>158</v>
      </c>
      <c r="B24" s="74">
        <v>54.0</v>
      </c>
      <c r="C24" s="25">
        <v>48.0</v>
      </c>
      <c r="D24" s="25">
        <v>48.0</v>
      </c>
      <c r="E24" s="25">
        <v>49.0</v>
      </c>
      <c r="F24" s="25">
        <v>49.0</v>
      </c>
      <c r="G24" s="25">
        <v>49.0</v>
      </c>
      <c r="H24" s="25">
        <v>49.0</v>
      </c>
      <c r="I24" s="25">
        <v>49.0</v>
      </c>
      <c r="J24" s="25">
        <v>49.0</v>
      </c>
      <c r="K24" s="25">
        <v>49.0</v>
      </c>
      <c r="L24" s="25">
        <v>49.0</v>
      </c>
      <c r="M24" s="25">
        <v>49.0</v>
      </c>
      <c r="P24" s="25">
        <v>48.0</v>
      </c>
      <c r="Q24" s="25">
        <v>1.0</v>
      </c>
      <c r="R24" s="25">
        <v>0.0</v>
      </c>
      <c r="S24" s="25">
        <v>0.0</v>
      </c>
      <c r="T24" s="25">
        <v>0.0</v>
      </c>
      <c r="U24" s="25">
        <v>0.0</v>
      </c>
      <c r="V24" s="25">
        <v>0.0</v>
      </c>
      <c r="W24" s="25">
        <v>0.0</v>
      </c>
      <c r="X24" s="25">
        <v>0.0</v>
      </c>
      <c r="Y24" s="25">
        <v>0.0</v>
      </c>
      <c r="Z24" s="25">
        <v>49.0</v>
      </c>
      <c r="AB24" s="25">
        <v>48.0</v>
      </c>
      <c r="AC24" s="25">
        <v>0.9</v>
      </c>
      <c r="AD24" s="25">
        <v>0.0</v>
      </c>
      <c r="AE24" s="25">
        <v>0.0</v>
      </c>
      <c r="AF24" s="25">
        <v>0.0</v>
      </c>
      <c r="AG24" s="25">
        <v>0.0</v>
      </c>
      <c r="AH24" s="25">
        <v>0.0</v>
      </c>
      <c r="AI24" s="25">
        <v>0.0</v>
      </c>
      <c r="AJ24" s="25">
        <v>0.0</v>
      </c>
      <c r="AK24" s="25">
        <v>0.0</v>
      </c>
      <c r="AL24" s="25">
        <v>48.9</v>
      </c>
      <c r="AM24" s="39">
        <v>5.671296296296296E-7</v>
      </c>
    </row>
    <row r="25" ht="1.5" customHeight="1">
      <c r="A25" s="73" t="s">
        <v>159</v>
      </c>
      <c r="B25" s="74">
        <v>55.0</v>
      </c>
      <c r="C25" s="25">
        <v>55.0</v>
      </c>
      <c r="D25" s="25">
        <v>56.0</v>
      </c>
      <c r="E25" s="25">
        <v>56.0</v>
      </c>
      <c r="F25" s="25">
        <v>56.0</v>
      </c>
      <c r="G25" s="25">
        <v>56.0</v>
      </c>
      <c r="H25" s="25">
        <v>56.0</v>
      </c>
      <c r="I25" s="25">
        <v>56.0</v>
      </c>
      <c r="J25" s="25">
        <v>56.0</v>
      </c>
      <c r="K25" s="25">
        <v>56.0</v>
      </c>
      <c r="L25" s="25">
        <v>56.0</v>
      </c>
      <c r="M25" s="25">
        <v>61.0</v>
      </c>
      <c r="P25" s="25">
        <v>56.0</v>
      </c>
      <c r="Q25" s="25">
        <v>0.0</v>
      </c>
      <c r="R25" s="25">
        <v>0.0</v>
      </c>
      <c r="S25" s="25">
        <v>0.0</v>
      </c>
      <c r="T25" s="25">
        <v>0.0</v>
      </c>
      <c r="U25" s="25">
        <v>0.0</v>
      </c>
      <c r="V25" s="25">
        <v>0.0</v>
      </c>
      <c r="W25" s="25">
        <v>0.0</v>
      </c>
      <c r="X25" s="25">
        <v>0.0</v>
      </c>
      <c r="Y25" s="25">
        <v>5.0</v>
      </c>
      <c r="Z25" s="25">
        <v>61.0</v>
      </c>
      <c r="AB25" s="25">
        <v>56.0</v>
      </c>
      <c r="AC25" s="25">
        <v>0.0</v>
      </c>
      <c r="AD25" s="25">
        <v>0.0</v>
      </c>
      <c r="AE25" s="25">
        <v>0.0</v>
      </c>
      <c r="AF25" s="25">
        <v>0.0</v>
      </c>
      <c r="AG25" s="25">
        <v>0.0</v>
      </c>
      <c r="AH25" s="25">
        <v>0.0</v>
      </c>
      <c r="AI25" s="25">
        <v>0.0</v>
      </c>
      <c r="AJ25" s="25">
        <v>0.0</v>
      </c>
      <c r="AK25" s="25">
        <v>0.5</v>
      </c>
      <c r="AL25" s="25">
        <v>56.5</v>
      </c>
      <c r="AM25" s="39">
        <v>7.060185185185185E-7</v>
      </c>
    </row>
    <row r="26" ht="1.5" customHeight="1">
      <c r="A26" s="73" t="s">
        <v>160</v>
      </c>
      <c r="B26" s="74">
        <v>56.0</v>
      </c>
      <c r="C26" s="25">
        <v>74.0</v>
      </c>
      <c r="D26" s="25">
        <v>74.0</v>
      </c>
      <c r="E26" s="25">
        <v>74.0</v>
      </c>
      <c r="F26" s="25">
        <v>74.0</v>
      </c>
      <c r="G26" s="25">
        <v>74.0</v>
      </c>
      <c r="H26" s="25">
        <v>74.0</v>
      </c>
      <c r="I26" s="25">
        <v>74.0</v>
      </c>
      <c r="J26" s="25">
        <v>75.0</v>
      </c>
      <c r="K26" s="25">
        <v>75.0</v>
      </c>
      <c r="L26" s="25">
        <v>78.0</v>
      </c>
      <c r="M26" s="25">
        <v>80.0</v>
      </c>
      <c r="P26" s="25">
        <v>74.0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1.0</v>
      </c>
      <c r="W26" s="25">
        <v>0.0</v>
      </c>
      <c r="X26" s="25">
        <v>3.0</v>
      </c>
      <c r="Y26" s="25">
        <v>2.0</v>
      </c>
      <c r="Z26" s="25">
        <v>80.0</v>
      </c>
      <c r="AB26" s="25">
        <v>74.0</v>
      </c>
      <c r="AC26" s="25">
        <v>0.0</v>
      </c>
      <c r="AD26" s="25">
        <v>0.0</v>
      </c>
      <c r="AE26" s="25">
        <v>0.0</v>
      </c>
      <c r="AF26" s="25">
        <v>0.0</v>
      </c>
      <c r="AG26" s="25">
        <v>0.0</v>
      </c>
      <c r="AH26" s="25">
        <v>0.4</v>
      </c>
      <c r="AI26" s="25">
        <v>0.0</v>
      </c>
      <c r="AJ26" s="25">
        <v>0.6000000000000001</v>
      </c>
      <c r="AK26" s="25">
        <v>0.2</v>
      </c>
      <c r="AL26" s="25">
        <v>75.2</v>
      </c>
      <c r="AM26" s="39">
        <v>9.259259259259259E-7</v>
      </c>
    </row>
    <row r="27" ht="1.5" customHeight="1">
      <c r="A27" s="73" t="s">
        <v>161</v>
      </c>
      <c r="B27" s="74">
        <v>57.0</v>
      </c>
      <c r="C27" s="25">
        <v>90.0</v>
      </c>
      <c r="D27" s="25">
        <v>90.0</v>
      </c>
      <c r="E27" s="25">
        <v>90.0</v>
      </c>
      <c r="F27" s="25">
        <v>90.0</v>
      </c>
      <c r="G27" s="25">
        <v>91.0</v>
      </c>
      <c r="H27" s="25">
        <v>91.0</v>
      </c>
      <c r="I27" s="25">
        <v>91.0</v>
      </c>
      <c r="J27" s="25">
        <v>91.0</v>
      </c>
      <c r="K27" s="25">
        <v>91.0</v>
      </c>
      <c r="L27" s="25">
        <v>91.0</v>
      </c>
      <c r="M27" s="25">
        <v>114.0</v>
      </c>
      <c r="P27" s="25">
        <v>90.0</v>
      </c>
      <c r="Q27" s="25">
        <v>0.0</v>
      </c>
      <c r="R27" s="25">
        <v>0.0</v>
      </c>
      <c r="S27" s="25">
        <v>1.0</v>
      </c>
      <c r="T27" s="25">
        <v>0.0</v>
      </c>
      <c r="U27" s="25">
        <v>0.0</v>
      </c>
      <c r="V27" s="25">
        <v>0.0</v>
      </c>
      <c r="W27" s="25">
        <v>0.0</v>
      </c>
      <c r="X27" s="25">
        <v>0.0</v>
      </c>
      <c r="Y27" s="25">
        <v>23.0</v>
      </c>
      <c r="Z27" s="25">
        <v>114.0</v>
      </c>
      <c r="AB27" s="25">
        <v>90.0</v>
      </c>
      <c r="AC27" s="25">
        <v>0.0</v>
      </c>
      <c r="AD27" s="25">
        <v>0.0</v>
      </c>
      <c r="AE27" s="25">
        <v>0.7</v>
      </c>
      <c r="AF27" s="25">
        <v>0.0</v>
      </c>
      <c r="AG27" s="25">
        <v>0.0</v>
      </c>
      <c r="AH27" s="25">
        <v>0.0</v>
      </c>
      <c r="AI27" s="25">
        <v>0.0</v>
      </c>
      <c r="AJ27" s="25">
        <v>0.0</v>
      </c>
      <c r="AK27" s="25">
        <v>2.3000000000000003</v>
      </c>
      <c r="AL27" s="25">
        <v>93.0</v>
      </c>
      <c r="AM27" s="39">
        <v>1.3194444444444444E-6</v>
      </c>
    </row>
    <row r="28" ht="1.5" customHeight="1">
      <c r="A28" s="73" t="s">
        <v>162</v>
      </c>
      <c r="B28" s="74">
        <v>58.0</v>
      </c>
      <c r="C28" s="25">
        <v>101.0</v>
      </c>
      <c r="D28" s="25">
        <v>101.0</v>
      </c>
      <c r="E28" s="25">
        <v>101.0</v>
      </c>
      <c r="F28" s="25">
        <v>101.0</v>
      </c>
      <c r="G28" s="25">
        <v>101.0</v>
      </c>
      <c r="H28" s="25">
        <v>102.0</v>
      </c>
      <c r="I28" s="25">
        <v>102.0</v>
      </c>
      <c r="J28" s="25">
        <v>102.0</v>
      </c>
      <c r="K28" s="25">
        <v>102.0</v>
      </c>
      <c r="L28" s="25">
        <v>102.0</v>
      </c>
      <c r="M28" s="25">
        <v>140.0</v>
      </c>
      <c r="P28" s="25">
        <v>101.0</v>
      </c>
      <c r="Q28" s="25">
        <v>0.0</v>
      </c>
      <c r="R28" s="25">
        <v>0.0</v>
      </c>
      <c r="S28" s="25">
        <v>0.0</v>
      </c>
      <c r="T28" s="25">
        <v>1.0</v>
      </c>
      <c r="U28" s="25">
        <v>0.0</v>
      </c>
      <c r="V28" s="25">
        <v>0.0</v>
      </c>
      <c r="W28" s="25">
        <v>0.0</v>
      </c>
      <c r="X28" s="25">
        <v>0.0</v>
      </c>
      <c r="Y28" s="25">
        <v>38.0</v>
      </c>
      <c r="Z28" s="25">
        <v>140.0</v>
      </c>
      <c r="AB28" s="25">
        <v>101.0</v>
      </c>
      <c r="AC28" s="25">
        <v>0.0</v>
      </c>
      <c r="AD28" s="25">
        <v>0.0</v>
      </c>
      <c r="AE28" s="25">
        <v>0.0</v>
      </c>
      <c r="AF28" s="25">
        <v>0.6</v>
      </c>
      <c r="AG28" s="25">
        <v>0.0</v>
      </c>
      <c r="AH28" s="25">
        <v>0.0</v>
      </c>
      <c r="AI28" s="25">
        <v>0.0</v>
      </c>
      <c r="AJ28" s="25">
        <v>0.0</v>
      </c>
      <c r="AK28" s="25">
        <v>3.8000000000000003</v>
      </c>
      <c r="AL28" s="25">
        <v>105.39999999999999</v>
      </c>
      <c r="AM28" s="39">
        <v>1.6203703703703703E-6</v>
      </c>
    </row>
    <row r="29" ht="1.5" customHeight="1">
      <c r="A29" s="73" t="s">
        <v>163</v>
      </c>
      <c r="B29" s="74">
        <v>59.0</v>
      </c>
      <c r="C29" s="25">
        <v>120.0</v>
      </c>
      <c r="D29" s="25">
        <v>120.0</v>
      </c>
      <c r="E29" s="25">
        <v>120.0</v>
      </c>
      <c r="F29" s="25">
        <v>120.0</v>
      </c>
      <c r="G29" s="25">
        <v>120.0</v>
      </c>
      <c r="H29" s="25">
        <v>121.0</v>
      </c>
      <c r="I29" s="25">
        <v>121.0</v>
      </c>
      <c r="J29" s="25">
        <v>121.0</v>
      </c>
      <c r="K29" s="25">
        <v>121.0</v>
      </c>
      <c r="L29" s="25">
        <v>121.0</v>
      </c>
      <c r="M29" s="25">
        <v>122.0</v>
      </c>
      <c r="P29" s="25">
        <v>120.0</v>
      </c>
      <c r="Q29" s="25">
        <v>0.0</v>
      </c>
      <c r="R29" s="25">
        <v>0.0</v>
      </c>
      <c r="S29" s="25">
        <v>0.0</v>
      </c>
      <c r="T29" s="25">
        <v>1.0</v>
      </c>
      <c r="U29" s="25">
        <v>0.0</v>
      </c>
      <c r="V29" s="25">
        <v>0.0</v>
      </c>
      <c r="W29" s="25">
        <v>0.0</v>
      </c>
      <c r="X29" s="25">
        <v>0.0</v>
      </c>
      <c r="Y29" s="25">
        <v>1.0</v>
      </c>
      <c r="Z29" s="25">
        <v>122.0</v>
      </c>
      <c r="AB29" s="25">
        <v>120.0</v>
      </c>
      <c r="AC29" s="25">
        <v>0.0</v>
      </c>
      <c r="AD29" s="25">
        <v>0.0</v>
      </c>
      <c r="AE29" s="25">
        <v>0.0</v>
      </c>
      <c r="AF29" s="25">
        <v>0.6</v>
      </c>
      <c r="AG29" s="25">
        <v>0.0</v>
      </c>
      <c r="AH29" s="25">
        <v>0.0</v>
      </c>
      <c r="AI29" s="25">
        <v>0.0</v>
      </c>
      <c r="AJ29" s="25">
        <v>0.0</v>
      </c>
      <c r="AK29" s="25">
        <v>0.1</v>
      </c>
      <c r="AL29" s="25">
        <v>120.69999999999999</v>
      </c>
      <c r="AM29" s="39">
        <v>1.412037037037037E-6</v>
      </c>
    </row>
    <row r="30" ht="1.5" customHeight="1">
      <c r="A30" s="73" t="s">
        <v>164</v>
      </c>
      <c r="B30" s="74">
        <v>60.0</v>
      </c>
      <c r="C30" s="25">
        <v>166.0</v>
      </c>
      <c r="D30" s="25">
        <v>166.0</v>
      </c>
      <c r="E30" s="25">
        <v>166.0</v>
      </c>
      <c r="F30" s="25">
        <v>166.0</v>
      </c>
      <c r="G30" s="25">
        <v>167.0</v>
      </c>
      <c r="H30" s="25">
        <v>167.0</v>
      </c>
      <c r="I30" s="25">
        <v>167.0</v>
      </c>
      <c r="J30" s="25">
        <v>167.0</v>
      </c>
      <c r="K30" s="25">
        <v>167.0</v>
      </c>
      <c r="L30" s="25">
        <v>172.0</v>
      </c>
      <c r="M30" s="25">
        <v>188.0</v>
      </c>
      <c r="P30" s="25">
        <v>166.0</v>
      </c>
      <c r="Q30" s="25">
        <v>0.0</v>
      </c>
      <c r="R30" s="25">
        <v>0.0</v>
      </c>
      <c r="S30" s="25">
        <v>1.0</v>
      </c>
      <c r="T30" s="25">
        <v>0.0</v>
      </c>
      <c r="U30" s="25">
        <v>0.0</v>
      </c>
      <c r="V30" s="25">
        <v>0.0</v>
      </c>
      <c r="W30" s="25">
        <v>0.0</v>
      </c>
      <c r="X30" s="25">
        <v>5.0</v>
      </c>
      <c r="Y30" s="25">
        <v>16.0</v>
      </c>
      <c r="Z30" s="25">
        <v>188.0</v>
      </c>
      <c r="AB30" s="25">
        <v>166.0</v>
      </c>
      <c r="AC30" s="25">
        <v>0.0</v>
      </c>
      <c r="AD30" s="25">
        <v>0.0</v>
      </c>
      <c r="AE30" s="25">
        <v>0.7</v>
      </c>
      <c r="AF30" s="25">
        <v>0.0</v>
      </c>
      <c r="AG30" s="25">
        <v>0.0</v>
      </c>
      <c r="AH30" s="25">
        <v>0.0</v>
      </c>
      <c r="AI30" s="25">
        <v>0.0</v>
      </c>
      <c r="AJ30" s="25">
        <v>1.0</v>
      </c>
      <c r="AK30" s="25">
        <v>1.6</v>
      </c>
      <c r="AL30" s="25">
        <v>169.29999999999998</v>
      </c>
      <c r="AM30" s="39">
        <v>2.1759259259259257E-6</v>
      </c>
    </row>
    <row r="31" ht="1.5" customHeight="1">
      <c r="A31" s="73" t="s">
        <v>165</v>
      </c>
      <c r="B31" s="74">
        <v>61.0</v>
      </c>
      <c r="C31" s="25">
        <v>218.0</v>
      </c>
      <c r="D31" s="25">
        <v>219.0</v>
      </c>
      <c r="E31" s="25">
        <v>219.0</v>
      </c>
      <c r="F31" s="25">
        <v>219.0</v>
      </c>
      <c r="G31" s="25">
        <v>219.0</v>
      </c>
      <c r="H31" s="25">
        <v>220.0</v>
      </c>
      <c r="I31" s="25">
        <v>221.0</v>
      </c>
      <c r="J31" s="25">
        <v>221.0</v>
      </c>
      <c r="K31" s="25">
        <v>221.0</v>
      </c>
      <c r="L31" s="25">
        <v>221.0</v>
      </c>
      <c r="M31" s="25">
        <v>243.0</v>
      </c>
      <c r="P31" s="25">
        <v>219.0</v>
      </c>
      <c r="Q31" s="25">
        <v>0.0</v>
      </c>
      <c r="R31" s="25">
        <v>0.0</v>
      </c>
      <c r="S31" s="25">
        <v>0.0</v>
      </c>
      <c r="T31" s="25">
        <v>1.0</v>
      </c>
      <c r="U31" s="25">
        <v>1.0</v>
      </c>
      <c r="V31" s="25">
        <v>0.0</v>
      </c>
      <c r="W31" s="25">
        <v>0.0</v>
      </c>
      <c r="X31" s="25">
        <v>0.0</v>
      </c>
      <c r="Y31" s="25">
        <v>22.0</v>
      </c>
      <c r="Z31" s="25">
        <v>243.0</v>
      </c>
      <c r="AB31" s="25">
        <v>219.0</v>
      </c>
      <c r="AC31" s="25">
        <v>0.0</v>
      </c>
      <c r="AD31" s="25">
        <v>0.0</v>
      </c>
      <c r="AE31" s="25">
        <v>0.0</v>
      </c>
      <c r="AF31" s="25">
        <v>0.6</v>
      </c>
      <c r="AG31" s="25">
        <v>0.5</v>
      </c>
      <c r="AH31" s="25">
        <v>0.0</v>
      </c>
      <c r="AI31" s="25">
        <v>0.0</v>
      </c>
      <c r="AJ31" s="25">
        <v>0.0</v>
      </c>
      <c r="AK31" s="25">
        <v>2.2</v>
      </c>
      <c r="AL31" s="25">
        <v>222.29999999999998</v>
      </c>
      <c r="AM31" s="39">
        <v>2.8124999999999998E-6</v>
      </c>
    </row>
    <row r="32" ht="1.5" customHeight="1">
      <c r="A32" s="73" t="s">
        <v>166</v>
      </c>
      <c r="B32" s="74">
        <v>62.0</v>
      </c>
      <c r="C32" s="25">
        <v>226.0</v>
      </c>
      <c r="D32" s="25">
        <v>226.0</v>
      </c>
      <c r="E32" s="25">
        <v>226.0</v>
      </c>
      <c r="F32" s="25">
        <v>226.0</v>
      </c>
      <c r="G32" s="25">
        <v>227.0</v>
      </c>
      <c r="H32" s="25">
        <v>227.0</v>
      </c>
      <c r="I32" s="25">
        <v>228.0</v>
      </c>
      <c r="J32" s="25">
        <v>228.0</v>
      </c>
      <c r="K32" s="25">
        <v>229.0</v>
      </c>
      <c r="L32" s="25">
        <v>229.0</v>
      </c>
      <c r="M32" s="25">
        <v>356.0</v>
      </c>
      <c r="P32" s="25">
        <v>226.0</v>
      </c>
      <c r="Q32" s="25">
        <v>0.0</v>
      </c>
      <c r="R32" s="25">
        <v>0.0</v>
      </c>
      <c r="S32" s="25">
        <v>1.0</v>
      </c>
      <c r="T32" s="25">
        <v>0.0</v>
      </c>
      <c r="U32" s="25">
        <v>1.0</v>
      </c>
      <c r="V32" s="25">
        <v>0.0</v>
      </c>
      <c r="W32" s="25">
        <v>1.0</v>
      </c>
      <c r="X32" s="25">
        <v>0.0</v>
      </c>
      <c r="Y32" s="25">
        <v>127.0</v>
      </c>
      <c r="Z32" s="25">
        <v>356.0</v>
      </c>
      <c r="AB32" s="25">
        <v>226.0</v>
      </c>
      <c r="AC32" s="25">
        <v>0.0</v>
      </c>
      <c r="AD32" s="25">
        <v>0.0</v>
      </c>
      <c r="AE32" s="25">
        <v>0.7</v>
      </c>
      <c r="AF32" s="25">
        <v>0.0</v>
      </c>
      <c r="AG32" s="25">
        <v>0.5</v>
      </c>
      <c r="AH32" s="25">
        <v>0.0</v>
      </c>
      <c r="AI32" s="25">
        <v>0.3</v>
      </c>
      <c r="AJ32" s="25">
        <v>0.0</v>
      </c>
      <c r="AK32" s="25">
        <v>12.700000000000001</v>
      </c>
      <c r="AL32" s="25">
        <v>240.2</v>
      </c>
      <c r="AM32" s="39">
        <v>4.1203703703703705E-6</v>
      </c>
    </row>
    <row r="33" ht="1.5" customHeight="1">
      <c r="A33" s="73" t="s">
        <v>167</v>
      </c>
      <c r="B33" s="74">
        <v>63.0</v>
      </c>
      <c r="C33" s="25">
        <v>313.0</v>
      </c>
      <c r="D33" s="25">
        <v>313.0</v>
      </c>
      <c r="E33" s="25">
        <v>313.0</v>
      </c>
      <c r="F33" s="25">
        <v>314.0</v>
      </c>
      <c r="G33" s="25">
        <v>314.0</v>
      </c>
      <c r="H33" s="25">
        <v>315.0</v>
      </c>
      <c r="I33" s="25">
        <v>315.0</v>
      </c>
      <c r="J33" s="25">
        <v>316.0</v>
      </c>
      <c r="K33" s="25">
        <v>316.0</v>
      </c>
      <c r="L33" s="25">
        <v>316.0</v>
      </c>
      <c r="M33" s="25">
        <v>475.0</v>
      </c>
      <c r="P33" s="25">
        <v>313.0</v>
      </c>
      <c r="Q33" s="25">
        <v>0.0</v>
      </c>
      <c r="R33" s="25">
        <v>1.0</v>
      </c>
      <c r="S33" s="25">
        <v>0.0</v>
      </c>
      <c r="T33" s="25">
        <v>1.0</v>
      </c>
      <c r="U33" s="25">
        <v>0.0</v>
      </c>
      <c r="V33" s="25">
        <v>1.0</v>
      </c>
      <c r="W33" s="25">
        <v>0.0</v>
      </c>
      <c r="X33" s="25">
        <v>0.0</v>
      </c>
      <c r="Y33" s="25">
        <v>159.0</v>
      </c>
      <c r="Z33" s="25">
        <v>475.0</v>
      </c>
      <c r="AB33" s="25">
        <v>313.0</v>
      </c>
      <c r="AC33" s="25">
        <v>0.0</v>
      </c>
      <c r="AD33" s="25">
        <v>0.8</v>
      </c>
      <c r="AE33" s="25">
        <v>0.0</v>
      </c>
      <c r="AF33" s="25">
        <v>0.6</v>
      </c>
      <c r="AG33" s="25">
        <v>0.0</v>
      </c>
      <c r="AH33" s="25">
        <v>0.4</v>
      </c>
      <c r="AI33" s="25">
        <v>0.0</v>
      </c>
      <c r="AJ33" s="25">
        <v>0.0</v>
      </c>
      <c r="AK33" s="25">
        <v>15.9</v>
      </c>
      <c r="AL33" s="25">
        <v>330.7</v>
      </c>
      <c r="AM33" s="39">
        <v>5.497685185185185E-6</v>
      </c>
    </row>
    <row r="34" ht="1.5" customHeight="1">
      <c r="A34" s="73" t="s">
        <v>168</v>
      </c>
      <c r="B34" s="74">
        <v>64.0</v>
      </c>
      <c r="C34" s="25">
        <v>386.0</v>
      </c>
      <c r="D34" s="25">
        <v>386.0</v>
      </c>
      <c r="E34" s="25">
        <v>387.0</v>
      </c>
      <c r="F34" s="25">
        <v>387.0</v>
      </c>
      <c r="G34" s="25">
        <v>388.0</v>
      </c>
      <c r="H34" s="25">
        <v>388.0</v>
      </c>
      <c r="I34" s="25">
        <v>389.0</v>
      </c>
      <c r="J34" s="25">
        <v>389.0</v>
      </c>
      <c r="K34" s="25">
        <v>389.0</v>
      </c>
      <c r="L34" s="25">
        <v>412.0</v>
      </c>
      <c r="M34" s="25">
        <v>447.0</v>
      </c>
      <c r="P34" s="25">
        <v>386.0</v>
      </c>
      <c r="Q34" s="25">
        <v>1.0</v>
      </c>
      <c r="R34" s="25">
        <v>0.0</v>
      </c>
      <c r="S34" s="25">
        <v>1.0</v>
      </c>
      <c r="T34" s="25">
        <v>0.0</v>
      </c>
      <c r="U34" s="25">
        <v>1.0</v>
      </c>
      <c r="V34" s="25">
        <v>0.0</v>
      </c>
      <c r="W34" s="25">
        <v>0.0</v>
      </c>
      <c r="X34" s="25">
        <v>23.0</v>
      </c>
      <c r="Y34" s="25">
        <v>35.0</v>
      </c>
      <c r="Z34" s="25">
        <v>447.0</v>
      </c>
      <c r="AB34" s="25">
        <v>386.0</v>
      </c>
      <c r="AC34" s="25">
        <v>0.9</v>
      </c>
      <c r="AD34" s="25">
        <v>0.0</v>
      </c>
      <c r="AE34" s="25">
        <v>0.7</v>
      </c>
      <c r="AF34" s="25">
        <v>0.0</v>
      </c>
      <c r="AG34" s="25">
        <v>0.5</v>
      </c>
      <c r="AH34" s="25">
        <v>0.0</v>
      </c>
      <c r="AI34" s="25">
        <v>0.0</v>
      </c>
      <c r="AJ34" s="25">
        <v>4.6000000000000005</v>
      </c>
      <c r="AK34" s="25">
        <v>3.5</v>
      </c>
      <c r="AL34" s="25">
        <v>396.2</v>
      </c>
      <c r="AM34" s="39">
        <v>5.173611111111111E-6</v>
      </c>
    </row>
    <row r="35" ht="1.5" customHeight="1">
      <c r="A35" s="73" t="s">
        <v>169</v>
      </c>
      <c r="B35" s="74">
        <v>65.0</v>
      </c>
      <c r="C35" s="25">
        <v>436.0</v>
      </c>
      <c r="D35" s="25">
        <v>436.0</v>
      </c>
      <c r="E35" s="25">
        <v>436.0</v>
      </c>
      <c r="F35" s="25">
        <v>436.0</v>
      </c>
      <c r="G35" s="25">
        <v>437.0</v>
      </c>
      <c r="H35" s="25">
        <v>437.0</v>
      </c>
      <c r="I35" s="25">
        <v>437.0</v>
      </c>
      <c r="J35" s="25">
        <v>437.0</v>
      </c>
      <c r="K35" s="25">
        <v>438.0</v>
      </c>
      <c r="L35" s="25">
        <v>460.0</v>
      </c>
      <c r="M35" s="25">
        <v>461.0</v>
      </c>
      <c r="P35" s="25">
        <v>436.0</v>
      </c>
      <c r="Q35" s="25">
        <v>0.0</v>
      </c>
      <c r="R35" s="25">
        <v>0.0</v>
      </c>
      <c r="S35" s="25">
        <v>1.0</v>
      </c>
      <c r="T35" s="25">
        <v>0.0</v>
      </c>
      <c r="U35" s="25">
        <v>0.0</v>
      </c>
      <c r="V35" s="25">
        <v>0.0</v>
      </c>
      <c r="W35" s="25">
        <v>1.0</v>
      </c>
      <c r="X35" s="25">
        <v>22.0</v>
      </c>
      <c r="Y35" s="25">
        <v>1.0</v>
      </c>
      <c r="Z35" s="25">
        <v>461.0</v>
      </c>
      <c r="AB35" s="25">
        <v>436.0</v>
      </c>
      <c r="AC35" s="25">
        <v>0.0</v>
      </c>
      <c r="AD35" s="25">
        <v>0.0</v>
      </c>
      <c r="AE35" s="25">
        <v>0.7</v>
      </c>
      <c r="AF35" s="25">
        <v>0.0</v>
      </c>
      <c r="AG35" s="25">
        <v>0.0</v>
      </c>
      <c r="AH35" s="25">
        <v>0.0</v>
      </c>
      <c r="AI35" s="25">
        <v>0.3</v>
      </c>
      <c r="AJ35" s="25">
        <v>4.4</v>
      </c>
      <c r="AK35" s="25">
        <v>0.1</v>
      </c>
      <c r="AL35" s="25">
        <v>441.5</v>
      </c>
      <c r="AM35" s="39">
        <v>5.335648148148148E-6</v>
      </c>
    </row>
    <row r="36" ht="1.5" customHeight="1">
      <c r="A36" s="73" t="s">
        <v>170</v>
      </c>
      <c r="B36" s="74">
        <v>66.0</v>
      </c>
      <c r="C36" s="25">
        <v>519.0</v>
      </c>
      <c r="D36" s="25">
        <v>519.0</v>
      </c>
      <c r="E36" s="25">
        <v>520.0</v>
      </c>
      <c r="F36" s="25">
        <v>520.0</v>
      </c>
      <c r="G36" s="25">
        <v>520.0</v>
      </c>
      <c r="H36" s="25">
        <v>521.0</v>
      </c>
      <c r="I36" s="25">
        <v>522.0</v>
      </c>
      <c r="J36" s="25">
        <v>523.0</v>
      </c>
      <c r="K36" s="25">
        <v>523.0</v>
      </c>
      <c r="L36" s="25">
        <v>525.0</v>
      </c>
      <c r="M36" s="25">
        <v>525.0</v>
      </c>
      <c r="P36" s="25">
        <v>519.0</v>
      </c>
      <c r="Q36" s="25">
        <v>1.0</v>
      </c>
      <c r="R36" s="25">
        <v>0.0</v>
      </c>
      <c r="S36" s="25">
        <v>0.0</v>
      </c>
      <c r="T36" s="25">
        <v>1.0</v>
      </c>
      <c r="U36" s="25">
        <v>1.0</v>
      </c>
      <c r="V36" s="25">
        <v>1.0</v>
      </c>
      <c r="W36" s="25">
        <v>0.0</v>
      </c>
      <c r="X36" s="25">
        <v>2.0</v>
      </c>
      <c r="Y36" s="25">
        <v>0.0</v>
      </c>
      <c r="Z36" s="25">
        <v>525.0</v>
      </c>
      <c r="AB36" s="25">
        <v>519.0</v>
      </c>
      <c r="AC36" s="25">
        <v>0.9</v>
      </c>
      <c r="AD36" s="25">
        <v>0.0</v>
      </c>
      <c r="AE36" s="25">
        <v>0.0</v>
      </c>
      <c r="AF36" s="25">
        <v>0.6</v>
      </c>
      <c r="AG36" s="25">
        <v>0.5</v>
      </c>
      <c r="AH36" s="25">
        <v>0.4</v>
      </c>
      <c r="AI36" s="25">
        <v>0.0</v>
      </c>
      <c r="AJ36" s="25">
        <v>0.4</v>
      </c>
      <c r="AK36" s="25">
        <v>0.0</v>
      </c>
      <c r="AL36" s="25">
        <v>521.8</v>
      </c>
      <c r="AM36" s="39">
        <v>6.0763888888888885E-6</v>
      </c>
    </row>
    <row r="37" ht="1.5" customHeight="1">
      <c r="A37" s="73" t="s">
        <v>171</v>
      </c>
      <c r="B37" s="74">
        <v>67.0</v>
      </c>
      <c r="C37" s="25">
        <v>659.0</v>
      </c>
      <c r="D37" s="25">
        <v>660.0</v>
      </c>
      <c r="E37" s="25">
        <v>660.0</v>
      </c>
      <c r="F37" s="25">
        <v>660.0</v>
      </c>
      <c r="G37" s="25">
        <v>662.0</v>
      </c>
      <c r="H37" s="25">
        <v>663.0</v>
      </c>
      <c r="I37" s="25">
        <v>663.0</v>
      </c>
      <c r="J37" s="25">
        <v>665.0</v>
      </c>
      <c r="K37" s="25">
        <v>665.0</v>
      </c>
      <c r="L37" s="25">
        <v>667.0</v>
      </c>
      <c r="M37" s="25">
        <v>947.0</v>
      </c>
      <c r="P37" s="25">
        <v>660.0</v>
      </c>
      <c r="Q37" s="25">
        <v>0.0</v>
      </c>
      <c r="R37" s="25">
        <v>0.0</v>
      </c>
      <c r="S37" s="25">
        <v>2.0</v>
      </c>
      <c r="T37" s="25">
        <v>1.0</v>
      </c>
      <c r="U37" s="25">
        <v>0.0</v>
      </c>
      <c r="V37" s="25">
        <v>2.0</v>
      </c>
      <c r="W37" s="25">
        <v>0.0</v>
      </c>
      <c r="X37" s="25">
        <v>2.0</v>
      </c>
      <c r="Y37" s="25">
        <v>280.0</v>
      </c>
      <c r="Z37" s="25">
        <v>947.0</v>
      </c>
      <c r="AB37" s="25">
        <v>660.0</v>
      </c>
      <c r="AC37" s="25">
        <v>0.0</v>
      </c>
      <c r="AD37" s="25">
        <v>0.0</v>
      </c>
      <c r="AE37" s="25">
        <v>1.4</v>
      </c>
      <c r="AF37" s="25">
        <v>0.6</v>
      </c>
      <c r="AG37" s="25">
        <v>0.0</v>
      </c>
      <c r="AH37" s="25">
        <v>0.8</v>
      </c>
      <c r="AI37" s="25">
        <v>0.0</v>
      </c>
      <c r="AJ37" s="25">
        <v>0.4</v>
      </c>
      <c r="AK37" s="25">
        <v>28.0</v>
      </c>
      <c r="AL37" s="25">
        <v>691.1999999999999</v>
      </c>
      <c r="AM37" s="39">
        <v>1.0960648148148147E-5</v>
      </c>
    </row>
    <row r="38" ht="1.5" customHeight="1">
      <c r="A38" s="73" t="s">
        <v>172</v>
      </c>
      <c r="B38" s="74">
        <v>68.0</v>
      </c>
      <c r="C38" s="25">
        <v>923.0</v>
      </c>
      <c r="D38" s="25">
        <v>924.0</v>
      </c>
      <c r="E38" s="25">
        <v>925.0</v>
      </c>
      <c r="F38" s="25">
        <v>928.0</v>
      </c>
      <c r="G38" s="25">
        <v>929.0</v>
      </c>
      <c r="H38" s="25">
        <v>930.0</v>
      </c>
      <c r="I38" s="25">
        <v>930.0</v>
      </c>
      <c r="J38" s="25">
        <v>931.0</v>
      </c>
      <c r="K38" s="25">
        <v>936.0</v>
      </c>
      <c r="L38" s="25">
        <v>1152.0</v>
      </c>
      <c r="M38" s="25">
        <v>1625.0</v>
      </c>
      <c r="P38" s="25">
        <v>924.0</v>
      </c>
      <c r="Q38" s="25">
        <v>1.0</v>
      </c>
      <c r="R38" s="25">
        <v>3.0</v>
      </c>
      <c r="S38" s="25">
        <v>1.0</v>
      </c>
      <c r="T38" s="25">
        <v>1.0</v>
      </c>
      <c r="U38" s="25">
        <v>0.0</v>
      </c>
      <c r="V38" s="25">
        <v>1.0</v>
      </c>
      <c r="W38" s="25">
        <v>5.0</v>
      </c>
      <c r="X38" s="25">
        <v>216.0</v>
      </c>
      <c r="Y38" s="25">
        <v>473.0</v>
      </c>
      <c r="Z38" s="25">
        <v>1625.0</v>
      </c>
      <c r="AB38" s="25">
        <v>924.0</v>
      </c>
      <c r="AC38" s="25">
        <v>0.9</v>
      </c>
      <c r="AD38" s="25">
        <v>2.4000000000000004</v>
      </c>
      <c r="AE38" s="25">
        <v>0.7</v>
      </c>
      <c r="AF38" s="25">
        <v>0.6</v>
      </c>
      <c r="AG38" s="25">
        <v>0.0</v>
      </c>
      <c r="AH38" s="25">
        <v>0.4</v>
      </c>
      <c r="AI38" s="25">
        <v>1.5</v>
      </c>
      <c r="AJ38" s="25">
        <v>43.2</v>
      </c>
      <c r="AK38" s="25">
        <v>47.300000000000004</v>
      </c>
      <c r="AL38" s="25">
        <v>1021.0</v>
      </c>
      <c r="AM38" s="39">
        <v>1.880787037037037E-5</v>
      </c>
    </row>
    <row r="39" ht="1.5" customHeight="1">
      <c r="A39" s="73" t="s">
        <v>173</v>
      </c>
      <c r="B39" s="74">
        <v>69.0</v>
      </c>
      <c r="C39" s="25">
        <v>1047.0</v>
      </c>
      <c r="D39" s="25">
        <v>1047.0</v>
      </c>
      <c r="E39" s="25">
        <v>1048.0</v>
      </c>
      <c r="F39" s="25">
        <v>1048.0</v>
      </c>
      <c r="G39" s="25">
        <v>1048.0</v>
      </c>
      <c r="H39" s="25">
        <v>1049.0</v>
      </c>
      <c r="I39" s="25">
        <v>1053.0</v>
      </c>
      <c r="J39" s="25">
        <v>1053.0</v>
      </c>
      <c r="K39" s="25">
        <v>1053.0</v>
      </c>
      <c r="L39" s="25">
        <v>1054.0</v>
      </c>
      <c r="M39" s="25">
        <v>1056.0</v>
      </c>
      <c r="P39" s="25">
        <v>1047.0</v>
      </c>
      <c r="Q39" s="25">
        <v>1.0</v>
      </c>
      <c r="R39" s="25">
        <v>0.0</v>
      </c>
      <c r="S39" s="25">
        <v>0.0</v>
      </c>
      <c r="T39" s="25">
        <v>1.0</v>
      </c>
      <c r="U39" s="25">
        <v>4.0</v>
      </c>
      <c r="V39" s="25">
        <v>0.0</v>
      </c>
      <c r="W39" s="25">
        <v>0.0</v>
      </c>
      <c r="X39" s="25">
        <v>1.0</v>
      </c>
      <c r="Y39" s="25">
        <v>2.0</v>
      </c>
      <c r="Z39" s="25">
        <v>1056.0</v>
      </c>
      <c r="AB39" s="25">
        <v>1047.0</v>
      </c>
      <c r="AC39" s="25">
        <v>0.9</v>
      </c>
      <c r="AD39" s="25">
        <v>0.0</v>
      </c>
      <c r="AE39" s="25">
        <v>0.0</v>
      </c>
      <c r="AF39" s="25">
        <v>0.6</v>
      </c>
      <c r="AG39" s="25">
        <v>2.0</v>
      </c>
      <c r="AH39" s="25">
        <v>0.0</v>
      </c>
      <c r="AI39" s="25">
        <v>0.0</v>
      </c>
      <c r="AJ39" s="25">
        <v>0.2</v>
      </c>
      <c r="AK39" s="25">
        <v>0.2</v>
      </c>
      <c r="AL39" s="25">
        <v>1050.9</v>
      </c>
      <c r="AM39" s="39">
        <v>1.2222222222222222E-5</v>
      </c>
    </row>
    <row r="40" ht="1.5" customHeight="1">
      <c r="A40" s="73" t="s">
        <v>174</v>
      </c>
      <c r="B40" s="74">
        <v>70.0</v>
      </c>
      <c r="C40" s="25">
        <v>1175.0</v>
      </c>
      <c r="D40" s="25">
        <v>1176.0</v>
      </c>
      <c r="E40" s="25">
        <v>1178.0</v>
      </c>
      <c r="F40" s="25">
        <v>1178.0</v>
      </c>
      <c r="G40" s="25">
        <v>1182.0</v>
      </c>
      <c r="H40" s="25">
        <v>1183.0</v>
      </c>
      <c r="I40" s="25">
        <v>1184.0</v>
      </c>
      <c r="J40" s="25">
        <v>1184.0</v>
      </c>
      <c r="K40" s="25">
        <v>1185.0</v>
      </c>
      <c r="L40" s="25">
        <v>1187.0</v>
      </c>
      <c r="M40" s="25">
        <v>1228.0</v>
      </c>
      <c r="P40" s="25">
        <v>1176.0</v>
      </c>
      <c r="Q40" s="25">
        <v>2.0</v>
      </c>
      <c r="R40" s="25">
        <v>0.0</v>
      </c>
      <c r="S40" s="25">
        <v>4.0</v>
      </c>
      <c r="T40" s="25">
        <v>1.0</v>
      </c>
      <c r="U40" s="25">
        <v>1.0</v>
      </c>
      <c r="V40" s="25">
        <v>0.0</v>
      </c>
      <c r="W40" s="25">
        <v>1.0</v>
      </c>
      <c r="X40" s="25">
        <v>2.0</v>
      </c>
      <c r="Y40" s="25">
        <v>41.0</v>
      </c>
      <c r="Z40" s="25">
        <v>1228.0</v>
      </c>
      <c r="AB40" s="25">
        <v>1176.0</v>
      </c>
      <c r="AC40" s="25">
        <v>1.8</v>
      </c>
      <c r="AD40" s="25">
        <v>0.0</v>
      </c>
      <c r="AE40" s="25">
        <v>2.8</v>
      </c>
      <c r="AF40" s="25">
        <v>0.6</v>
      </c>
      <c r="AG40" s="25">
        <v>0.5</v>
      </c>
      <c r="AH40" s="25">
        <v>0.0</v>
      </c>
      <c r="AI40" s="25">
        <v>0.3</v>
      </c>
      <c r="AJ40" s="25">
        <v>0.4</v>
      </c>
      <c r="AK40" s="25">
        <v>4.1000000000000005</v>
      </c>
      <c r="AL40" s="25">
        <v>1186.4999999999998</v>
      </c>
      <c r="AM40" s="39">
        <v>1.4212962962962962E-5</v>
      </c>
    </row>
    <row r="41" ht="1.5" customHeight="1">
      <c r="A41" s="73" t="s">
        <v>175</v>
      </c>
      <c r="B41" s="74">
        <v>71.0</v>
      </c>
      <c r="C41" s="25">
        <v>1537.0</v>
      </c>
      <c r="D41" s="25">
        <v>1537.0</v>
      </c>
      <c r="E41" s="25">
        <v>1539.0</v>
      </c>
      <c r="F41" s="25">
        <v>1540.0</v>
      </c>
      <c r="G41" s="25">
        <v>1544.0</v>
      </c>
      <c r="H41" s="25">
        <v>1547.0</v>
      </c>
      <c r="I41" s="25">
        <v>1547.0</v>
      </c>
      <c r="J41" s="25">
        <v>1549.0</v>
      </c>
      <c r="K41" s="25">
        <v>1552.0</v>
      </c>
      <c r="L41" s="25">
        <v>1552.0</v>
      </c>
      <c r="M41" s="25">
        <v>1559.0</v>
      </c>
      <c r="P41" s="25">
        <v>1537.0</v>
      </c>
      <c r="Q41" s="25">
        <v>2.0</v>
      </c>
      <c r="R41" s="25">
        <v>1.0</v>
      </c>
      <c r="S41" s="25">
        <v>4.0</v>
      </c>
      <c r="T41" s="25">
        <v>3.0</v>
      </c>
      <c r="U41" s="25">
        <v>0.0</v>
      </c>
      <c r="V41" s="25">
        <v>2.0</v>
      </c>
      <c r="W41" s="25">
        <v>3.0</v>
      </c>
      <c r="X41" s="25">
        <v>0.0</v>
      </c>
      <c r="Y41" s="25">
        <v>7.0</v>
      </c>
      <c r="Z41" s="25">
        <v>1559.0</v>
      </c>
      <c r="AB41" s="25">
        <v>1537.0</v>
      </c>
      <c r="AC41" s="25">
        <v>1.8</v>
      </c>
      <c r="AD41" s="25">
        <v>0.8</v>
      </c>
      <c r="AE41" s="25">
        <v>2.8</v>
      </c>
      <c r="AF41" s="25">
        <v>1.7999999999999998</v>
      </c>
      <c r="AG41" s="25">
        <v>0.0</v>
      </c>
      <c r="AH41" s="25">
        <v>0.8</v>
      </c>
      <c r="AI41" s="25">
        <v>0.8999999999999999</v>
      </c>
      <c r="AJ41" s="25">
        <v>0.0</v>
      </c>
      <c r="AK41" s="25">
        <v>0.7000000000000001</v>
      </c>
      <c r="AL41" s="25">
        <v>1546.6</v>
      </c>
      <c r="AM41" s="39">
        <v>1.8043981481481483E-5</v>
      </c>
    </row>
    <row r="42" ht="1.5" customHeight="1">
      <c r="A42" s="73" t="s">
        <v>176</v>
      </c>
      <c r="B42" s="74">
        <v>72.0</v>
      </c>
      <c r="C42" s="25">
        <v>2269.0</v>
      </c>
      <c r="D42" s="25">
        <v>2271.0</v>
      </c>
      <c r="E42" s="25">
        <v>2273.0</v>
      </c>
      <c r="F42" s="25">
        <v>2278.0</v>
      </c>
      <c r="G42" s="25">
        <v>2280.0</v>
      </c>
      <c r="H42" s="25">
        <v>2282.0</v>
      </c>
      <c r="I42" s="25">
        <v>2283.0</v>
      </c>
      <c r="J42" s="25">
        <v>2285.0</v>
      </c>
      <c r="K42" s="25">
        <v>2362.0</v>
      </c>
      <c r="L42" s="25">
        <v>2792.0</v>
      </c>
      <c r="M42" s="25">
        <v>3173.0</v>
      </c>
      <c r="P42" s="25">
        <v>2271.0</v>
      </c>
      <c r="Q42" s="25">
        <v>2.0</v>
      </c>
      <c r="R42" s="25">
        <v>5.0</v>
      </c>
      <c r="S42" s="25">
        <v>2.0</v>
      </c>
      <c r="T42" s="25">
        <v>2.0</v>
      </c>
      <c r="U42" s="25">
        <v>1.0</v>
      </c>
      <c r="V42" s="25">
        <v>2.0</v>
      </c>
      <c r="W42" s="25">
        <v>77.0</v>
      </c>
      <c r="X42" s="25">
        <v>430.0</v>
      </c>
      <c r="Y42" s="25">
        <v>381.0</v>
      </c>
      <c r="Z42" s="25">
        <v>3173.0</v>
      </c>
      <c r="AB42" s="25">
        <v>2271.0</v>
      </c>
      <c r="AC42" s="25">
        <v>1.8</v>
      </c>
      <c r="AD42" s="25">
        <v>4.0</v>
      </c>
      <c r="AE42" s="25">
        <v>1.4</v>
      </c>
      <c r="AF42" s="25">
        <v>1.2</v>
      </c>
      <c r="AG42" s="25">
        <v>0.5</v>
      </c>
      <c r="AH42" s="25">
        <v>0.8</v>
      </c>
      <c r="AI42" s="25">
        <v>23.099999999999998</v>
      </c>
      <c r="AJ42" s="25">
        <v>86.0</v>
      </c>
      <c r="AK42" s="25">
        <v>38.1</v>
      </c>
      <c r="AL42" s="25">
        <v>2427.9</v>
      </c>
      <c r="AM42" s="39">
        <v>3.6724537037037036E-5</v>
      </c>
    </row>
    <row r="43" ht="1.5" customHeight="1">
      <c r="A43" s="73" t="s">
        <v>177</v>
      </c>
      <c r="B43" s="74">
        <v>73.0</v>
      </c>
      <c r="C43" s="25">
        <v>2218.0</v>
      </c>
      <c r="D43" s="25">
        <v>2220.0</v>
      </c>
      <c r="E43" s="25">
        <v>2220.0</v>
      </c>
      <c r="F43" s="25">
        <v>2221.0</v>
      </c>
      <c r="G43" s="25">
        <v>2223.0</v>
      </c>
      <c r="H43" s="25">
        <v>2231.0</v>
      </c>
      <c r="I43" s="25">
        <v>2232.0</v>
      </c>
      <c r="J43" s="25">
        <v>2233.0</v>
      </c>
      <c r="K43" s="25">
        <v>2233.0</v>
      </c>
      <c r="L43" s="25">
        <v>2236.0</v>
      </c>
      <c r="M43" s="25">
        <v>4521.0</v>
      </c>
      <c r="P43" s="25">
        <v>2220.0</v>
      </c>
      <c r="Q43" s="25">
        <v>0.0</v>
      </c>
      <c r="R43" s="25">
        <v>1.0</v>
      </c>
      <c r="S43" s="25">
        <v>2.0</v>
      </c>
      <c r="T43" s="25">
        <v>8.0</v>
      </c>
      <c r="U43" s="25">
        <v>1.0</v>
      </c>
      <c r="V43" s="25">
        <v>1.0</v>
      </c>
      <c r="W43" s="25">
        <v>0.0</v>
      </c>
      <c r="X43" s="25">
        <v>3.0</v>
      </c>
      <c r="Y43" s="25">
        <v>2285.0</v>
      </c>
      <c r="Z43" s="25">
        <v>4521.0</v>
      </c>
      <c r="AB43" s="25">
        <v>2220.0</v>
      </c>
      <c r="AC43" s="25">
        <v>0.0</v>
      </c>
      <c r="AD43" s="25">
        <v>0.8</v>
      </c>
      <c r="AE43" s="25">
        <v>1.4</v>
      </c>
      <c r="AF43" s="25">
        <v>4.8</v>
      </c>
      <c r="AG43" s="25">
        <v>0.5</v>
      </c>
      <c r="AH43" s="25">
        <v>0.4</v>
      </c>
      <c r="AI43" s="25">
        <v>0.0</v>
      </c>
      <c r="AJ43" s="25">
        <v>0.6000000000000001</v>
      </c>
      <c r="AK43" s="25">
        <v>228.5</v>
      </c>
      <c r="AL43" s="25">
        <v>2457.0000000000005</v>
      </c>
      <c r="AM43" s="39">
        <v>5.2326388888888885E-5</v>
      </c>
    </row>
    <row r="44" ht="1.5" customHeight="1">
      <c r="A44" s="73" t="s">
        <v>178</v>
      </c>
      <c r="B44" s="74">
        <v>74.0</v>
      </c>
      <c r="C44" s="25">
        <v>2668.0</v>
      </c>
      <c r="D44" s="25">
        <v>2668.0</v>
      </c>
      <c r="E44" s="25">
        <v>2670.0</v>
      </c>
      <c r="F44" s="25">
        <v>2682.0</v>
      </c>
      <c r="G44" s="25">
        <v>2683.0</v>
      </c>
      <c r="H44" s="25">
        <v>2684.0</v>
      </c>
      <c r="I44" s="25">
        <v>2684.0</v>
      </c>
      <c r="J44" s="25">
        <v>2685.0</v>
      </c>
      <c r="K44" s="25">
        <v>2686.0</v>
      </c>
      <c r="L44" s="25">
        <v>2688.0</v>
      </c>
      <c r="M44" s="25">
        <v>2730.0</v>
      </c>
      <c r="P44" s="25">
        <v>2668.0</v>
      </c>
      <c r="Q44" s="25">
        <v>2.0</v>
      </c>
      <c r="R44" s="25">
        <v>12.0</v>
      </c>
      <c r="S44" s="25">
        <v>1.0</v>
      </c>
      <c r="T44" s="25">
        <v>1.0</v>
      </c>
      <c r="U44" s="25">
        <v>0.0</v>
      </c>
      <c r="V44" s="25">
        <v>1.0</v>
      </c>
      <c r="W44" s="25">
        <v>1.0</v>
      </c>
      <c r="X44" s="25">
        <v>2.0</v>
      </c>
      <c r="Y44" s="25">
        <v>42.0</v>
      </c>
      <c r="Z44" s="25">
        <v>2730.0</v>
      </c>
      <c r="AB44" s="25">
        <v>2668.0</v>
      </c>
      <c r="AC44" s="25">
        <v>1.8</v>
      </c>
      <c r="AD44" s="25">
        <v>9.600000000000001</v>
      </c>
      <c r="AE44" s="25">
        <v>0.7</v>
      </c>
      <c r="AF44" s="25">
        <v>0.6</v>
      </c>
      <c r="AG44" s="25">
        <v>0.0</v>
      </c>
      <c r="AH44" s="25">
        <v>0.4</v>
      </c>
      <c r="AI44" s="25">
        <v>0.3</v>
      </c>
      <c r="AJ44" s="25">
        <v>0.4</v>
      </c>
      <c r="AK44" s="25">
        <v>4.2</v>
      </c>
      <c r="AL44" s="25">
        <v>2686.0</v>
      </c>
      <c r="AM44" s="39">
        <v>3.159722222222222E-5</v>
      </c>
    </row>
    <row r="45" ht="1.5" customHeight="1">
      <c r="A45" s="73" t="s">
        <v>179</v>
      </c>
      <c r="B45" s="74">
        <v>75.0</v>
      </c>
      <c r="C45" s="25">
        <v>3677.0</v>
      </c>
      <c r="D45" s="25">
        <v>3679.0</v>
      </c>
      <c r="E45" s="25">
        <v>3681.0</v>
      </c>
      <c r="F45" s="25">
        <v>3682.0</v>
      </c>
      <c r="G45" s="25">
        <v>3684.0</v>
      </c>
      <c r="H45" s="25">
        <v>3688.0</v>
      </c>
      <c r="I45" s="25">
        <v>3693.0</v>
      </c>
      <c r="J45" s="25">
        <v>3698.0</v>
      </c>
      <c r="K45" s="25">
        <v>3700.0</v>
      </c>
      <c r="L45" s="25">
        <v>3701.0</v>
      </c>
      <c r="M45" s="25">
        <v>3703.0</v>
      </c>
      <c r="P45" s="25">
        <v>3679.0</v>
      </c>
      <c r="Q45" s="25">
        <v>2.0</v>
      </c>
      <c r="R45" s="25">
        <v>1.0</v>
      </c>
      <c r="S45" s="25">
        <v>2.0</v>
      </c>
      <c r="T45" s="25">
        <v>4.0</v>
      </c>
      <c r="U45" s="25">
        <v>5.0</v>
      </c>
      <c r="V45" s="25">
        <v>5.0</v>
      </c>
      <c r="W45" s="25">
        <v>2.0</v>
      </c>
      <c r="X45" s="25">
        <v>1.0</v>
      </c>
      <c r="Y45" s="25">
        <v>2.0</v>
      </c>
      <c r="Z45" s="25">
        <v>3703.0</v>
      </c>
      <c r="AB45" s="25">
        <v>3679.0</v>
      </c>
      <c r="AC45" s="25">
        <v>1.8</v>
      </c>
      <c r="AD45" s="25">
        <v>0.8</v>
      </c>
      <c r="AE45" s="25">
        <v>1.4</v>
      </c>
      <c r="AF45" s="25">
        <v>2.4</v>
      </c>
      <c r="AG45" s="25">
        <v>2.5</v>
      </c>
      <c r="AH45" s="25">
        <v>2.0</v>
      </c>
      <c r="AI45" s="25">
        <v>0.6</v>
      </c>
      <c r="AJ45" s="25">
        <v>0.2</v>
      </c>
      <c r="AK45" s="25">
        <v>0.2</v>
      </c>
      <c r="AL45" s="25">
        <v>3690.9</v>
      </c>
      <c r="AM45" s="39">
        <v>4.28587962962963E-5</v>
      </c>
    </row>
    <row r="46" ht="42.0" customHeight="1">
      <c r="A46" s="73" t="s">
        <v>180</v>
      </c>
      <c r="B46" s="74">
        <v>76.0</v>
      </c>
      <c r="C46" s="25">
        <v>5237.0</v>
      </c>
      <c r="D46" s="25">
        <v>5244.0</v>
      </c>
      <c r="E46" s="25">
        <v>5247.0</v>
      </c>
      <c r="F46" s="25">
        <v>5264.0</v>
      </c>
      <c r="G46" s="25">
        <v>5266.0</v>
      </c>
      <c r="H46" s="25">
        <v>5266.0</v>
      </c>
      <c r="I46" s="25">
        <v>5269.0</v>
      </c>
      <c r="J46" s="25">
        <v>5269.0</v>
      </c>
      <c r="K46" s="25">
        <v>5288.0</v>
      </c>
      <c r="L46" s="25">
        <v>5318.0</v>
      </c>
      <c r="M46" s="25">
        <v>6835.0</v>
      </c>
      <c r="P46" s="25">
        <v>5244.0</v>
      </c>
      <c r="Q46" s="25">
        <v>3.0</v>
      </c>
      <c r="R46" s="25">
        <v>17.0</v>
      </c>
      <c r="S46" s="25">
        <v>2.0</v>
      </c>
      <c r="T46" s="25">
        <v>0.0</v>
      </c>
      <c r="U46" s="25">
        <v>3.0</v>
      </c>
      <c r="V46" s="25">
        <v>0.0</v>
      </c>
      <c r="W46" s="25">
        <v>19.0</v>
      </c>
      <c r="X46" s="25">
        <v>30.0</v>
      </c>
      <c r="Y46" s="25">
        <v>1517.0</v>
      </c>
      <c r="Z46" s="25">
        <v>6835.0</v>
      </c>
      <c r="AB46" s="25">
        <v>5244.0</v>
      </c>
      <c r="AC46" s="25">
        <v>2.7</v>
      </c>
      <c r="AD46" s="25">
        <v>13.600000000000001</v>
      </c>
      <c r="AE46" s="25">
        <v>1.4</v>
      </c>
      <c r="AF46" s="25">
        <v>0.0</v>
      </c>
      <c r="AG46" s="25">
        <v>1.5</v>
      </c>
      <c r="AH46" s="25">
        <v>0.0</v>
      </c>
      <c r="AI46" s="25">
        <v>5.7</v>
      </c>
      <c r="AJ46" s="25">
        <v>6.0</v>
      </c>
      <c r="AK46" s="25">
        <v>151.70000000000002</v>
      </c>
      <c r="AL46" s="25">
        <v>5426.599999999999</v>
      </c>
      <c r="AM46" s="39">
        <v>7.910879629629629E-5</v>
      </c>
    </row>
    <row r="47" ht="1.5" customHeight="1">
      <c r="A47" s="73" t="s">
        <v>181</v>
      </c>
      <c r="B47" s="74">
        <v>77.0</v>
      </c>
      <c r="C47" s="25">
        <v>5692.0</v>
      </c>
      <c r="D47" s="25">
        <v>5692.0</v>
      </c>
      <c r="E47" s="25">
        <v>5694.0</v>
      </c>
      <c r="F47" s="25">
        <v>5694.0</v>
      </c>
      <c r="G47" s="25">
        <v>5700.0</v>
      </c>
      <c r="H47" s="25">
        <v>5715.0</v>
      </c>
      <c r="I47" s="25">
        <v>5719.0</v>
      </c>
      <c r="J47" s="25">
        <v>5722.0</v>
      </c>
      <c r="K47" s="25">
        <v>5726.0</v>
      </c>
      <c r="L47" s="25">
        <v>5728.0</v>
      </c>
      <c r="M47" s="25">
        <v>8167.0</v>
      </c>
      <c r="P47" s="25">
        <v>5692.0</v>
      </c>
      <c r="Q47" s="25">
        <v>2.0</v>
      </c>
      <c r="R47" s="25">
        <v>0.0</v>
      </c>
      <c r="S47" s="25">
        <v>6.0</v>
      </c>
      <c r="T47" s="25">
        <v>15.0</v>
      </c>
      <c r="U47" s="25">
        <v>4.0</v>
      </c>
      <c r="V47" s="25">
        <v>3.0</v>
      </c>
      <c r="W47" s="25">
        <v>4.0</v>
      </c>
      <c r="X47" s="25">
        <v>2.0</v>
      </c>
      <c r="Y47" s="25">
        <v>2439.0</v>
      </c>
      <c r="Z47" s="25">
        <v>8167.0</v>
      </c>
      <c r="AB47" s="25">
        <v>5692.0</v>
      </c>
      <c r="AC47" s="25">
        <v>1.8</v>
      </c>
      <c r="AD47" s="25">
        <v>0.0</v>
      </c>
      <c r="AE47" s="25">
        <v>4.199999999999999</v>
      </c>
      <c r="AF47" s="25">
        <v>9.0</v>
      </c>
      <c r="AG47" s="25">
        <v>2.0</v>
      </c>
      <c r="AH47" s="25">
        <v>1.2000000000000002</v>
      </c>
      <c r="AI47" s="25">
        <v>1.2</v>
      </c>
      <c r="AJ47" s="25">
        <v>0.4</v>
      </c>
      <c r="AK47" s="25">
        <v>243.9</v>
      </c>
      <c r="AL47" s="25">
        <v>5955.699999999999</v>
      </c>
      <c r="AM47" s="39">
        <v>9.452546296296296E-5</v>
      </c>
    </row>
    <row r="48" ht="1.5" customHeight="1">
      <c r="A48" s="73" t="s">
        <v>182</v>
      </c>
      <c r="B48" s="74">
        <v>78.0</v>
      </c>
      <c r="C48" s="25">
        <v>6195.0</v>
      </c>
      <c r="D48" s="25">
        <v>6198.0</v>
      </c>
      <c r="E48" s="25">
        <v>6199.0</v>
      </c>
      <c r="F48" s="25">
        <v>6201.0</v>
      </c>
      <c r="G48" s="25">
        <v>6202.0</v>
      </c>
      <c r="H48" s="25">
        <v>6226.0</v>
      </c>
      <c r="I48" s="25">
        <v>6228.0</v>
      </c>
      <c r="J48" s="25">
        <v>6236.0</v>
      </c>
      <c r="K48" s="25">
        <v>6240.0</v>
      </c>
      <c r="L48" s="25">
        <v>6241.0</v>
      </c>
      <c r="M48" s="25">
        <v>14534.0</v>
      </c>
      <c r="P48" s="25">
        <v>6198.0</v>
      </c>
      <c r="Q48" s="25">
        <v>1.0</v>
      </c>
      <c r="R48" s="25">
        <v>2.0</v>
      </c>
      <c r="S48" s="25">
        <v>1.0</v>
      </c>
      <c r="T48" s="25">
        <v>24.0</v>
      </c>
      <c r="U48" s="25">
        <v>2.0</v>
      </c>
      <c r="V48" s="25">
        <v>8.0</v>
      </c>
      <c r="W48" s="25">
        <v>4.0</v>
      </c>
      <c r="X48" s="25">
        <v>1.0</v>
      </c>
      <c r="Y48" s="25">
        <v>8293.0</v>
      </c>
      <c r="Z48" s="25">
        <v>14534.0</v>
      </c>
      <c r="AB48" s="25">
        <v>6198.0</v>
      </c>
      <c r="AC48" s="25">
        <v>0.9</v>
      </c>
      <c r="AD48" s="25">
        <v>1.6</v>
      </c>
      <c r="AE48" s="25">
        <v>0.7</v>
      </c>
      <c r="AF48" s="25">
        <v>14.399999999999999</v>
      </c>
      <c r="AG48" s="25">
        <v>1.0</v>
      </c>
      <c r="AH48" s="25">
        <v>3.2</v>
      </c>
      <c r="AI48" s="25">
        <v>1.2</v>
      </c>
      <c r="AJ48" s="25">
        <v>0.2</v>
      </c>
      <c r="AK48" s="25">
        <v>829.3000000000001</v>
      </c>
      <c r="AL48" s="25">
        <v>7050.499999999999</v>
      </c>
      <c r="AM48" s="39">
        <v>1.6821759259259258E-4</v>
      </c>
    </row>
    <row r="49" ht="1.5" customHeight="1">
      <c r="A49" s="73" t="s">
        <v>183</v>
      </c>
      <c r="B49" s="74">
        <v>79.0</v>
      </c>
      <c r="C49" s="25">
        <v>8134.0</v>
      </c>
      <c r="D49" s="25">
        <v>8134.0</v>
      </c>
      <c r="E49" s="25">
        <v>8135.0</v>
      </c>
      <c r="F49" s="25">
        <v>8135.0</v>
      </c>
      <c r="G49" s="25">
        <v>8143.0</v>
      </c>
      <c r="H49" s="25">
        <v>8168.0</v>
      </c>
      <c r="I49" s="25">
        <v>8169.0</v>
      </c>
      <c r="J49" s="25">
        <v>8171.0</v>
      </c>
      <c r="K49" s="25">
        <v>8178.0</v>
      </c>
      <c r="L49" s="25">
        <v>8179.0</v>
      </c>
      <c r="M49" s="25">
        <v>8377.0</v>
      </c>
      <c r="P49" s="25">
        <v>8134.0</v>
      </c>
      <c r="Q49" s="25">
        <v>1.0</v>
      </c>
      <c r="R49" s="25">
        <v>0.0</v>
      </c>
      <c r="S49" s="25">
        <v>8.0</v>
      </c>
      <c r="T49" s="25">
        <v>25.0</v>
      </c>
      <c r="U49" s="25">
        <v>1.0</v>
      </c>
      <c r="V49" s="25">
        <v>2.0</v>
      </c>
      <c r="W49" s="25">
        <v>7.0</v>
      </c>
      <c r="X49" s="25">
        <v>1.0</v>
      </c>
      <c r="Y49" s="25">
        <v>198.0</v>
      </c>
      <c r="Z49" s="25">
        <v>8377.0</v>
      </c>
      <c r="AB49" s="25">
        <v>8134.0</v>
      </c>
      <c r="AC49" s="25">
        <v>0.9</v>
      </c>
      <c r="AD49" s="25">
        <v>0.0</v>
      </c>
      <c r="AE49" s="25">
        <v>5.6</v>
      </c>
      <c r="AF49" s="25">
        <v>15.0</v>
      </c>
      <c r="AG49" s="25">
        <v>0.5</v>
      </c>
      <c r="AH49" s="25">
        <v>0.8</v>
      </c>
      <c r="AI49" s="25">
        <v>2.1</v>
      </c>
      <c r="AJ49" s="25">
        <v>0.2</v>
      </c>
      <c r="AK49" s="25">
        <v>19.8</v>
      </c>
      <c r="AL49" s="25">
        <v>8178.900000000001</v>
      </c>
      <c r="AM49" s="39">
        <v>9.695601851851852E-5</v>
      </c>
    </row>
    <row r="50" ht="43.5" customHeight="1">
      <c r="A50" s="73" t="s">
        <v>184</v>
      </c>
      <c r="B50" s="74">
        <v>80.0</v>
      </c>
      <c r="C50" s="25">
        <v>10928.0</v>
      </c>
      <c r="D50" s="25">
        <v>10929.0</v>
      </c>
      <c r="E50" s="25">
        <v>10932.0</v>
      </c>
      <c r="F50" s="25">
        <v>10948.0</v>
      </c>
      <c r="G50" s="25">
        <v>10958.0</v>
      </c>
      <c r="H50" s="25">
        <v>10961.0</v>
      </c>
      <c r="I50" s="25">
        <v>10964.0</v>
      </c>
      <c r="J50" s="25">
        <v>10966.0</v>
      </c>
      <c r="K50" s="25">
        <v>11184.0</v>
      </c>
      <c r="L50" s="25">
        <v>11367.0</v>
      </c>
      <c r="M50" s="25">
        <v>15099.0</v>
      </c>
      <c r="P50" s="25">
        <v>10929.0</v>
      </c>
      <c r="Q50" s="25">
        <v>3.0</v>
      </c>
      <c r="R50" s="25">
        <v>16.0</v>
      </c>
      <c r="S50" s="25">
        <v>10.0</v>
      </c>
      <c r="T50" s="25">
        <v>3.0</v>
      </c>
      <c r="U50" s="25">
        <v>3.0</v>
      </c>
      <c r="V50" s="25">
        <v>2.0</v>
      </c>
      <c r="W50" s="25">
        <v>218.0</v>
      </c>
      <c r="X50" s="25">
        <v>183.0</v>
      </c>
      <c r="Y50" s="25">
        <v>3732.0</v>
      </c>
      <c r="Z50" s="25">
        <v>15099.0</v>
      </c>
      <c r="AB50" s="25">
        <v>10929.0</v>
      </c>
      <c r="AC50" s="25">
        <v>2.7</v>
      </c>
      <c r="AD50" s="25">
        <v>12.8</v>
      </c>
      <c r="AE50" s="25">
        <v>7.0</v>
      </c>
      <c r="AF50" s="25">
        <v>1.7999999999999998</v>
      </c>
      <c r="AG50" s="25">
        <v>1.5</v>
      </c>
      <c r="AH50" s="25">
        <v>0.8</v>
      </c>
      <c r="AI50" s="25">
        <v>65.39999999999999</v>
      </c>
      <c r="AJ50" s="25">
        <v>36.6</v>
      </c>
      <c r="AK50" s="25">
        <v>373.20000000000005</v>
      </c>
      <c r="AL50" s="25">
        <v>11430.8</v>
      </c>
      <c r="AM50" s="39">
        <v>1.7475694444444445E-4</v>
      </c>
    </row>
    <row r="51" ht="1.5" customHeight="1">
      <c r="A51" s="73" t="s">
        <v>185</v>
      </c>
      <c r="B51" s="74">
        <v>81.0</v>
      </c>
      <c r="C51" s="25">
        <v>12583.0</v>
      </c>
      <c r="D51" s="25">
        <v>12585.0</v>
      </c>
      <c r="E51" s="25">
        <v>12586.0</v>
      </c>
      <c r="F51" s="25">
        <v>12593.0</v>
      </c>
      <c r="G51" s="25">
        <v>12594.0</v>
      </c>
      <c r="H51" s="25">
        <v>12636.0</v>
      </c>
      <c r="I51" s="25">
        <v>12639.0</v>
      </c>
      <c r="J51" s="25">
        <v>12644.0</v>
      </c>
      <c r="K51" s="25">
        <v>12646.0</v>
      </c>
      <c r="L51" s="25">
        <v>12658.0</v>
      </c>
      <c r="M51" s="25">
        <v>15982.0</v>
      </c>
      <c r="P51" s="25">
        <v>12585.0</v>
      </c>
      <c r="Q51" s="25">
        <v>1.0</v>
      </c>
      <c r="R51" s="25">
        <v>7.0</v>
      </c>
      <c r="S51" s="25">
        <v>1.0</v>
      </c>
      <c r="T51" s="25">
        <v>42.0</v>
      </c>
      <c r="U51" s="25">
        <v>3.0</v>
      </c>
      <c r="V51" s="25">
        <v>5.0</v>
      </c>
      <c r="W51" s="25">
        <v>2.0</v>
      </c>
      <c r="X51" s="25">
        <v>12.0</v>
      </c>
      <c r="Y51" s="25">
        <v>3324.0</v>
      </c>
      <c r="Z51" s="25">
        <v>15982.0</v>
      </c>
      <c r="AB51" s="25">
        <v>12585.0</v>
      </c>
      <c r="AC51" s="25">
        <v>0.9</v>
      </c>
      <c r="AD51" s="25">
        <v>5.6000000000000005</v>
      </c>
      <c r="AE51" s="25">
        <v>0.7</v>
      </c>
      <c r="AF51" s="25">
        <v>25.2</v>
      </c>
      <c r="AG51" s="25">
        <v>1.5</v>
      </c>
      <c r="AH51" s="25">
        <v>2.0</v>
      </c>
      <c r="AI51" s="25">
        <v>0.6</v>
      </c>
      <c r="AJ51" s="25">
        <v>2.4000000000000004</v>
      </c>
      <c r="AK51" s="25">
        <v>332.40000000000003</v>
      </c>
      <c r="AL51" s="25">
        <v>12956.300000000001</v>
      </c>
      <c r="AM51" s="39">
        <v>1.8497685185185186E-4</v>
      </c>
    </row>
    <row r="52" ht="17.25" customHeight="1">
      <c r="A52" s="73" t="s">
        <v>186</v>
      </c>
      <c r="B52" s="74">
        <v>82.0</v>
      </c>
      <c r="C52" s="25">
        <v>14026.0</v>
      </c>
      <c r="D52" s="25">
        <v>14028.0</v>
      </c>
      <c r="E52" s="25">
        <v>14029.0</v>
      </c>
      <c r="F52" s="25">
        <v>14039.0</v>
      </c>
      <c r="G52" s="25">
        <v>14042.0</v>
      </c>
      <c r="H52" s="25">
        <v>14083.0</v>
      </c>
      <c r="I52" s="25">
        <v>14090.0</v>
      </c>
      <c r="J52" s="25">
        <v>14094.0</v>
      </c>
      <c r="K52" s="25">
        <v>14100.0</v>
      </c>
      <c r="L52" s="25">
        <v>14101.0</v>
      </c>
      <c r="M52" s="25">
        <v>20279.0</v>
      </c>
      <c r="P52" s="25">
        <v>14028.0</v>
      </c>
      <c r="Q52" s="25">
        <v>1.0</v>
      </c>
      <c r="R52" s="25">
        <v>10.0</v>
      </c>
      <c r="S52" s="25">
        <v>3.0</v>
      </c>
      <c r="T52" s="25">
        <v>41.0</v>
      </c>
      <c r="U52" s="25">
        <v>7.0</v>
      </c>
      <c r="V52" s="25">
        <v>4.0</v>
      </c>
      <c r="W52" s="25">
        <v>6.0</v>
      </c>
      <c r="X52" s="25">
        <v>1.0</v>
      </c>
      <c r="Y52" s="25">
        <v>6178.0</v>
      </c>
      <c r="Z52" s="25">
        <v>20279.0</v>
      </c>
      <c r="AB52" s="25">
        <v>14028.0</v>
      </c>
      <c r="AC52" s="25">
        <v>0.9</v>
      </c>
      <c r="AD52" s="25">
        <v>8.0</v>
      </c>
      <c r="AE52" s="25">
        <v>2.0999999999999996</v>
      </c>
      <c r="AF52" s="25">
        <v>24.599999999999998</v>
      </c>
      <c r="AG52" s="25">
        <v>3.5</v>
      </c>
      <c r="AH52" s="25">
        <v>1.6</v>
      </c>
      <c r="AI52" s="25">
        <v>1.7999999999999998</v>
      </c>
      <c r="AJ52" s="25">
        <v>0.2</v>
      </c>
      <c r="AK52" s="25">
        <v>617.8000000000001</v>
      </c>
      <c r="AL52" s="25">
        <v>14688.5</v>
      </c>
      <c r="AM52" s="39">
        <v>2.3471064814814814E-4</v>
      </c>
    </row>
    <row r="53" ht="25.5" customHeight="1">
      <c r="A53" s="73" t="s">
        <v>187</v>
      </c>
      <c r="B53" s="74">
        <v>83.0</v>
      </c>
      <c r="C53" s="25">
        <v>18296.0</v>
      </c>
      <c r="D53" s="25">
        <v>18300.0</v>
      </c>
      <c r="E53" s="25">
        <v>18312.0</v>
      </c>
      <c r="F53" s="25">
        <v>18335.0</v>
      </c>
      <c r="G53" s="25">
        <v>18371.0</v>
      </c>
      <c r="H53" s="25">
        <v>18374.0</v>
      </c>
      <c r="I53" s="25">
        <v>18383.0</v>
      </c>
      <c r="J53" s="25">
        <v>18397.0</v>
      </c>
      <c r="K53" s="25">
        <v>18404.0</v>
      </c>
      <c r="L53" s="25">
        <v>19714.0</v>
      </c>
      <c r="M53" s="25">
        <v>43120.0</v>
      </c>
      <c r="P53" s="25">
        <v>18300.0</v>
      </c>
      <c r="Q53" s="25">
        <v>12.0</v>
      </c>
      <c r="R53" s="25">
        <v>23.0</v>
      </c>
      <c r="S53" s="25">
        <v>36.0</v>
      </c>
      <c r="T53" s="25">
        <v>3.0</v>
      </c>
      <c r="U53" s="25">
        <v>9.0</v>
      </c>
      <c r="V53" s="25">
        <v>14.0</v>
      </c>
      <c r="W53" s="25">
        <v>7.0</v>
      </c>
      <c r="X53" s="25">
        <v>1310.0</v>
      </c>
      <c r="Y53" s="25">
        <v>23406.0</v>
      </c>
      <c r="Z53" s="25">
        <v>43120.0</v>
      </c>
      <c r="AB53" s="25">
        <v>18300.0</v>
      </c>
      <c r="AC53" s="25">
        <v>10.8</v>
      </c>
      <c r="AD53" s="25">
        <v>18.400000000000002</v>
      </c>
      <c r="AE53" s="25">
        <v>25.2</v>
      </c>
      <c r="AF53" s="25">
        <v>1.7999999999999998</v>
      </c>
      <c r="AG53" s="25">
        <v>4.5</v>
      </c>
      <c r="AH53" s="25">
        <v>5.6000000000000005</v>
      </c>
      <c r="AI53" s="25">
        <v>2.1</v>
      </c>
      <c r="AJ53" s="25">
        <v>262.0</v>
      </c>
      <c r="AK53" s="25">
        <v>2340.6</v>
      </c>
      <c r="AL53" s="25">
        <v>20970.999999999996</v>
      </c>
      <c r="AM53" s="39">
        <v>4.990740740740741E-4</v>
      </c>
    </row>
    <row r="54" ht="48.0" customHeight="1">
      <c r="A54" s="73" t="s">
        <v>188</v>
      </c>
      <c r="B54" s="74">
        <v>84.0</v>
      </c>
      <c r="C54" s="25">
        <v>27431.0</v>
      </c>
      <c r="D54" s="25">
        <v>27454.0</v>
      </c>
      <c r="E54" s="25">
        <v>27525.0</v>
      </c>
      <c r="F54" s="25">
        <v>27536.0</v>
      </c>
      <c r="G54" s="25">
        <v>27540.0</v>
      </c>
      <c r="H54" s="25">
        <v>27543.0</v>
      </c>
      <c r="I54" s="25">
        <v>27550.0</v>
      </c>
      <c r="J54" s="25">
        <v>27792.0</v>
      </c>
      <c r="K54" s="25">
        <v>28317.0</v>
      </c>
      <c r="L54" s="25">
        <v>31628.0</v>
      </c>
      <c r="M54" s="25">
        <v>38548.0</v>
      </c>
      <c r="P54" s="25">
        <v>27454.0</v>
      </c>
      <c r="Q54" s="25">
        <v>71.0</v>
      </c>
      <c r="R54" s="25">
        <v>11.0</v>
      </c>
      <c r="S54" s="25">
        <v>4.0</v>
      </c>
      <c r="T54" s="25">
        <v>3.0</v>
      </c>
      <c r="U54" s="25">
        <v>7.0</v>
      </c>
      <c r="V54" s="25">
        <v>242.0</v>
      </c>
      <c r="W54" s="25">
        <v>525.0</v>
      </c>
      <c r="X54" s="25">
        <v>3311.0</v>
      </c>
      <c r="Y54" s="25">
        <v>6920.0</v>
      </c>
      <c r="Z54" s="25">
        <v>38548.0</v>
      </c>
      <c r="AB54" s="25">
        <v>27454.0</v>
      </c>
      <c r="AC54" s="25">
        <v>63.9</v>
      </c>
      <c r="AD54" s="25">
        <v>8.8</v>
      </c>
      <c r="AE54" s="25">
        <v>2.8</v>
      </c>
      <c r="AF54" s="25">
        <v>1.7999999999999998</v>
      </c>
      <c r="AG54" s="25">
        <v>3.5</v>
      </c>
      <c r="AH54" s="25">
        <v>96.80000000000001</v>
      </c>
      <c r="AI54" s="25">
        <v>157.5</v>
      </c>
      <c r="AJ54" s="25">
        <v>662.2</v>
      </c>
      <c r="AK54" s="25">
        <v>692.0</v>
      </c>
      <c r="AL54" s="25">
        <v>29143.3</v>
      </c>
      <c r="AM54" s="39">
        <v>4.461574074074074E-4</v>
      </c>
    </row>
    <row r="55" ht="1.5" customHeight="1">
      <c r="A55" s="73" t="s">
        <v>189</v>
      </c>
      <c r="B55" s="74">
        <v>85.0</v>
      </c>
      <c r="C55" s="25">
        <v>26489.0</v>
      </c>
      <c r="D55" s="25">
        <v>26497.0</v>
      </c>
      <c r="E55" s="25">
        <v>26503.0</v>
      </c>
      <c r="F55" s="25">
        <v>26503.0</v>
      </c>
      <c r="G55" s="25">
        <v>26519.0</v>
      </c>
      <c r="H55" s="25">
        <v>26586.0</v>
      </c>
      <c r="I55" s="25">
        <v>26597.0</v>
      </c>
      <c r="J55" s="25">
        <v>26611.0</v>
      </c>
      <c r="K55" s="25">
        <v>26613.0</v>
      </c>
      <c r="L55" s="25">
        <v>26625.0</v>
      </c>
      <c r="M55" s="25">
        <v>26661.0</v>
      </c>
      <c r="P55" s="25">
        <v>26497.0</v>
      </c>
      <c r="Q55" s="25">
        <v>6.0</v>
      </c>
      <c r="R55" s="25">
        <v>0.0</v>
      </c>
      <c r="S55" s="25">
        <v>16.0</v>
      </c>
      <c r="T55" s="25">
        <v>67.0</v>
      </c>
      <c r="U55" s="25">
        <v>11.0</v>
      </c>
      <c r="V55" s="25">
        <v>14.0</v>
      </c>
      <c r="W55" s="25">
        <v>2.0</v>
      </c>
      <c r="X55" s="25">
        <v>12.0</v>
      </c>
      <c r="Y55" s="25">
        <v>36.0</v>
      </c>
      <c r="Z55" s="25">
        <v>26661.0</v>
      </c>
      <c r="AB55" s="25">
        <v>26497.0</v>
      </c>
      <c r="AC55" s="25">
        <v>5.4</v>
      </c>
      <c r="AD55" s="25">
        <v>0.0</v>
      </c>
      <c r="AE55" s="25">
        <v>11.2</v>
      </c>
      <c r="AF55" s="25">
        <v>40.199999999999996</v>
      </c>
      <c r="AG55" s="25">
        <v>5.5</v>
      </c>
      <c r="AH55" s="25">
        <v>5.6000000000000005</v>
      </c>
      <c r="AI55" s="25">
        <v>0.6</v>
      </c>
      <c r="AJ55" s="25">
        <v>2.4000000000000004</v>
      </c>
      <c r="AK55" s="25">
        <v>3.6</v>
      </c>
      <c r="AL55" s="25">
        <v>26571.5</v>
      </c>
      <c r="AM55" s="39">
        <v>3.085763888888889E-4</v>
      </c>
    </row>
    <row r="56" ht="1.5" customHeight="1">
      <c r="A56" s="73" t="s">
        <v>190</v>
      </c>
      <c r="B56" s="74">
        <v>86.0</v>
      </c>
      <c r="C56" s="25">
        <v>29767.0</v>
      </c>
      <c r="D56" s="25">
        <v>29768.0</v>
      </c>
      <c r="E56" s="25">
        <v>29774.0</v>
      </c>
      <c r="F56" s="25">
        <v>29776.0</v>
      </c>
      <c r="G56" s="25">
        <v>29798.0</v>
      </c>
      <c r="H56" s="25">
        <v>29873.0</v>
      </c>
      <c r="I56" s="25">
        <v>29882.0</v>
      </c>
      <c r="J56" s="25">
        <v>29898.0</v>
      </c>
      <c r="K56" s="25">
        <v>29900.0</v>
      </c>
      <c r="L56" s="25">
        <v>29909.0</v>
      </c>
      <c r="M56" s="25">
        <v>40924.0</v>
      </c>
      <c r="P56" s="25">
        <v>29768.0</v>
      </c>
      <c r="Q56" s="25">
        <v>6.0</v>
      </c>
      <c r="R56" s="25">
        <v>2.0</v>
      </c>
      <c r="S56" s="25">
        <v>22.0</v>
      </c>
      <c r="T56" s="25">
        <v>75.0</v>
      </c>
      <c r="U56" s="25">
        <v>9.0</v>
      </c>
      <c r="V56" s="25">
        <v>16.0</v>
      </c>
      <c r="W56" s="25">
        <v>2.0</v>
      </c>
      <c r="X56" s="25">
        <v>9.0</v>
      </c>
      <c r="Y56" s="25">
        <v>11015.0</v>
      </c>
      <c r="Z56" s="25">
        <v>40924.0</v>
      </c>
      <c r="AB56" s="25">
        <v>29768.0</v>
      </c>
      <c r="AC56" s="25">
        <v>5.4</v>
      </c>
      <c r="AD56" s="25">
        <v>1.6</v>
      </c>
      <c r="AE56" s="25">
        <v>15.399999999999999</v>
      </c>
      <c r="AF56" s="25">
        <v>45.0</v>
      </c>
      <c r="AG56" s="25">
        <v>4.5</v>
      </c>
      <c r="AH56" s="25">
        <v>6.4</v>
      </c>
      <c r="AI56" s="25">
        <v>0.6</v>
      </c>
      <c r="AJ56" s="25">
        <v>1.8</v>
      </c>
      <c r="AK56" s="25">
        <v>1101.5</v>
      </c>
      <c r="AL56" s="25">
        <v>30950.2</v>
      </c>
      <c r="AM56" s="39">
        <v>4.736574074074074E-4</v>
      </c>
    </row>
    <row r="57" ht="1.5" customHeight="1">
      <c r="A57" s="73" t="s">
        <v>191</v>
      </c>
      <c r="B57" s="74">
        <v>87.0</v>
      </c>
      <c r="C57" s="25">
        <v>43716.0</v>
      </c>
      <c r="D57" s="25">
        <v>43716.0</v>
      </c>
      <c r="E57" s="25">
        <v>43752.0</v>
      </c>
      <c r="F57" s="25">
        <v>43844.0</v>
      </c>
      <c r="G57" s="25">
        <v>43863.0</v>
      </c>
      <c r="H57" s="25">
        <v>43866.0</v>
      </c>
      <c r="I57" s="25">
        <v>43873.0</v>
      </c>
      <c r="J57" s="25">
        <v>43890.0</v>
      </c>
      <c r="K57" s="25">
        <v>43893.0</v>
      </c>
      <c r="L57" s="25">
        <v>50676.0</v>
      </c>
      <c r="M57" s="25">
        <v>56616.0</v>
      </c>
      <c r="P57" s="25">
        <v>43716.0</v>
      </c>
      <c r="Q57" s="25">
        <v>36.0</v>
      </c>
      <c r="R57" s="25">
        <v>92.0</v>
      </c>
      <c r="S57" s="25">
        <v>19.0</v>
      </c>
      <c r="T57" s="25">
        <v>3.0</v>
      </c>
      <c r="U57" s="25">
        <v>7.0</v>
      </c>
      <c r="V57" s="25">
        <v>17.0</v>
      </c>
      <c r="W57" s="25">
        <v>3.0</v>
      </c>
      <c r="X57" s="25">
        <v>6783.0</v>
      </c>
      <c r="Y57" s="25">
        <v>5940.0</v>
      </c>
      <c r="Z57" s="25">
        <v>56616.0</v>
      </c>
      <c r="AB57" s="25">
        <v>43716.0</v>
      </c>
      <c r="AC57" s="25">
        <v>32.4</v>
      </c>
      <c r="AD57" s="25">
        <v>73.60000000000001</v>
      </c>
      <c r="AE57" s="25">
        <v>13.299999999999999</v>
      </c>
      <c r="AF57" s="25">
        <v>1.7999999999999998</v>
      </c>
      <c r="AG57" s="25">
        <v>3.5</v>
      </c>
      <c r="AH57" s="25">
        <v>6.800000000000001</v>
      </c>
      <c r="AI57" s="25">
        <v>0.8999999999999999</v>
      </c>
      <c r="AJ57" s="25">
        <v>1356.6000000000001</v>
      </c>
      <c r="AK57" s="25">
        <v>594.0</v>
      </c>
      <c r="AL57" s="25">
        <v>45798.90000000001</v>
      </c>
      <c r="AM57" s="39">
        <v>6.552777777777777E-4</v>
      </c>
    </row>
    <row r="58" ht="63.75" customHeight="1">
      <c r="A58" s="73" t="s">
        <v>192</v>
      </c>
      <c r="B58" s="74">
        <v>88.0</v>
      </c>
      <c r="C58" s="25">
        <v>59073.0</v>
      </c>
      <c r="D58" s="25">
        <v>59106.0</v>
      </c>
      <c r="E58" s="25">
        <v>59140.0</v>
      </c>
      <c r="F58" s="25">
        <v>59248.0</v>
      </c>
      <c r="G58" s="25">
        <v>59274.0</v>
      </c>
      <c r="H58" s="25">
        <v>59293.0</v>
      </c>
      <c r="I58" s="25">
        <v>59294.0</v>
      </c>
      <c r="J58" s="25">
        <v>59321.0</v>
      </c>
      <c r="K58" s="25">
        <v>60385.0</v>
      </c>
      <c r="L58" s="25">
        <v>83623.0</v>
      </c>
      <c r="M58" s="25">
        <v>136628.0</v>
      </c>
      <c r="P58" s="25">
        <v>59106.0</v>
      </c>
      <c r="Q58" s="25">
        <v>34.0</v>
      </c>
      <c r="R58" s="25">
        <v>108.0</v>
      </c>
      <c r="S58" s="25">
        <v>26.0</v>
      </c>
      <c r="T58" s="25">
        <v>19.0</v>
      </c>
      <c r="U58" s="25">
        <v>1.0</v>
      </c>
      <c r="V58" s="25">
        <v>27.0</v>
      </c>
      <c r="W58" s="25">
        <v>1064.0</v>
      </c>
      <c r="X58" s="25">
        <v>23238.0</v>
      </c>
      <c r="Y58" s="25">
        <v>53005.0</v>
      </c>
      <c r="Z58" s="25">
        <v>136628.0</v>
      </c>
      <c r="AB58" s="25">
        <v>59106.0</v>
      </c>
      <c r="AC58" s="25">
        <v>30.6</v>
      </c>
      <c r="AD58" s="25">
        <v>86.4</v>
      </c>
      <c r="AE58" s="25">
        <v>18.2</v>
      </c>
      <c r="AF58" s="25">
        <v>11.4</v>
      </c>
      <c r="AG58" s="25">
        <v>0.5</v>
      </c>
      <c r="AH58" s="25">
        <v>10.8</v>
      </c>
      <c r="AI58" s="25">
        <v>319.2</v>
      </c>
      <c r="AJ58" s="25">
        <v>4647.6</v>
      </c>
      <c r="AK58" s="25">
        <v>5300.5</v>
      </c>
      <c r="AL58" s="25">
        <v>69531.2</v>
      </c>
      <c r="AM58" s="39">
        <v>0.0015813425925925925</v>
      </c>
    </row>
    <row r="59" ht="63.75" customHeight="1">
      <c r="A59" s="73" t="s">
        <v>193</v>
      </c>
      <c r="B59" s="74">
        <v>89.0</v>
      </c>
      <c r="C59" s="25">
        <v>58881.0</v>
      </c>
      <c r="D59" s="25">
        <v>58882.0</v>
      </c>
      <c r="E59" s="25">
        <v>58893.0</v>
      </c>
      <c r="F59" s="25">
        <v>58918.0</v>
      </c>
      <c r="G59" s="25">
        <v>58993.0</v>
      </c>
      <c r="H59" s="25">
        <v>59061.0</v>
      </c>
      <c r="I59" s="25">
        <v>59092.0</v>
      </c>
      <c r="J59" s="25">
        <v>59092.0</v>
      </c>
      <c r="K59" s="25">
        <v>59100.0</v>
      </c>
      <c r="L59" s="25">
        <v>59113.0</v>
      </c>
      <c r="M59" s="25">
        <v>74978.0</v>
      </c>
      <c r="P59" s="25">
        <v>58882.0</v>
      </c>
      <c r="Q59" s="25">
        <v>11.0</v>
      </c>
      <c r="R59" s="25">
        <v>25.0</v>
      </c>
      <c r="S59" s="25">
        <v>75.0</v>
      </c>
      <c r="T59" s="25">
        <v>68.0</v>
      </c>
      <c r="U59" s="25">
        <v>31.0</v>
      </c>
      <c r="V59" s="25">
        <v>0.0</v>
      </c>
      <c r="W59" s="25">
        <v>8.0</v>
      </c>
      <c r="X59" s="25">
        <v>13.0</v>
      </c>
      <c r="Y59" s="25">
        <v>15865.0</v>
      </c>
      <c r="Z59" s="25">
        <v>74978.0</v>
      </c>
      <c r="AB59" s="25">
        <v>58882.0</v>
      </c>
      <c r="AC59" s="25">
        <v>9.9</v>
      </c>
      <c r="AD59" s="25">
        <v>20.0</v>
      </c>
      <c r="AE59" s="25">
        <v>52.5</v>
      </c>
      <c r="AF59" s="25">
        <v>40.8</v>
      </c>
      <c r="AG59" s="25">
        <v>15.5</v>
      </c>
      <c r="AH59" s="25">
        <v>0.0</v>
      </c>
      <c r="AI59" s="25">
        <v>2.4</v>
      </c>
      <c r="AJ59" s="25">
        <v>2.6</v>
      </c>
      <c r="AK59" s="25">
        <v>1586.5</v>
      </c>
      <c r="AL59" s="25">
        <v>60612.200000000004</v>
      </c>
      <c r="AM59" s="39">
        <v>8.678009259259259E-4</v>
      </c>
    </row>
    <row r="60" ht="1.5" customHeight="1">
      <c r="A60" s="73" t="s">
        <v>194</v>
      </c>
      <c r="B60" s="74">
        <v>90.0</v>
      </c>
      <c r="C60" s="25">
        <v>71326.0</v>
      </c>
      <c r="D60" s="25">
        <v>71336.0</v>
      </c>
      <c r="E60" s="25">
        <v>71367.0</v>
      </c>
      <c r="F60" s="25">
        <v>71367.0</v>
      </c>
      <c r="G60" s="25">
        <v>71378.0</v>
      </c>
      <c r="H60" s="25">
        <v>71566.0</v>
      </c>
      <c r="I60" s="25">
        <v>71594.0</v>
      </c>
      <c r="J60" s="25">
        <v>71602.0</v>
      </c>
      <c r="K60" s="25">
        <v>71651.0</v>
      </c>
      <c r="L60" s="25">
        <v>71660.0</v>
      </c>
      <c r="M60" s="25">
        <v>87902.0</v>
      </c>
      <c r="P60" s="25">
        <v>71336.0</v>
      </c>
      <c r="Q60" s="25">
        <v>31.0</v>
      </c>
      <c r="R60" s="25">
        <v>0.0</v>
      </c>
      <c r="S60" s="25">
        <v>11.0</v>
      </c>
      <c r="T60" s="25">
        <v>188.0</v>
      </c>
      <c r="U60" s="25">
        <v>28.0</v>
      </c>
      <c r="V60" s="25">
        <v>8.0</v>
      </c>
      <c r="W60" s="25">
        <v>49.0</v>
      </c>
      <c r="X60" s="25">
        <v>9.0</v>
      </c>
      <c r="Y60" s="25">
        <v>16242.0</v>
      </c>
      <c r="Z60" s="25">
        <v>87902.0</v>
      </c>
      <c r="AB60" s="25">
        <v>71336.0</v>
      </c>
      <c r="AC60" s="25">
        <v>27.900000000000002</v>
      </c>
      <c r="AD60" s="25">
        <v>0.0</v>
      </c>
      <c r="AE60" s="25">
        <v>7.699999999999999</v>
      </c>
      <c r="AF60" s="25">
        <v>112.8</v>
      </c>
      <c r="AG60" s="25">
        <v>14.0</v>
      </c>
      <c r="AH60" s="25">
        <v>3.2</v>
      </c>
      <c r="AI60" s="25">
        <v>14.7</v>
      </c>
      <c r="AJ60" s="25">
        <v>1.8</v>
      </c>
      <c r="AK60" s="25">
        <v>1624.2</v>
      </c>
      <c r="AL60" s="25">
        <v>73142.29999999999</v>
      </c>
      <c r="AM60" s="39">
        <v>0.0010173842592592593</v>
      </c>
    </row>
    <row r="61" ht="1.5" customHeight="1">
      <c r="A61" s="73" t="s">
        <v>195</v>
      </c>
      <c r="B61" s="74">
        <v>91.0</v>
      </c>
      <c r="C61" s="25">
        <v>86160.0</v>
      </c>
      <c r="D61" s="25">
        <v>86165.0</v>
      </c>
      <c r="E61" s="25">
        <v>86184.0</v>
      </c>
      <c r="F61" s="25">
        <v>86220.0</v>
      </c>
      <c r="G61" s="25">
        <v>86277.0</v>
      </c>
      <c r="H61" s="25">
        <v>86377.0</v>
      </c>
      <c r="I61" s="25">
        <v>86462.0</v>
      </c>
      <c r="J61" s="25">
        <v>86474.0</v>
      </c>
      <c r="K61" s="25">
        <v>86474.0</v>
      </c>
      <c r="L61" s="25">
        <v>86487.0</v>
      </c>
      <c r="M61" s="25">
        <v>130936.0</v>
      </c>
      <c r="P61" s="25">
        <v>86165.0</v>
      </c>
      <c r="Q61" s="25">
        <v>19.0</v>
      </c>
      <c r="R61" s="25">
        <v>36.0</v>
      </c>
      <c r="S61" s="25">
        <v>57.0</v>
      </c>
      <c r="T61" s="25">
        <v>100.0</v>
      </c>
      <c r="U61" s="25">
        <v>85.0</v>
      </c>
      <c r="V61" s="25">
        <v>12.0</v>
      </c>
      <c r="W61" s="25">
        <v>0.0</v>
      </c>
      <c r="X61" s="25">
        <v>13.0</v>
      </c>
      <c r="Y61" s="25">
        <v>44449.0</v>
      </c>
      <c r="Z61" s="25">
        <v>130936.0</v>
      </c>
      <c r="AB61" s="25">
        <v>86165.0</v>
      </c>
      <c r="AC61" s="25">
        <v>17.1</v>
      </c>
      <c r="AD61" s="25">
        <v>28.8</v>
      </c>
      <c r="AE61" s="25">
        <v>39.9</v>
      </c>
      <c r="AF61" s="25">
        <v>60.0</v>
      </c>
      <c r="AG61" s="25">
        <v>42.5</v>
      </c>
      <c r="AH61" s="25">
        <v>4.800000000000001</v>
      </c>
      <c r="AI61" s="25">
        <v>0.0</v>
      </c>
      <c r="AJ61" s="25">
        <v>2.6</v>
      </c>
      <c r="AK61" s="25">
        <v>4444.900000000001</v>
      </c>
      <c r="AL61" s="25">
        <v>90805.6</v>
      </c>
      <c r="AM61" s="39">
        <v>0.001515462962962963</v>
      </c>
    </row>
    <row r="62" ht="1.5" customHeight="1">
      <c r="A62" s="73" t="s">
        <v>196</v>
      </c>
      <c r="B62" s="74">
        <v>92.0</v>
      </c>
      <c r="C62" s="25">
        <v>143995.0</v>
      </c>
      <c r="D62" s="25">
        <v>144004.0</v>
      </c>
      <c r="E62" s="25">
        <v>144199.0</v>
      </c>
      <c r="F62" s="25">
        <v>144391.0</v>
      </c>
      <c r="G62" s="25">
        <v>144398.0</v>
      </c>
      <c r="H62" s="25">
        <v>144508.0</v>
      </c>
      <c r="I62" s="25">
        <v>144530.0</v>
      </c>
      <c r="J62" s="25">
        <v>144564.0</v>
      </c>
      <c r="K62" s="25">
        <v>151332.0</v>
      </c>
      <c r="L62" s="25">
        <v>170581.0</v>
      </c>
      <c r="M62" s="25">
        <v>203408.0</v>
      </c>
      <c r="P62" s="25">
        <v>144004.0</v>
      </c>
      <c r="Q62" s="25">
        <v>195.0</v>
      </c>
      <c r="R62" s="25">
        <v>192.0</v>
      </c>
      <c r="S62" s="25">
        <v>7.0</v>
      </c>
      <c r="T62" s="25">
        <v>110.0</v>
      </c>
      <c r="U62" s="25">
        <v>22.0</v>
      </c>
      <c r="V62" s="25">
        <v>34.0</v>
      </c>
      <c r="W62" s="25">
        <v>6768.0</v>
      </c>
      <c r="X62" s="25">
        <v>19249.0</v>
      </c>
      <c r="Y62" s="25">
        <v>32827.0</v>
      </c>
      <c r="Z62" s="25">
        <v>203408.0</v>
      </c>
      <c r="AB62" s="25">
        <v>144004.0</v>
      </c>
      <c r="AC62" s="25">
        <v>175.5</v>
      </c>
      <c r="AD62" s="25">
        <v>153.60000000000002</v>
      </c>
      <c r="AE62" s="25">
        <v>4.8999999999999995</v>
      </c>
      <c r="AF62" s="25">
        <v>66.0</v>
      </c>
      <c r="AG62" s="25">
        <v>11.0</v>
      </c>
      <c r="AH62" s="25">
        <v>13.600000000000001</v>
      </c>
      <c r="AI62" s="25">
        <v>2030.3999999999999</v>
      </c>
      <c r="AJ62" s="25">
        <v>3849.8</v>
      </c>
      <c r="AK62" s="25">
        <v>3282.7000000000003</v>
      </c>
      <c r="AL62" s="25">
        <v>153591.5</v>
      </c>
      <c r="AM62" s="39">
        <v>0.002354259259259259</v>
      </c>
    </row>
    <row r="63" ht="1.5" customHeight="1">
      <c r="A63" s="73" t="s">
        <v>197</v>
      </c>
      <c r="B63" s="74">
        <v>93.0</v>
      </c>
      <c r="C63" s="25">
        <v>137048.0</v>
      </c>
      <c r="D63" s="25">
        <v>137094.0</v>
      </c>
      <c r="E63" s="25">
        <v>137126.0</v>
      </c>
      <c r="F63" s="25">
        <v>137135.0</v>
      </c>
      <c r="G63" s="25">
        <v>137491.0</v>
      </c>
      <c r="H63" s="25">
        <v>137504.0</v>
      </c>
      <c r="I63" s="25">
        <v>137582.0</v>
      </c>
      <c r="J63" s="25">
        <v>137607.0</v>
      </c>
      <c r="K63" s="25">
        <v>137681.0</v>
      </c>
      <c r="L63" s="25">
        <v>158829.0</v>
      </c>
      <c r="M63" s="25">
        <v>360035.0</v>
      </c>
      <c r="P63" s="25">
        <v>137094.0</v>
      </c>
      <c r="Q63" s="25">
        <v>32.0</v>
      </c>
      <c r="R63" s="25">
        <v>9.0</v>
      </c>
      <c r="S63" s="25">
        <v>356.0</v>
      </c>
      <c r="T63" s="25">
        <v>13.0</v>
      </c>
      <c r="U63" s="25">
        <v>78.0</v>
      </c>
      <c r="V63" s="25">
        <v>25.0</v>
      </c>
      <c r="W63" s="25">
        <v>74.0</v>
      </c>
      <c r="X63" s="25">
        <v>21148.0</v>
      </c>
      <c r="Y63" s="25">
        <v>201206.0</v>
      </c>
      <c r="Z63" s="25">
        <v>360035.0</v>
      </c>
      <c r="AB63" s="25">
        <v>137094.0</v>
      </c>
      <c r="AC63" s="25">
        <v>28.8</v>
      </c>
      <c r="AD63" s="25">
        <v>7.2</v>
      </c>
      <c r="AE63" s="25">
        <v>249.2</v>
      </c>
      <c r="AF63" s="25">
        <v>7.8</v>
      </c>
      <c r="AG63" s="25">
        <v>39.0</v>
      </c>
      <c r="AH63" s="25">
        <v>10.0</v>
      </c>
      <c r="AI63" s="25">
        <v>22.2</v>
      </c>
      <c r="AJ63" s="25">
        <v>4229.6</v>
      </c>
      <c r="AK63" s="25">
        <v>20120.600000000002</v>
      </c>
      <c r="AL63" s="25">
        <v>161808.40000000002</v>
      </c>
      <c r="AM63" s="39">
        <v>0.004167071759259259</v>
      </c>
    </row>
    <row r="64" ht="1.5" customHeight="1">
      <c r="A64" s="73" t="s">
        <v>198</v>
      </c>
      <c r="B64" s="74">
        <v>94.0</v>
      </c>
      <c r="C64" s="25">
        <v>140580.0</v>
      </c>
      <c r="D64" s="25">
        <v>140610.0</v>
      </c>
      <c r="E64" s="25">
        <v>140627.0</v>
      </c>
      <c r="F64" s="25">
        <v>140663.0</v>
      </c>
      <c r="G64" s="25">
        <v>140778.0</v>
      </c>
      <c r="H64" s="25">
        <v>141031.0</v>
      </c>
      <c r="I64" s="25">
        <v>141070.0</v>
      </c>
      <c r="J64" s="25">
        <v>141108.0</v>
      </c>
      <c r="K64" s="25">
        <v>141178.0</v>
      </c>
      <c r="L64" s="25">
        <v>141199.0</v>
      </c>
      <c r="M64" s="25">
        <v>218208.0</v>
      </c>
      <c r="P64" s="25">
        <v>140610.0</v>
      </c>
      <c r="Q64" s="25">
        <v>17.0</v>
      </c>
      <c r="R64" s="25">
        <v>36.0</v>
      </c>
      <c r="S64" s="25">
        <v>115.0</v>
      </c>
      <c r="T64" s="25">
        <v>253.0</v>
      </c>
      <c r="U64" s="25">
        <v>39.0</v>
      </c>
      <c r="V64" s="25">
        <v>38.0</v>
      </c>
      <c r="W64" s="25">
        <v>70.0</v>
      </c>
      <c r="X64" s="25">
        <v>21.0</v>
      </c>
      <c r="Y64" s="25">
        <v>77009.0</v>
      </c>
      <c r="Z64" s="25">
        <v>218208.0</v>
      </c>
      <c r="AB64" s="25">
        <v>140610.0</v>
      </c>
      <c r="AC64" s="25">
        <v>15.3</v>
      </c>
      <c r="AD64" s="25">
        <v>28.8</v>
      </c>
      <c r="AE64" s="25">
        <v>80.5</v>
      </c>
      <c r="AF64" s="25">
        <v>151.79999999999998</v>
      </c>
      <c r="AG64" s="25">
        <v>19.5</v>
      </c>
      <c r="AH64" s="25">
        <v>15.200000000000001</v>
      </c>
      <c r="AI64" s="25">
        <v>21.0</v>
      </c>
      <c r="AJ64" s="25">
        <v>4.2</v>
      </c>
      <c r="AK64" s="25">
        <v>7700.900000000001</v>
      </c>
      <c r="AL64" s="25">
        <v>148647.19999999998</v>
      </c>
      <c r="AM64" s="39">
        <v>0.0025255555555555556</v>
      </c>
    </row>
    <row r="65" ht="1.5" customHeight="1">
      <c r="A65" s="73" t="s">
        <v>199</v>
      </c>
      <c r="B65" s="74">
        <v>95.0</v>
      </c>
      <c r="C65" s="25">
        <v>186159.0</v>
      </c>
      <c r="D65" s="25">
        <v>186159.0</v>
      </c>
      <c r="E65" s="25">
        <v>186182.0</v>
      </c>
      <c r="F65" s="25">
        <v>186187.0</v>
      </c>
      <c r="G65" s="25">
        <v>186250.0</v>
      </c>
      <c r="H65" s="25">
        <v>186676.0</v>
      </c>
      <c r="I65" s="25">
        <v>186677.0</v>
      </c>
      <c r="J65" s="25">
        <v>186679.0</v>
      </c>
      <c r="K65" s="25">
        <v>186750.0</v>
      </c>
      <c r="L65" s="25">
        <v>186762.0</v>
      </c>
      <c r="M65" s="25">
        <v>236507.0</v>
      </c>
      <c r="P65" s="25">
        <v>186159.0</v>
      </c>
      <c r="Q65" s="25">
        <v>23.0</v>
      </c>
      <c r="R65" s="25">
        <v>5.0</v>
      </c>
      <c r="S65" s="25">
        <v>63.0</v>
      </c>
      <c r="T65" s="25">
        <v>426.0</v>
      </c>
      <c r="U65" s="25">
        <v>1.0</v>
      </c>
      <c r="V65" s="25">
        <v>2.0</v>
      </c>
      <c r="W65" s="25">
        <v>71.0</v>
      </c>
      <c r="X65" s="25">
        <v>12.0</v>
      </c>
      <c r="Y65" s="25">
        <v>49745.0</v>
      </c>
      <c r="Z65" s="25">
        <v>236507.0</v>
      </c>
      <c r="AB65" s="25">
        <v>186159.0</v>
      </c>
      <c r="AC65" s="25">
        <v>20.7</v>
      </c>
      <c r="AD65" s="25">
        <v>4.0</v>
      </c>
      <c r="AE65" s="25">
        <v>44.099999999999994</v>
      </c>
      <c r="AF65" s="25">
        <v>255.6</v>
      </c>
      <c r="AG65" s="25">
        <v>0.5</v>
      </c>
      <c r="AH65" s="25">
        <v>0.8</v>
      </c>
      <c r="AI65" s="25">
        <v>21.3</v>
      </c>
      <c r="AJ65" s="25">
        <v>2.4000000000000004</v>
      </c>
      <c r="AK65" s="25">
        <v>4974.5</v>
      </c>
      <c r="AL65" s="25">
        <v>191482.9</v>
      </c>
      <c r="AM65" s="39">
        <v>0.002737349537037037</v>
      </c>
    </row>
    <row r="66" ht="1.5" customHeight="1">
      <c r="A66" s="73" t="s">
        <v>200</v>
      </c>
      <c r="B66" s="74">
        <v>96.0</v>
      </c>
      <c r="C66" s="25">
        <v>285666.0</v>
      </c>
      <c r="D66" s="25">
        <v>285739.0</v>
      </c>
      <c r="E66" s="25">
        <v>285959.0</v>
      </c>
      <c r="F66" s="25">
        <v>286437.0</v>
      </c>
      <c r="G66" s="25">
        <v>286461.0</v>
      </c>
      <c r="H66" s="25">
        <v>286599.0</v>
      </c>
      <c r="I66" s="25">
        <v>286612.0</v>
      </c>
      <c r="J66" s="25">
        <v>286756.0</v>
      </c>
      <c r="K66" s="25">
        <v>360557.0</v>
      </c>
      <c r="L66" s="25">
        <v>387309.0</v>
      </c>
      <c r="M66" s="25">
        <v>414780.0</v>
      </c>
      <c r="P66" s="25">
        <v>285739.0</v>
      </c>
      <c r="Q66" s="25">
        <v>220.0</v>
      </c>
      <c r="R66" s="25">
        <v>478.0</v>
      </c>
      <c r="S66" s="25">
        <v>24.0</v>
      </c>
      <c r="T66" s="25">
        <v>138.0</v>
      </c>
      <c r="U66" s="25">
        <v>13.0</v>
      </c>
      <c r="V66" s="25">
        <v>144.0</v>
      </c>
      <c r="W66" s="25">
        <v>73801.0</v>
      </c>
      <c r="X66" s="25">
        <v>26752.0</v>
      </c>
      <c r="Y66" s="25">
        <v>27471.0</v>
      </c>
      <c r="Z66" s="25">
        <v>414780.0</v>
      </c>
      <c r="AB66" s="25">
        <v>285739.0</v>
      </c>
      <c r="AC66" s="25">
        <v>198.0</v>
      </c>
      <c r="AD66" s="25">
        <v>382.40000000000003</v>
      </c>
      <c r="AE66" s="25">
        <v>16.799999999999997</v>
      </c>
      <c r="AF66" s="25">
        <v>82.8</v>
      </c>
      <c r="AG66" s="25">
        <v>6.5</v>
      </c>
      <c r="AH66" s="25">
        <v>57.6</v>
      </c>
      <c r="AI66" s="25">
        <v>22140.3</v>
      </c>
      <c r="AJ66" s="25">
        <v>5350.400000000001</v>
      </c>
      <c r="AK66" s="25">
        <v>2747.1000000000004</v>
      </c>
      <c r="AL66" s="25">
        <v>316720.89999999997</v>
      </c>
      <c r="AM66" s="39">
        <v>0.004800694444444444</v>
      </c>
    </row>
    <row r="67" ht="1.5" customHeight="1">
      <c r="A67" s="73" t="s">
        <v>201</v>
      </c>
      <c r="B67" s="74">
        <v>97.0</v>
      </c>
      <c r="C67" s="25">
        <v>291258.0</v>
      </c>
      <c r="D67" s="25">
        <v>291265.0</v>
      </c>
      <c r="E67" s="25">
        <v>291360.0</v>
      </c>
      <c r="F67" s="25">
        <v>291401.0</v>
      </c>
      <c r="G67" s="25">
        <v>292141.0</v>
      </c>
      <c r="H67" s="25">
        <v>292176.0</v>
      </c>
      <c r="I67" s="25">
        <v>292224.0</v>
      </c>
      <c r="J67" s="25">
        <v>292359.0</v>
      </c>
      <c r="K67" s="25">
        <v>296367.0</v>
      </c>
      <c r="L67" s="25">
        <v>377216.0</v>
      </c>
      <c r="M67" s="25">
        <v>421660.0</v>
      </c>
      <c r="P67" s="25">
        <v>291265.0</v>
      </c>
      <c r="Q67" s="25">
        <v>95.0</v>
      </c>
      <c r="R67" s="25">
        <v>41.0</v>
      </c>
      <c r="S67" s="25">
        <v>740.0</v>
      </c>
      <c r="T67" s="25">
        <v>35.0</v>
      </c>
      <c r="U67" s="25">
        <v>48.0</v>
      </c>
      <c r="V67" s="25">
        <v>135.0</v>
      </c>
      <c r="W67" s="25">
        <v>4008.0</v>
      </c>
      <c r="X67" s="25">
        <v>80849.0</v>
      </c>
      <c r="Y67" s="25">
        <v>44444.0</v>
      </c>
      <c r="Z67" s="25">
        <v>421660.0</v>
      </c>
      <c r="AB67" s="25">
        <v>291265.0</v>
      </c>
      <c r="AC67" s="25">
        <v>85.5</v>
      </c>
      <c r="AD67" s="25">
        <v>32.800000000000004</v>
      </c>
      <c r="AE67" s="25">
        <v>518.0</v>
      </c>
      <c r="AF67" s="25">
        <v>21.0</v>
      </c>
      <c r="AG67" s="25">
        <v>24.0</v>
      </c>
      <c r="AH67" s="25">
        <v>54.0</v>
      </c>
      <c r="AI67" s="25">
        <v>1202.3999999999999</v>
      </c>
      <c r="AJ67" s="25">
        <v>16169.800000000001</v>
      </c>
      <c r="AK67" s="25">
        <v>4444.400000000001</v>
      </c>
      <c r="AL67" s="25">
        <v>313816.9</v>
      </c>
      <c r="AM67" s="39">
        <v>0.004880324074074074</v>
      </c>
    </row>
    <row r="68" ht="1.5" customHeight="1">
      <c r="A68" s="73" t="s">
        <v>202</v>
      </c>
      <c r="B68" s="74">
        <v>98.0</v>
      </c>
      <c r="C68" s="25">
        <v>322057.0</v>
      </c>
      <c r="D68" s="25">
        <v>322075.0</v>
      </c>
      <c r="E68" s="25">
        <v>322095.0</v>
      </c>
      <c r="F68" s="25">
        <v>322147.0</v>
      </c>
      <c r="G68" s="25">
        <v>323126.0</v>
      </c>
      <c r="H68" s="25">
        <v>323150.0</v>
      </c>
      <c r="I68" s="25">
        <v>323320.0</v>
      </c>
      <c r="J68" s="25">
        <v>323398.0</v>
      </c>
      <c r="K68" s="25">
        <v>327816.0</v>
      </c>
      <c r="L68" s="25">
        <v>389124.0</v>
      </c>
      <c r="M68" s="25">
        <v>972165.0</v>
      </c>
      <c r="P68" s="25">
        <v>322075.0</v>
      </c>
      <c r="Q68" s="25">
        <v>20.0</v>
      </c>
      <c r="R68" s="25">
        <v>52.0</v>
      </c>
      <c r="S68" s="25">
        <v>979.0</v>
      </c>
      <c r="T68" s="25">
        <v>24.0</v>
      </c>
      <c r="U68" s="25">
        <v>170.0</v>
      </c>
      <c r="V68" s="25">
        <v>78.0</v>
      </c>
      <c r="W68" s="25">
        <v>4418.0</v>
      </c>
      <c r="X68" s="25">
        <v>61308.0</v>
      </c>
      <c r="Y68" s="25">
        <v>583041.0</v>
      </c>
      <c r="Z68" s="25">
        <v>972165.0</v>
      </c>
      <c r="AB68" s="25">
        <v>322075.0</v>
      </c>
      <c r="AC68" s="25">
        <v>18.0</v>
      </c>
      <c r="AD68" s="25">
        <v>41.6</v>
      </c>
      <c r="AE68" s="25">
        <v>685.3</v>
      </c>
      <c r="AF68" s="25">
        <v>14.399999999999999</v>
      </c>
      <c r="AG68" s="25">
        <v>85.0</v>
      </c>
      <c r="AH68" s="25">
        <v>31.200000000000003</v>
      </c>
      <c r="AI68" s="25">
        <v>1325.3999999999999</v>
      </c>
      <c r="AJ68" s="25">
        <v>12261.6</v>
      </c>
      <c r="AK68" s="25">
        <v>58304.100000000006</v>
      </c>
      <c r="AL68" s="25">
        <v>394841.6</v>
      </c>
      <c r="AM68" s="39">
        <v>0.011251909722222222</v>
      </c>
    </row>
    <row r="69" ht="1.5" customHeight="1">
      <c r="A69" s="73" t="s">
        <v>203</v>
      </c>
      <c r="B69" s="74">
        <v>99.0</v>
      </c>
      <c r="C69" s="25">
        <v>432192.0</v>
      </c>
      <c r="D69" s="25">
        <v>432319.0</v>
      </c>
      <c r="E69" s="25">
        <v>432428.0</v>
      </c>
      <c r="F69" s="25">
        <v>432428.0</v>
      </c>
      <c r="G69" s="25">
        <v>432470.0</v>
      </c>
      <c r="H69" s="25">
        <v>433147.0</v>
      </c>
      <c r="I69" s="25">
        <v>433408.0</v>
      </c>
      <c r="J69" s="25">
        <v>433516.0</v>
      </c>
      <c r="K69" s="25">
        <v>433542.0</v>
      </c>
      <c r="L69" s="25">
        <v>433611.0</v>
      </c>
      <c r="M69" s="25">
        <v>641734.0</v>
      </c>
      <c r="P69" s="25">
        <v>432319.0</v>
      </c>
      <c r="Q69" s="25">
        <v>109.0</v>
      </c>
      <c r="R69" s="25">
        <v>0.0</v>
      </c>
      <c r="S69" s="25">
        <v>42.0</v>
      </c>
      <c r="T69" s="25">
        <v>677.0</v>
      </c>
      <c r="U69" s="25">
        <v>261.0</v>
      </c>
      <c r="V69" s="25">
        <v>108.0</v>
      </c>
      <c r="W69" s="25">
        <v>26.0</v>
      </c>
      <c r="X69" s="25">
        <v>69.0</v>
      </c>
      <c r="Y69" s="25">
        <v>208123.0</v>
      </c>
      <c r="Z69" s="25">
        <v>641734.0</v>
      </c>
      <c r="AB69" s="25">
        <v>432319.0</v>
      </c>
      <c r="AC69" s="25">
        <v>98.10000000000001</v>
      </c>
      <c r="AD69" s="25">
        <v>0.0</v>
      </c>
      <c r="AE69" s="25">
        <v>29.4</v>
      </c>
      <c r="AF69" s="25">
        <v>406.2</v>
      </c>
      <c r="AG69" s="25">
        <v>130.5</v>
      </c>
      <c r="AH69" s="25">
        <v>43.2</v>
      </c>
      <c r="AI69" s="25">
        <v>7.8</v>
      </c>
      <c r="AJ69" s="25">
        <v>13.8</v>
      </c>
      <c r="AK69" s="25">
        <v>20812.300000000003</v>
      </c>
      <c r="AL69" s="25">
        <v>453860.3</v>
      </c>
      <c r="AM69" s="39">
        <v>0.007427476851851852</v>
      </c>
    </row>
    <row r="70">
      <c r="A70" s="73" t="s">
        <v>204</v>
      </c>
      <c r="B70" s="74">
        <v>100.0</v>
      </c>
      <c r="C70" s="25">
        <v>624606.0</v>
      </c>
      <c r="D70" s="25">
        <v>624728.0</v>
      </c>
      <c r="E70" s="25">
        <v>625265.0</v>
      </c>
      <c r="F70" s="25">
        <v>626174.0</v>
      </c>
      <c r="G70" s="25">
        <v>626288.0</v>
      </c>
      <c r="H70" s="25">
        <v>626483.0</v>
      </c>
      <c r="I70" s="25">
        <v>626525.0</v>
      </c>
      <c r="J70" s="25">
        <v>626807.0</v>
      </c>
      <c r="K70" s="25">
        <v>656456.0</v>
      </c>
      <c r="L70" s="25">
        <v>740231.0</v>
      </c>
      <c r="M70" s="25">
        <v>933370.0</v>
      </c>
      <c r="P70" s="25">
        <v>624728.0</v>
      </c>
      <c r="Q70" s="25">
        <v>537.0</v>
      </c>
      <c r="R70" s="25">
        <v>909.0</v>
      </c>
      <c r="S70" s="25">
        <v>114.0</v>
      </c>
      <c r="T70" s="25">
        <v>195.0</v>
      </c>
      <c r="U70" s="25">
        <v>42.0</v>
      </c>
      <c r="V70" s="25">
        <v>282.0</v>
      </c>
      <c r="W70" s="25">
        <v>29649.0</v>
      </c>
      <c r="X70" s="25">
        <v>83775.0</v>
      </c>
      <c r="Y70" s="25">
        <v>193139.0</v>
      </c>
      <c r="Z70" s="25">
        <v>933370.0</v>
      </c>
      <c r="AB70" s="25">
        <v>624728.0</v>
      </c>
      <c r="AC70" s="25">
        <v>483.3</v>
      </c>
      <c r="AD70" s="25">
        <v>727.2</v>
      </c>
      <c r="AE70" s="25">
        <v>79.8</v>
      </c>
      <c r="AF70" s="25">
        <v>117.0</v>
      </c>
      <c r="AG70" s="25">
        <v>21.0</v>
      </c>
      <c r="AH70" s="25">
        <v>112.80000000000001</v>
      </c>
      <c r="AI70" s="25">
        <v>8894.699999999999</v>
      </c>
      <c r="AJ70" s="25">
        <v>16755.0</v>
      </c>
      <c r="AK70" s="25">
        <v>19313.9</v>
      </c>
      <c r="AL70" s="25">
        <v>671232.7000000001</v>
      </c>
      <c r="AM70" s="39">
        <v>0.010802893518518519</v>
      </c>
    </row>
    <row r="71">
      <c r="A71" s="73" t="s">
        <v>205</v>
      </c>
      <c r="B71" s="74">
        <v>101.0</v>
      </c>
      <c r="C71" s="25">
        <v>622198.0</v>
      </c>
      <c r="D71" s="25">
        <v>622234.0</v>
      </c>
      <c r="E71" s="25">
        <v>622252.0</v>
      </c>
      <c r="F71" s="25">
        <v>622380.0</v>
      </c>
      <c r="G71" s="25">
        <v>623797.0</v>
      </c>
      <c r="H71" s="25">
        <v>623918.0</v>
      </c>
      <c r="I71" s="25">
        <v>624052.0</v>
      </c>
      <c r="J71" s="25">
        <v>624181.0</v>
      </c>
      <c r="K71" s="25">
        <v>624241.0</v>
      </c>
      <c r="L71" s="25">
        <v>653010.0</v>
      </c>
      <c r="M71" s="25">
        <v>1068916.0</v>
      </c>
      <c r="P71" s="25">
        <v>622234.0</v>
      </c>
      <c r="Q71" s="25">
        <v>18.0</v>
      </c>
      <c r="R71" s="25">
        <v>128.0</v>
      </c>
      <c r="S71" s="25">
        <v>1417.0</v>
      </c>
      <c r="T71" s="25">
        <v>121.0</v>
      </c>
      <c r="U71" s="25">
        <v>134.0</v>
      </c>
      <c r="V71" s="25">
        <v>129.0</v>
      </c>
      <c r="W71" s="25">
        <v>60.0</v>
      </c>
      <c r="X71" s="25">
        <v>28769.0</v>
      </c>
      <c r="Y71" s="25">
        <v>415906.0</v>
      </c>
      <c r="Z71" s="25">
        <v>1068916.0</v>
      </c>
      <c r="AB71" s="25">
        <v>622234.0</v>
      </c>
      <c r="AC71" s="25">
        <v>16.2</v>
      </c>
      <c r="AD71" s="25">
        <v>102.4</v>
      </c>
      <c r="AE71" s="25">
        <v>991.9</v>
      </c>
      <c r="AF71" s="25">
        <v>72.6</v>
      </c>
      <c r="AG71" s="25">
        <v>67.0</v>
      </c>
      <c r="AH71" s="25">
        <v>51.6</v>
      </c>
      <c r="AI71" s="25">
        <v>18.0</v>
      </c>
      <c r="AJ71" s="25">
        <v>5753.8</v>
      </c>
      <c r="AK71" s="25">
        <v>41590.600000000006</v>
      </c>
      <c r="AL71" s="25">
        <v>670898.1</v>
      </c>
      <c r="AM71" s="39">
        <v>0.012371712962962963</v>
      </c>
    </row>
    <row r="72">
      <c r="A72" s="73" t="s">
        <v>206</v>
      </c>
      <c r="B72" s="74">
        <v>102.0</v>
      </c>
      <c r="C72" s="25">
        <v>712746.0</v>
      </c>
      <c r="D72" s="25">
        <v>712777.0</v>
      </c>
      <c r="E72" s="25">
        <v>712806.0</v>
      </c>
      <c r="F72" s="25">
        <v>713024.0</v>
      </c>
      <c r="G72" s="25">
        <v>714848.0</v>
      </c>
      <c r="H72" s="25">
        <v>714914.0</v>
      </c>
      <c r="I72" s="25">
        <v>714983.0</v>
      </c>
      <c r="J72" s="25">
        <v>715326.0</v>
      </c>
      <c r="K72" s="25">
        <v>715383.0</v>
      </c>
      <c r="L72" s="25">
        <v>954050.0</v>
      </c>
      <c r="M72" s="25">
        <v>1040079.0</v>
      </c>
      <c r="P72" s="25">
        <v>712777.0</v>
      </c>
      <c r="Q72" s="25">
        <v>29.0</v>
      </c>
      <c r="R72" s="25">
        <v>218.0</v>
      </c>
      <c r="S72" s="25">
        <v>1824.0</v>
      </c>
      <c r="T72" s="25">
        <v>66.0</v>
      </c>
      <c r="U72" s="25">
        <v>69.0</v>
      </c>
      <c r="V72" s="25">
        <v>343.0</v>
      </c>
      <c r="W72" s="25">
        <v>57.0</v>
      </c>
      <c r="X72" s="25">
        <v>238667.0</v>
      </c>
      <c r="Y72" s="25">
        <v>86029.0</v>
      </c>
      <c r="Z72" s="25">
        <v>1040079.0</v>
      </c>
      <c r="AB72" s="25">
        <v>712777.0</v>
      </c>
      <c r="AC72" s="25">
        <v>26.1</v>
      </c>
      <c r="AD72" s="25">
        <v>174.4</v>
      </c>
      <c r="AE72" s="25">
        <v>1276.8</v>
      </c>
      <c r="AF72" s="25">
        <v>39.6</v>
      </c>
      <c r="AG72" s="25">
        <v>34.5</v>
      </c>
      <c r="AH72" s="25">
        <v>137.20000000000002</v>
      </c>
      <c r="AI72" s="25">
        <v>17.099999999999998</v>
      </c>
      <c r="AJ72" s="25">
        <v>47733.4</v>
      </c>
      <c r="AK72" s="25">
        <v>8602.9</v>
      </c>
      <c r="AL72" s="25">
        <v>770819.0</v>
      </c>
      <c r="AM72" s="39">
        <v>0.012037951388888888</v>
      </c>
    </row>
    <row r="73">
      <c r="A73" s="73" t="s">
        <v>207</v>
      </c>
      <c r="B73" s="74">
        <v>103.0</v>
      </c>
      <c r="C73" s="25">
        <v>873649.0</v>
      </c>
      <c r="D73" s="25">
        <v>873651.0</v>
      </c>
      <c r="E73" s="25">
        <v>873653.0</v>
      </c>
      <c r="F73" s="25">
        <v>873777.0</v>
      </c>
      <c r="G73" s="25">
        <v>875932.0</v>
      </c>
      <c r="H73" s="25">
        <v>876185.0</v>
      </c>
      <c r="I73" s="25">
        <v>876310.0</v>
      </c>
      <c r="J73" s="25">
        <v>876570.0</v>
      </c>
      <c r="K73" s="25">
        <v>876608.0</v>
      </c>
      <c r="L73" s="25">
        <v>1180143.0</v>
      </c>
      <c r="M73" s="25">
        <v>2683794.0</v>
      </c>
      <c r="P73" s="25">
        <v>873651.0</v>
      </c>
      <c r="Q73" s="25">
        <v>2.0</v>
      </c>
      <c r="R73" s="25">
        <v>124.0</v>
      </c>
      <c r="S73" s="25">
        <v>2155.0</v>
      </c>
      <c r="T73" s="25">
        <v>253.0</v>
      </c>
      <c r="U73" s="25">
        <v>125.0</v>
      </c>
      <c r="V73" s="25">
        <v>260.0</v>
      </c>
      <c r="W73" s="25">
        <v>38.0</v>
      </c>
      <c r="X73" s="25">
        <v>303535.0</v>
      </c>
      <c r="Y73" s="25">
        <v>1503651.0</v>
      </c>
      <c r="Z73" s="25">
        <v>2683794.0</v>
      </c>
      <c r="AB73" s="25">
        <v>873651.0</v>
      </c>
      <c r="AC73" s="25">
        <v>1.8</v>
      </c>
      <c r="AD73" s="25">
        <v>99.2</v>
      </c>
      <c r="AE73" s="25">
        <v>1508.5</v>
      </c>
      <c r="AF73" s="25">
        <v>151.79999999999998</v>
      </c>
      <c r="AG73" s="25">
        <v>62.5</v>
      </c>
      <c r="AH73" s="25">
        <v>104.0</v>
      </c>
      <c r="AI73" s="25">
        <v>11.4</v>
      </c>
      <c r="AJ73" s="25">
        <v>60707.0</v>
      </c>
      <c r="AK73" s="25">
        <v>150365.1</v>
      </c>
      <c r="AL73" s="25">
        <v>1086662.3</v>
      </c>
      <c r="AM73" s="39">
        <v>0.031062430555555555</v>
      </c>
    </row>
    <row r="74">
      <c r="A74" s="73" t="s">
        <v>208</v>
      </c>
      <c r="B74" s="74">
        <v>104.0</v>
      </c>
      <c r="C74" s="25">
        <v>1333744.0</v>
      </c>
      <c r="D74" s="25">
        <v>1333941.0</v>
      </c>
      <c r="E74" s="25">
        <v>1334951.0</v>
      </c>
      <c r="F74" s="25">
        <v>1336862.0</v>
      </c>
      <c r="G74" s="25">
        <v>1336926.0</v>
      </c>
      <c r="H74" s="25">
        <v>1337234.0</v>
      </c>
      <c r="I74" s="25">
        <v>1337409.0</v>
      </c>
      <c r="J74" s="25">
        <v>1337732.0</v>
      </c>
      <c r="K74" s="25">
        <v>1344204.0</v>
      </c>
      <c r="L74" s="25">
        <v>1917450.0</v>
      </c>
      <c r="M74" s="25">
        <v>2018635.0</v>
      </c>
      <c r="P74" s="25">
        <v>1333941.0</v>
      </c>
      <c r="Q74" s="25">
        <v>1010.0</v>
      </c>
      <c r="R74" s="25">
        <v>1911.0</v>
      </c>
      <c r="S74" s="25">
        <v>64.0</v>
      </c>
      <c r="T74" s="25">
        <v>308.0</v>
      </c>
      <c r="U74" s="25">
        <v>175.0</v>
      </c>
      <c r="V74" s="25">
        <v>323.0</v>
      </c>
      <c r="W74" s="25">
        <v>6472.0</v>
      </c>
      <c r="X74" s="25">
        <v>573246.0</v>
      </c>
      <c r="Y74" s="25">
        <v>101185.0</v>
      </c>
      <c r="Z74" s="25">
        <v>2018635.0</v>
      </c>
      <c r="AB74" s="25">
        <v>1333941.0</v>
      </c>
      <c r="AC74" s="25">
        <v>909.0</v>
      </c>
      <c r="AD74" s="25">
        <v>1528.8000000000002</v>
      </c>
      <c r="AE74" s="25">
        <v>44.8</v>
      </c>
      <c r="AF74" s="25">
        <v>184.79999999999998</v>
      </c>
      <c r="AG74" s="25">
        <v>87.5</v>
      </c>
      <c r="AH74" s="25">
        <v>129.20000000000002</v>
      </c>
      <c r="AI74" s="25">
        <v>1941.6</v>
      </c>
      <c r="AJ74" s="25">
        <v>114649.20000000001</v>
      </c>
      <c r="AK74" s="25">
        <v>10118.5</v>
      </c>
      <c r="AL74" s="25">
        <v>1463534.4000000001</v>
      </c>
      <c r="AM74" s="39">
        <v>0.023363831018518518</v>
      </c>
    </row>
    <row r="75">
      <c r="A75" s="73" t="s">
        <v>209</v>
      </c>
      <c r="B75" s="74">
        <v>105.0</v>
      </c>
      <c r="C75" s="25">
        <v>1441264.0</v>
      </c>
      <c r="D75" s="25">
        <v>1441339.0</v>
      </c>
      <c r="E75" s="25">
        <v>1441671.0</v>
      </c>
      <c r="F75" s="25">
        <v>1441684.0</v>
      </c>
      <c r="G75" s="25">
        <v>1442176.0</v>
      </c>
      <c r="H75" s="25">
        <v>1444559.0</v>
      </c>
      <c r="I75" s="25">
        <v>1444945.0</v>
      </c>
      <c r="J75" s="25">
        <v>1444964.0</v>
      </c>
      <c r="K75" s="25">
        <v>1445357.0</v>
      </c>
      <c r="L75" s="25">
        <v>1445641.0</v>
      </c>
      <c r="M75" s="25">
        <v>1828455.0</v>
      </c>
      <c r="P75" s="25">
        <v>1441339.0</v>
      </c>
      <c r="Q75" s="25">
        <v>332.0</v>
      </c>
      <c r="R75" s="25">
        <v>13.0</v>
      </c>
      <c r="S75" s="25">
        <v>492.0</v>
      </c>
      <c r="T75" s="25">
        <v>2383.0</v>
      </c>
      <c r="U75" s="25">
        <v>386.0</v>
      </c>
      <c r="V75" s="25">
        <v>19.0</v>
      </c>
      <c r="W75" s="25">
        <v>393.0</v>
      </c>
      <c r="X75" s="25">
        <v>284.0</v>
      </c>
      <c r="Y75" s="25">
        <v>382814.0</v>
      </c>
      <c r="Z75" s="25">
        <v>1828455.0</v>
      </c>
      <c r="AB75" s="25">
        <v>1441339.0</v>
      </c>
      <c r="AC75" s="25">
        <v>298.8</v>
      </c>
      <c r="AD75" s="25">
        <v>10.4</v>
      </c>
      <c r="AE75" s="25">
        <v>344.4</v>
      </c>
      <c r="AF75" s="25">
        <v>1429.8</v>
      </c>
      <c r="AG75" s="25">
        <v>193.0</v>
      </c>
      <c r="AH75" s="25">
        <v>7.6000000000000005</v>
      </c>
      <c r="AI75" s="25">
        <v>117.89999999999999</v>
      </c>
      <c r="AJ75" s="25">
        <v>56.800000000000004</v>
      </c>
      <c r="AK75" s="25">
        <v>38281.4</v>
      </c>
      <c r="AL75" s="25">
        <v>1482079.0999999999</v>
      </c>
      <c r="AM75" s="39">
        <v>0.02116267361111111</v>
      </c>
    </row>
    <row r="76">
      <c r="A76" s="73" t="s">
        <v>210</v>
      </c>
      <c r="B76" s="74">
        <v>106.0</v>
      </c>
      <c r="C76" s="25">
        <v>1507666.0</v>
      </c>
      <c r="D76" s="25">
        <v>1507691.0</v>
      </c>
      <c r="E76" s="25">
        <v>1507740.0</v>
      </c>
      <c r="F76" s="25">
        <v>1507855.0</v>
      </c>
      <c r="G76" s="25">
        <v>1511368.0</v>
      </c>
      <c r="H76" s="25">
        <v>1511828.0</v>
      </c>
      <c r="I76" s="25">
        <v>1512055.0</v>
      </c>
      <c r="J76" s="25">
        <v>1512249.0</v>
      </c>
      <c r="K76" s="25">
        <v>1512261.0</v>
      </c>
      <c r="L76" s="25">
        <v>2075653.0</v>
      </c>
      <c r="M76" s="25">
        <v>2702906.0</v>
      </c>
      <c r="P76" s="25">
        <v>1507691.0</v>
      </c>
      <c r="Q76" s="25">
        <v>49.0</v>
      </c>
      <c r="R76" s="25">
        <v>115.0</v>
      </c>
      <c r="S76" s="25">
        <v>3513.0</v>
      </c>
      <c r="T76" s="25">
        <v>460.0</v>
      </c>
      <c r="U76" s="25">
        <v>227.0</v>
      </c>
      <c r="V76" s="25">
        <v>194.0</v>
      </c>
      <c r="W76" s="25">
        <v>12.0</v>
      </c>
      <c r="X76" s="25">
        <v>563392.0</v>
      </c>
      <c r="Y76" s="25">
        <v>627253.0</v>
      </c>
      <c r="Z76" s="25">
        <v>2702906.0</v>
      </c>
      <c r="AB76" s="25">
        <v>1507691.0</v>
      </c>
      <c r="AC76" s="25">
        <v>44.1</v>
      </c>
      <c r="AD76" s="25">
        <v>92.0</v>
      </c>
      <c r="AE76" s="25">
        <v>2459.1</v>
      </c>
      <c r="AF76" s="25">
        <v>276.0</v>
      </c>
      <c r="AG76" s="25">
        <v>113.5</v>
      </c>
      <c r="AH76" s="25">
        <v>77.60000000000001</v>
      </c>
      <c r="AI76" s="25">
        <v>3.5999999999999996</v>
      </c>
      <c r="AJ76" s="25">
        <v>112678.40000000001</v>
      </c>
      <c r="AK76" s="25">
        <v>62725.3</v>
      </c>
      <c r="AL76" s="25">
        <v>1686160.6000000003</v>
      </c>
      <c r="AM76" s="39">
        <v>0.03128363425925926</v>
      </c>
    </row>
    <row r="77">
      <c r="A77" s="73" t="s">
        <v>211</v>
      </c>
      <c r="B77" s="74">
        <v>107.0</v>
      </c>
      <c r="C77" s="25">
        <v>1849270.0</v>
      </c>
      <c r="D77" s="25">
        <v>1849285.0</v>
      </c>
      <c r="E77" s="25">
        <v>1849290.0</v>
      </c>
      <c r="F77" s="25">
        <v>1849408.0</v>
      </c>
      <c r="G77" s="25">
        <v>1853686.0</v>
      </c>
      <c r="H77" s="25">
        <v>1854302.0</v>
      </c>
      <c r="I77" s="25">
        <v>1854468.0</v>
      </c>
      <c r="J77" s="25">
        <v>1854714.0</v>
      </c>
      <c r="K77" s="25">
        <v>1854919.0</v>
      </c>
      <c r="L77" s="25">
        <v>2500531.0</v>
      </c>
      <c r="M77" s="25">
        <v>3081805.0</v>
      </c>
      <c r="P77" s="25">
        <v>1849285.0</v>
      </c>
      <c r="Q77" s="25">
        <v>5.0</v>
      </c>
      <c r="R77" s="25">
        <v>118.0</v>
      </c>
      <c r="S77" s="25">
        <v>4278.0</v>
      </c>
      <c r="T77" s="25">
        <v>616.0</v>
      </c>
      <c r="U77" s="25">
        <v>166.0</v>
      </c>
      <c r="V77" s="25">
        <v>246.0</v>
      </c>
      <c r="W77" s="25">
        <v>205.0</v>
      </c>
      <c r="X77" s="25">
        <v>645612.0</v>
      </c>
      <c r="Y77" s="25">
        <v>581274.0</v>
      </c>
      <c r="Z77" s="25">
        <v>3081805.0</v>
      </c>
      <c r="AB77" s="25">
        <v>1849285.0</v>
      </c>
      <c r="AC77" s="25">
        <v>4.5</v>
      </c>
      <c r="AD77" s="25">
        <v>94.4</v>
      </c>
      <c r="AE77" s="25">
        <v>2994.6</v>
      </c>
      <c r="AF77" s="25">
        <v>369.59999999999997</v>
      </c>
      <c r="AG77" s="25">
        <v>83.0</v>
      </c>
      <c r="AH77" s="25">
        <v>98.4</v>
      </c>
      <c r="AI77" s="25">
        <v>61.5</v>
      </c>
      <c r="AJ77" s="25">
        <v>129122.40000000001</v>
      </c>
      <c r="AK77" s="25">
        <v>58127.4</v>
      </c>
      <c r="AL77" s="25">
        <v>2040240.7999999998</v>
      </c>
      <c r="AM77" s="39">
        <v>0.03566903935185185</v>
      </c>
    </row>
    <row r="78">
      <c r="A78" s="73" t="s">
        <v>212</v>
      </c>
      <c r="B78" s="74">
        <v>108.0</v>
      </c>
      <c r="C78" s="25">
        <v>3011385.0</v>
      </c>
      <c r="D78" s="25">
        <v>3011559.0</v>
      </c>
      <c r="E78" s="25">
        <v>3013795.0</v>
      </c>
      <c r="F78" s="25">
        <v>3017626.0</v>
      </c>
      <c r="G78" s="25">
        <v>3017828.0</v>
      </c>
      <c r="H78" s="25">
        <v>3018006.0</v>
      </c>
      <c r="I78" s="25">
        <v>3018649.0</v>
      </c>
      <c r="J78" s="25">
        <v>3019263.0</v>
      </c>
      <c r="K78" s="25">
        <v>3199406.0</v>
      </c>
      <c r="L78" s="25">
        <v>4566162.0</v>
      </c>
      <c r="M78" s="25">
        <v>7531952.0</v>
      </c>
      <c r="P78" s="25">
        <v>3011559.0</v>
      </c>
      <c r="Q78" s="25">
        <v>2236.0</v>
      </c>
      <c r="R78" s="25">
        <v>3831.0</v>
      </c>
      <c r="S78" s="25">
        <v>202.0</v>
      </c>
      <c r="T78" s="25">
        <v>178.0</v>
      </c>
      <c r="U78" s="25">
        <v>643.0</v>
      </c>
      <c r="V78" s="25">
        <v>614.0</v>
      </c>
      <c r="W78" s="25">
        <v>180143.0</v>
      </c>
      <c r="X78" s="25">
        <v>1366756.0</v>
      </c>
      <c r="Y78" s="25">
        <v>2965790.0</v>
      </c>
      <c r="Z78" s="25">
        <v>7531952.0</v>
      </c>
      <c r="AB78" s="25">
        <v>3011559.0</v>
      </c>
      <c r="AC78" s="25">
        <v>2012.4</v>
      </c>
      <c r="AD78" s="25">
        <v>3064.8</v>
      </c>
      <c r="AE78" s="25">
        <v>141.39999999999998</v>
      </c>
      <c r="AF78" s="25">
        <v>106.8</v>
      </c>
      <c r="AG78" s="25">
        <v>321.5</v>
      </c>
      <c r="AH78" s="25">
        <v>245.60000000000002</v>
      </c>
      <c r="AI78" s="25">
        <v>54042.9</v>
      </c>
      <c r="AJ78" s="25">
        <v>273351.2</v>
      </c>
      <c r="AK78" s="25">
        <v>296579.0</v>
      </c>
      <c r="AL78" s="25">
        <v>3641424.5999999996</v>
      </c>
      <c r="AM78" s="39">
        <v>0.08717537037037038</v>
      </c>
    </row>
    <row r="79">
      <c r="A79" s="73" t="s">
        <v>213</v>
      </c>
      <c r="B79" s="74">
        <v>109.0</v>
      </c>
      <c r="C79" s="25">
        <v>2940595.0</v>
      </c>
      <c r="D79" s="25">
        <v>2940953.0</v>
      </c>
      <c r="E79" s="25">
        <v>2943296.0</v>
      </c>
      <c r="F79" s="25">
        <v>2947935.0</v>
      </c>
      <c r="G79" s="25">
        <v>2948118.0</v>
      </c>
      <c r="H79" s="25">
        <v>2948929.0</v>
      </c>
      <c r="I79" s="25">
        <v>2949280.0</v>
      </c>
      <c r="J79" s="25">
        <v>2949575.0</v>
      </c>
      <c r="K79" s="25">
        <v>2950232.0</v>
      </c>
      <c r="L79" s="25">
        <v>4578682.0</v>
      </c>
      <c r="M79" s="25">
        <v>4608347.0</v>
      </c>
      <c r="P79" s="25">
        <v>2940953.0</v>
      </c>
      <c r="Q79" s="25">
        <v>2343.0</v>
      </c>
      <c r="R79" s="25">
        <v>4639.0</v>
      </c>
      <c r="S79" s="25">
        <v>183.0</v>
      </c>
      <c r="T79" s="25">
        <v>811.0</v>
      </c>
      <c r="U79" s="25">
        <v>351.0</v>
      </c>
      <c r="V79" s="25">
        <v>295.0</v>
      </c>
      <c r="W79" s="25">
        <v>657.0</v>
      </c>
      <c r="X79" s="25">
        <v>1628450.0</v>
      </c>
      <c r="Y79" s="25">
        <v>29665.0</v>
      </c>
      <c r="Z79" s="25">
        <v>4608347.0</v>
      </c>
      <c r="AB79" s="25">
        <v>2940953.0</v>
      </c>
      <c r="AC79" s="25">
        <v>2108.7000000000003</v>
      </c>
      <c r="AD79" s="25">
        <v>3711.2000000000003</v>
      </c>
      <c r="AE79" s="25">
        <v>128.1</v>
      </c>
      <c r="AF79" s="25">
        <v>486.59999999999997</v>
      </c>
      <c r="AG79" s="25">
        <v>175.5</v>
      </c>
      <c r="AH79" s="25">
        <v>118.0</v>
      </c>
      <c r="AI79" s="25">
        <v>197.1</v>
      </c>
      <c r="AJ79" s="25">
        <v>325690.0</v>
      </c>
      <c r="AK79" s="25">
        <v>2966.5</v>
      </c>
      <c r="AL79" s="25">
        <v>3276534.7000000007</v>
      </c>
      <c r="AM79" s="39">
        <v>0.05333734953703704</v>
      </c>
    </row>
    <row r="80">
      <c r="A80" s="73" t="s">
        <v>214</v>
      </c>
      <c r="B80" s="74">
        <v>110.0</v>
      </c>
      <c r="C80" s="25">
        <v>3061921.0</v>
      </c>
      <c r="D80" s="25">
        <v>3062189.0</v>
      </c>
      <c r="E80" s="25">
        <v>3062623.0</v>
      </c>
      <c r="F80" s="25">
        <v>3062684.0</v>
      </c>
      <c r="G80" s="25">
        <v>3069726.0</v>
      </c>
      <c r="H80" s="25">
        <v>3070232.0</v>
      </c>
      <c r="I80" s="25">
        <v>3070742.0</v>
      </c>
      <c r="J80" s="25">
        <v>3071748.0</v>
      </c>
      <c r="K80" s="25">
        <v>3071895.0</v>
      </c>
      <c r="L80" s="25">
        <v>3194620.0</v>
      </c>
      <c r="M80" s="25">
        <v>5111774.0</v>
      </c>
      <c r="P80" s="25">
        <v>3062189.0</v>
      </c>
      <c r="Q80" s="25">
        <v>434.0</v>
      </c>
      <c r="R80" s="25">
        <v>61.0</v>
      </c>
      <c r="S80" s="25">
        <v>7042.0</v>
      </c>
      <c r="T80" s="25">
        <v>506.0</v>
      </c>
      <c r="U80" s="25">
        <v>510.0</v>
      </c>
      <c r="V80" s="25">
        <v>1006.0</v>
      </c>
      <c r="W80" s="25">
        <v>147.0</v>
      </c>
      <c r="X80" s="25">
        <v>122725.0</v>
      </c>
      <c r="Y80" s="25">
        <v>1917154.0</v>
      </c>
      <c r="Z80" s="25">
        <v>5111774.0</v>
      </c>
      <c r="AB80" s="25">
        <v>3062189.0</v>
      </c>
      <c r="AC80" s="25">
        <v>390.6</v>
      </c>
      <c r="AD80" s="25">
        <v>48.800000000000004</v>
      </c>
      <c r="AE80" s="25">
        <v>4929.4</v>
      </c>
      <c r="AF80" s="25">
        <v>303.59999999999997</v>
      </c>
      <c r="AG80" s="25">
        <v>255.0</v>
      </c>
      <c r="AH80" s="25">
        <v>402.40000000000003</v>
      </c>
      <c r="AI80" s="25">
        <v>44.1</v>
      </c>
      <c r="AJ80" s="25">
        <v>24545.0</v>
      </c>
      <c r="AK80" s="25">
        <v>191715.40000000002</v>
      </c>
      <c r="AL80" s="25">
        <v>3284823.3</v>
      </c>
      <c r="AM80" s="39">
        <v>0.05916405092592592</v>
      </c>
    </row>
    <row r="81" hidden="1">
      <c r="A81" s="73" t="s">
        <v>215</v>
      </c>
      <c r="B81" s="74">
        <v>110.0</v>
      </c>
      <c r="C81" s="25">
        <v>3061921.0</v>
      </c>
      <c r="D81" s="25">
        <v>3062189.0</v>
      </c>
      <c r="E81" s="25">
        <v>3062623.0</v>
      </c>
      <c r="F81" s="25">
        <v>3062684.0</v>
      </c>
      <c r="G81" s="25">
        <v>3069726.0</v>
      </c>
      <c r="H81" s="25">
        <v>3070232.0</v>
      </c>
      <c r="I81" s="25">
        <v>3070742.0</v>
      </c>
      <c r="J81" s="25">
        <v>3071748.0</v>
      </c>
      <c r="K81" s="25">
        <v>3071895.0</v>
      </c>
      <c r="L81" s="25">
        <v>3194620.0</v>
      </c>
      <c r="M81" s="25">
        <v>5111774.0</v>
      </c>
      <c r="P81" s="25">
        <v>3062189.0</v>
      </c>
      <c r="Q81" s="25">
        <v>434.0</v>
      </c>
      <c r="R81" s="25">
        <v>61.0</v>
      </c>
      <c r="S81" s="25">
        <v>7042.0</v>
      </c>
      <c r="T81" s="25">
        <v>506.0</v>
      </c>
      <c r="U81" s="25">
        <v>510.0</v>
      </c>
      <c r="V81" s="25">
        <v>1006.0</v>
      </c>
      <c r="W81" s="25">
        <v>147.0</v>
      </c>
      <c r="X81" s="25">
        <v>122725.0</v>
      </c>
      <c r="Y81" s="25">
        <v>1917154.0</v>
      </c>
      <c r="Z81" s="25">
        <v>5111774.0</v>
      </c>
      <c r="AB81" s="25">
        <v>3062189.0</v>
      </c>
      <c r="AC81" s="25">
        <v>390.6</v>
      </c>
      <c r="AD81" s="25">
        <v>48.800000000000004</v>
      </c>
      <c r="AE81" s="25">
        <v>4929.4</v>
      </c>
      <c r="AF81" s="25">
        <v>303.59999999999997</v>
      </c>
      <c r="AG81" s="25">
        <v>255.0</v>
      </c>
      <c r="AH81" s="25">
        <v>402.40000000000003</v>
      </c>
      <c r="AI81" s="25">
        <v>44.1</v>
      </c>
      <c r="AJ81" s="25">
        <v>24545.0</v>
      </c>
      <c r="AK81" s="25">
        <v>191715.40000000002</v>
      </c>
      <c r="AL81" s="25">
        <v>3284823.3</v>
      </c>
      <c r="AM81" s="39">
        <v>0.10083333333333333</v>
      </c>
    </row>
    <row r="82" hidden="1">
      <c r="A82" s="73" t="s">
        <v>216</v>
      </c>
      <c r="B82" s="74">
        <v>110.0</v>
      </c>
      <c r="C82" s="25">
        <v>3061921.0</v>
      </c>
      <c r="D82" s="25">
        <v>3062189.0</v>
      </c>
      <c r="E82" s="25">
        <v>3062623.0</v>
      </c>
      <c r="F82" s="25">
        <v>3062684.0</v>
      </c>
      <c r="G82" s="25">
        <v>3069726.0</v>
      </c>
      <c r="H82" s="25">
        <v>3070232.0</v>
      </c>
      <c r="I82" s="25">
        <v>3070742.0</v>
      </c>
      <c r="J82" s="25">
        <v>3071748.0</v>
      </c>
      <c r="K82" s="25">
        <v>3071895.0</v>
      </c>
      <c r="L82" s="25">
        <v>3194620.0</v>
      </c>
      <c r="M82" s="25">
        <v>5111774.0</v>
      </c>
      <c r="P82" s="25">
        <v>3062189.0</v>
      </c>
      <c r="Q82" s="25">
        <v>434.0</v>
      </c>
      <c r="R82" s="25">
        <v>61.0</v>
      </c>
      <c r="S82" s="25">
        <v>7042.0</v>
      </c>
      <c r="T82" s="25">
        <v>506.0</v>
      </c>
      <c r="U82" s="25">
        <v>510.0</v>
      </c>
      <c r="V82" s="25">
        <v>1006.0</v>
      </c>
      <c r="W82" s="25">
        <v>147.0</v>
      </c>
      <c r="X82" s="25">
        <v>122725.0</v>
      </c>
      <c r="Y82" s="25">
        <v>1917154.0</v>
      </c>
      <c r="Z82" s="25">
        <v>5111774.0</v>
      </c>
      <c r="AB82" s="25">
        <v>3062189.0</v>
      </c>
      <c r="AC82" s="25">
        <v>390.6</v>
      </c>
      <c r="AD82" s="25">
        <v>48.800000000000004</v>
      </c>
      <c r="AE82" s="25">
        <v>4929.4</v>
      </c>
      <c r="AF82" s="25">
        <v>303.59999999999997</v>
      </c>
      <c r="AG82" s="25">
        <v>255.0</v>
      </c>
      <c r="AH82" s="25">
        <v>402.40000000000003</v>
      </c>
      <c r="AI82" s="25">
        <v>44.1</v>
      </c>
      <c r="AJ82" s="25">
        <v>24545.0</v>
      </c>
      <c r="AK82" s="25">
        <v>191715.40000000002</v>
      </c>
      <c r="AL82" s="25">
        <v>3284823.3</v>
      </c>
      <c r="AM82" s="39">
        <v>0.1425</v>
      </c>
    </row>
    <row r="83" hidden="1">
      <c r="A83" s="73" t="s">
        <v>217</v>
      </c>
      <c r="B83" s="74">
        <v>110.0</v>
      </c>
      <c r="C83" s="25">
        <v>3061921.0</v>
      </c>
      <c r="D83" s="25">
        <v>3062189.0</v>
      </c>
      <c r="E83" s="25">
        <v>3062623.0</v>
      </c>
      <c r="F83" s="25">
        <v>3062684.0</v>
      </c>
      <c r="G83" s="25">
        <v>3069726.0</v>
      </c>
      <c r="H83" s="25">
        <v>3070232.0</v>
      </c>
      <c r="I83" s="25">
        <v>3070742.0</v>
      </c>
      <c r="J83" s="25">
        <v>3071748.0</v>
      </c>
      <c r="K83" s="25">
        <v>3071895.0</v>
      </c>
      <c r="L83" s="25">
        <v>3194620.0</v>
      </c>
      <c r="M83" s="25">
        <v>5111774.0</v>
      </c>
      <c r="P83" s="25">
        <v>3062189.0</v>
      </c>
      <c r="Q83" s="25">
        <v>434.0</v>
      </c>
      <c r="R83" s="25">
        <v>61.0</v>
      </c>
      <c r="S83" s="25">
        <v>7042.0</v>
      </c>
      <c r="T83" s="25">
        <v>506.0</v>
      </c>
      <c r="U83" s="25">
        <v>510.0</v>
      </c>
      <c r="V83" s="25">
        <v>1006.0</v>
      </c>
      <c r="W83" s="25">
        <v>147.0</v>
      </c>
      <c r="X83" s="25">
        <v>122725.0</v>
      </c>
      <c r="Y83" s="25">
        <v>1917154.0</v>
      </c>
      <c r="Z83" s="25">
        <v>5111774.0</v>
      </c>
      <c r="AB83" s="25">
        <v>3062189.0</v>
      </c>
      <c r="AC83" s="25">
        <v>390.6</v>
      </c>
      <c r="AD83" s="25">
        <v>48.800000000000004</v>
      </c>
      <c r="AE83" s="25">
        <v>4929.4</v>
      </c>
      <c r="AF83" s="25">
        <v>303.59999999999997</v>
      </c>
      <c r="AG83" s="25">
        <v>255.0</v>
      </c>
      <c r="AH83" s="25">
        <v>402.40000000000003</v>
      </c>
      <c r="AI83" s="25">
        <v>44.1</v>
      </c>
      <c r="AJ83" s="25">
        <v>24545.0</v>
      </c>
      <c r="AK83" s="25">
        <v>191715.40000000002</v>
      </c>
      <c r="AL83" s="25">
        <v>3284823.3</v>
      </c>
      <c r="AM83" s="39">
        <v>0.18416666666666667</v>
      </c>
    </row>
    <row r="84" hidden="1">
      <c r="A84" s="73" t="s">
        <v>218</v>
      </c>
      <c r="B84" s="74">
        <v>110.0</v>
      </c>
      <c r="C84" s="25">
        <v>3061921.0</v>
      </c>
      <c r="D84" s="25">
        <v>3062189.0</v>
      </c>
      <c r="E84" s="25">
        <v>3062623.0</v>
      </c>
      <c r="F84" s="25">
        <v>3062684.0</v>
      </c>
      <c r="G84" s="25">
        <v>3069726.0</v>
      </c>
      <c r="H84" s="25">
        <v>3070232.0</v>
      </c>
      <c r="I84" s="25">
        <v>3070742.0</v>
      </c>
      <c r="J84" s="25">
        <v>3071748.0</v>
      </c>
      <c r="K84" s="25">
        <v>3071895.0</v>
      </c>
      <c r="L84" s="25">
        <v>3194620.0</v>
      </c>
      <c r="M84" s="25">
        <v>5111774.0</v>
      </c>
      <c r="P84" s="25">
        <v>3062189.0</v>
      </c>
      <c r="Q84" s="25">
        <v>434.0</v>
      </c>
      <c r="R84" s="25">
        <v>61.0</v>
      </c>
      <c r="S84" s="25">
        <v>7042.0</v>
      </c>
      <c r="T84" s="25">
        <v>506.0</v>
      </c>
      <c r="U84" s="25">
        <v>510.0</v>
      </c>
      <c r="V84" s="25">
        <v>1006.0</v>
      </c>
      <c r="W84" s="25">
        <v>147.0</v>
      </c>
      <c r="X84" s="25">
        <v>122725.0</v>
      </c>
      <c r="Y84" s="25">
        <v>1917154.0</v>
      </c>
      <c r="Z84" s="25">
        <v>5111774.0</v>
      </c>
      <c r="AB84" s="25">
        <v>3062189.0</v>
      </c>
      <c r="AC84" s="25">
        <v>390.6</v>
      </c>
      <c r="AD84" s="25">
        <v>48.800000000000004</v>
      </c>
      <c r="AE84" s="25">
        <v>4929.4</v>
      </c>
      <c r="AF84" s="25">
        <v>303.59999999999997</v>
      </c>
      <c r="AG84" s="25">
        <v>255.0</v>
      </c>
      <c r="AH84" s="25">
        <v>402.40000000000003</v>
      </c>
      <c r="AI84" s="25">
        <v>44.1</v>
      </c>
      <c r="AJ84" s="25">
        <v>24545.0</v>
      </c>
      <c r="AK84" s="25">
        <v>191715.40000000002</v>
      </c>
      <c r="AL84" s="25">
        <v>3284823.3</v>
      </c>
      <c r="AM84" s="39">
        <v>0.22583333333333333</v>
      </c>
    </row>
    <row r="85" hidden="1">
      <c r="A85" s="73" t="s">
        <v>219</v>
      </c>
      <c r="B85" s="74">
        <v>110.0</v>
      </c>
      <c r="C85" s="25">
        <v>3061921.0</v>
      </c>
      <c r="D85" s="25">
        <v>3062189.0</v>
      </c>
      <c r="E85" s="25">
        <v>3062623.0</v>
      </c>
      <c r="F85" s="25">
        <v>3062684.0</v>
      </c>
      <c r="G85" s="25">
        <v>3069726.0</v>
      </c>
      <c r="H85" s="25">
        <v>3070232.0</v>
      </c>
      <c r="I85" s="25">
        <v>3070742.0</v>
      </c>
      <c r="J85" s="25">
        <v>3071748.0</v>
      </c>
      <c r="K85" s="25">
        <v>3071895.0</v>
      </c>
      <c r="L85" s="25">
        <v>3194620.0</v>
      </c>
      <c r="M85" s="25">
        <v>5111774.0</v>
      </c>
      <c r="P85" s="25">
        <v>3062189.0</v>
      </c>
      <c r="Q85" s="25">
        <v>434.0</v>
      </c>
      <c r="R85" s="25">
        <v>61.0</v>
      </c>
      <c r="S85" s="25">
        <v>7042.0</v>
      </c>
      <c r="T85" s="25">
        <v>506.0</v>
      </c>
      <c r="U85" s="25">
        <v>510.0</v>
      </c>
      <c r="V85" s="25">
        <v>1006.0</v>
      </c>
      <c r="W85" s="25">
        <v>147.0</v>
      </c>
      <c r="X85" s="25">
        <v>122725.0</v>
      </c>
      <c r="Y85" s="25">
        <v>1917154.0</v>
      </c>
      <c r="Z85" s="25">
        <v>5111774.0</v>
      </c>
      <c r="AB85" s="25">
        <v>3062189.0</v>
      </c>
      <c r="AC85" s="25">
        <v>390.6</v>
      </c>
      <c r="AD85" s="25">
        <v>48.800000000000004</v>
      </c>
      <c r="AE85" s="25">
        <v>4929.4</v>
      </c>
      <c r="AF85" s="25">
        <v>303.59999999999997</v>
      </c>
      <c r="AG85" s="25">
        <v>255.0</v>
      </c>
      <c r="AH85" s="25">
        <v>402.40000000000003</v>
      </c>
      <c r="AI85" s="25">
        <v>44.1</v>
      </c>
      <c r="AJ85" s="25">
        <v>24545.0</v>
      </c>
      <c r="AK85" s="25">
        <v>191715.40000000002</v>
      </c>
      <c r="AL85" s="25">
        <v>3284823.3</v>
      </c>
      <c r="AM85" s="39">
        <v>0.2675</v>
      </c>
    </row>
    <row r="86" hidden="1">
      <c r="A86" s="73"/>
      <c r="B86" s="74">
        <v>110.0</v>
      </c>
      <c r="C86" s="25">
        <v>3061921.0</v>
      </c>
      <c r="D86" s="25">
        <v>3062189.0</v>
      </c>
      <c r="E86" s="25">
        <v>3062623.0</v>
      </c>
      <c r="F86" s="25">
        <v>3062684.0</v>
      </c>
      <c r="G86" s="25">
        <v>3069726.0</v>
      </c>
      <c r="H86" s="25">
        <v>3070232.0</v>
      </c>
      <c r="I86" s="25">
        <v>3070742.0</v>
      </c>
      <c r="J86" s="25">
        <v>3071748.0</v>
      </c>
      <c r="K86" s="25">
        <v>3071895.0</v>
      </c>
      <c r="L86" s="25">
        <v>3194620.0</v>
      </c>
      <c r="M86" s="25">
        <v>5111774.0</v>
      </c>
      <c r="P86" s="25">
        <v>3062189.0</v>
      </c>
      <c r="Q86" s="25">
        <v>434.0</v>
      </c>
      <c r="R86" s="25">
        <v>61.0</v>
      </c>
      <c r="S86" s="25">
        <v>7042.0</v>
      </c>
      <c r="T86" s="25">
        <v>506.0</v>
      </c>
      <c r="U86" s="25">
        <v>510.0</v>
      </c>
      <c r="V86" s="25">
        <v>1006.0</v>
      </c>
      <c r="W86" s="25">
        <v>147.0</v>
      </c>
      <c r="X86" s="25">
        <v>122725.0</v>
      </c>
      <c r="Y86" s="25">
        <v>1917154.0</v>
      </c>
      <c r="Z86" s="25">
        <v>5111774.0</v>
      </c>
      <c r="AB86" s="25">
        <v>3062189.0</v>
      </c>
      <c r="AC86" s="25">
        <v>390.6</v>
      </c>
      <c r="AD86" s="25">
        <v>48.800000000000004</v>
      </c>
      <c r="AE86" s="25">
        <v>4929.4</v>
      </c>
      <c r="AF86" s="25">
        <v>303.59999999999997</v>
      </c>
      <c r="AG86" s="25">
        <v>255.0</v>
      </c>
      <c r="AH86" s="25">
        <v>402.40000000000003</v>
      </c>
      <c r="AI86" s="25">
        <v>44.1</v>
      </c>
      <c r="AJ86" s="25">
        <v>24545.0</v>
      </c>
      <c r="AK86" s="25">
        <v>191715.40000000002</v>
      </c>
      <c r="AL86" s="25">
        <v>3284823.3</v>
      </c>
      <c r="AM86" s="39">
        <v>0.30916666666666665</v>
      </c>
    </row>
    <row r="87" hidden="1">
      <c r="A87" s="73"/>
      <c r="B87" s="74">
        <v>110.0</v>
      </c>
      <c r="C87" s="25">
        <v>3061921.0</v>
      </c>
      <c r="D87" s="25">
        <v>3062189.0</v>
      </c>
      <c r="E87" s="25">
        <v>3062623.0</v>
      </c>
      <c r="F87" s="25">
        <v>3062684.0</v>
      </c>
      <c r="G87" s="25">
        <v>3069726.0</v>
      </c>
      <c r="H87" s="25">
        <v>3070232.0</v>
      </c>
      <c r="I87" s="25">
        <v>3070742.0</v>
      </c>
      <c r="J87" s="25">
        <v>3071748.0</v>
      </c>
      <c r="K87" s="25">
        <v>3071895.0</v>
      </c>
      <c r="L87" s="25">
        <v>3194620.0</v>
      </c>
      <c r="M87" s="25">
        <v>5111774.0</v>
      </c>
      <c r="P87" s="25">
        <v>3062189.0</v>
      </c>
      <c r="Q87" s="25">
        <v>434.0</v>
      </c>
      <c r="R87" s="25">
        <v>61.0</v>
      </c>
      <c r="S87" s="25">
        <v>7042.0</v>
      </c>
      <c r="T87" s="25">
        <v>506.0</v>
      </c>
      <c r="U87" s="25">
        <v>510.0</v>
      </c>
      <c r="V87" s="25">
        <v>1006.0</v>
      </c>
      <c r="W87" s="25">
        <v>147.0</v>
      </c>
      <c r="X87" s="25">
        <v>122725.0</v>
      </c>
      <c r="Y87" s="25">
        <v>1917154.0</v>
      </c>
      <c r="Z87" s="25">
        <v>5111774.0</v>
      </c>
      <c r="AB87" s="25">
        <v>3062189.0</v>
      </c>
      <c r="AC87" s="25">
        <v>390.6</v>
      </c>
      <c r="AD87" s="25">
        <v>48.800000000000004</v>
      </c>
      <c r="AE87" s="25">
        <v>4929.4</v>
      </c>
      <c r="AF87" s="25">
        <v>303.59999999999997</v>
      </c>
      <c r="AG87" s="25">
        <v>255.0</v>
      </c>
      <c r="AH87" s="25">
        <v>402.40000000000003</v>
      </c>
      <c r="AI87" s="25">
        <v>44.1</v>
      </c>
      <c r="AJ87" s="25">
        <v>24545.0</v>
      </c>
      <c r="AK87" s="25">
        <v>191715.40000000002</v>
      </c>
      <c r="AL87" s="25">
        <v>3284823.3</v>
      </c>
      <c r="AM87" s="39">
        <v>0.35083333333333333</v>
      </c>
    </row>
    <row r="88" hidden="1">
      <c r="A88" s="73"/>
      <c r="B88" s="74">
        <v>110.0</v>
      </c>
      <c r="C88" s="25">
        <v>3061921.0</v>
      </c>
      <c r="D88" s="25">
        <v>3062189.0</v>
      </c>
      <c r="E88" s="25">
        <v>3062623.0</v>
      </c>
      <c r="F88" s="25">
        <v>3062684.0</v>
      </c>
      <c r="G88" s="25">
        <v>3069726.0</v>
      </c>
      <c r="H88" s="25">
        <v>3070232.0</v>
      </c>
      <c r="I88" s="25">
        <v>3070742.0</v>
      </c>
      <c r="J88" s="25">
        <v>3071748.0</v>
      </c>
      <c r="K88" s="25">
        <v>3071895.0</v>
      </c>
      <c r="L88" s="25">
        <v>3194620.0</v>
      </c>
      <c r="M88" s="25">
        <v>5111774.0</v>
      </c>
      <c r="P88" s="25">
        <v>3062189.0</v>
      </c>
      <c r="Q88" s="25">
        <v>434.0</v>
      </c>
      <c r="R88" s="25">
        <v>61.0</v>
      </c>
      <c r="S88" s="25">
        <v>7042.0</v>
      </c>
      <c r="T88" s="25">
        <v>506.0</v>
      </c>
      <c r="U88" s="25">
        <v>510.0</v>
      </c>
      <c r="V88" s="25">
        <v>1006.0</v>
      </c>
      <c r="W88" s="25">
        <v>147.0</v>
      </c>
      <c r="X88" s="25">
        <v>122725.0</v>
      </c>
      <c r="Y88" s="25">
        <v>1917154.0</v>
      </c>
      <c r="Z88" s="25">
        <v>5111774.0</v>
      </c>
      <c r="AB88" s="25">
        <v>3062189.0</v>
      </c>
      <c r="AC88" s="25">
        <v>390.6</v>
      </c>
      <c r="AD88" s="25">
        <v>48.800000000000004</v>
      </c>
      <c r="AE88" s="25">
        <v>4929.4</v>
      </c>
      <c r="AF88" s="25">
        <v>303.59999999999997</v>
      </c>
      <c r="AG88" s="25">
        <v>255.0</v>
      </c>
      <c r="AH88" s="25">
        <v>402.40000000000003</v>
      </c>
      <c r="AI88" s="25">
        <v>44.1</v>
      </c>
      <c r="AJ88" s="25">
        <v>24545.0</v>
      </c>
      <c r="AK88" s="25">
        <v>191715.40000000002</v>
      </c>
      <c r="AL88" s="25">
        <v>3284823.3</v>
      </c>
      <c r="AM88" s="39">
        <v>0.3925</v>
      </c>
    </row>
    <row r="89" hidden="1">
      <c r="A89" s="73"/>
      <c r="B89" s="74">
        <v>110.0</v>
      </c>
      <c r="C89" s="25">
        <v>3061921.0</v>
      </c>
      <c r="D89" s="25">
        <v>3062189.0</v>
      </c>
      <c r="E89" s="25">
        <v>3062623.0</v>
      </c>
      <c r="F89" s="25">
        <v>3062684.0</v>
      </c>
      <c r="G89" s="25">
        <v>3069726.0</v>
      </c>
      <c r="H89" s="25">
        <v>3070232.0</v>
      </c>
      <c r="I89" s="25">
        <v>3070742.0</v>
      </c>
      <c r="J89" s="25">
        <v>3071748.0</v>
      </c>
      <c r="K89" s="25">
        <v>3071895.0</v>
      </c>
      <c r="L89" s="25">
        <v>3194620.0</v>
      </c>
      <c r="M89" s="25">
        <v>5111774.0</v>
      </c>
      <c r="P89" s="25">
        <v>3062189.0</v>
      </c>
      <c r="Q89" s="25">
        <v>434.0</v>
      </c>
      <c r="R89" s="25">
        <v>61.0</v>
      </c>
      <c r="S89" s="25">
        <v>7042.0</v>
      </c>
      <c r="T89" s="25">
        <v>506.0</v>
      </c>
      <c r="U89" s="25">
        <v>510.0</v>
      </c>
      <c r="V89" s="25">
        <v>1006.0</v>
      </c>
      <c r="W89" s="25">
        <v>147.0</v>
      </c>
      <c r="X89" s="25">
        <v>122725.0</v>
      </c>
      <c r="Y89" s="25">
        <v>1917154.0</v>
      </c>
      <c r="Z89" s="25">
        <v>5111774.0</v>
      </c>
      <c r="AB89" s="25">
        <v>3062189.0</v>
      </c>
      <c r="AC89" s="25">
        <v>390.6</v>
      </c>
      <c r="AD89" s="25">
        <v>48.800000000000004</v>
      </c>
      <c r="AE89" s="25">
        <v>4929.4</v>
      </c>
      <c r="AF89" s="25">
        <v>303.59999999999997</v>
      </c>
      <c r="AG89" s="25">
        <v>255.0</v>
      </c>
      <c r="AH89" s="25">
        <v>402.40000000000003</v>
      </c>
      <c r="AI89" s="25">
        <v>44.1</v>
      </c>
      <c r="AJ89" s="25">
        <v>24545.0</v>
      </c>
      <c r="AK89" s="25">
        <v>191715.40000000002</v>
      </c>
      <c r="AL89" s="25">
        <v>3284823.3</v>
      </c>
      <c r="AM89" s="39">
        <v>0.43416666666666665</v>
      </c>
    </row>
    <row r="90" hidden="1">
      <c r="A90" s="73"/>
      <c r="B90" s="74">
        <v>110.0</v>
      </c>
      <c r="C90" s="25">
        <v>3061921.0</v>
      </c>
      <c r="D90" s="25">
        <v>3062189.0</v>
      </c>
      <c r="E90" s="25">
        <v>3062623.0</v>
      </c>
      <c r="F90" s="25">
        <v>3062684.0</v>
      </c>
      <c r="G90" s="25">
        <v>3069726.0</v>
      </c>
      <c r="H90" s="25">
        <v>3070232.0</v>
      </c>
      <c r="I90" s="25">
        <v>3070742.0</v>
      </c>
      <c r="J90" s="25">
        <v>3071748.0</v>
      </c>
      <c r="K90" s="25">
        <v>3071895.0</v>
      </c>
      <c r="L90" s="25">
        <v>3194620.0</v>
      </c>
      <c r="M90" s="25">
        <v>5111774.0</v>
      </c>
      <c r="P90" s="25">
        <v>3062189.0</v>
      </c>
      <c r="Q90" s="25">
        <v>434.0</v>
      </c>
      <c r="R90" s="25">
        <v>61.0</v>
      </c>
      <c r="S90" s="25">
        <v>7042.0</v>
      </c>
      <c r="T90" s="25">
        <v>506.0</v>
      </c>
      <c r="U90" s="25">
        <v>510.0</v>
      </c>
      <c r="V90" s="25">
        <v>1006.0</v>
      </c>
      <c r="W90" s="25">
        <v>147.0</v>
      </c>
      <c r="X90" s="25">
        <v>122725.0</v>
      </c>
      <c r="Y90" s="25">
        <v>1917154.0</v>
      </c>
      <c r="Z90" s="25">
        <v>5111774.0</v>
      </c>
      <c r="AB90" s="25">
        <v>3062189.0</v>
      </c>
      <c r="AC90" s="25">
        <v>390.6</v>
      </c>
      <c r="AD90" s="25">
        <v>48.800000000000004</v>
      </c>
      <c r="AE90" s="25">
        <v>4929.4</v>
      </c>
      <c r="AF90" s="25">
        <v>303.59999999999997</v>
      </c>
      <c r="AG90" s="25">
        <v>255.0</v>
      </c>
      <c r="AH90" s="25">
        <v>402.40000000000003</v>
      </c>
      <c r="AI90" s="25">
        <v>44.1</v>
      </c>
      <c r="AJ90" s="25">
        <v>24545.0</v>
      </c>
      <c r="AK90" s="25">
        <v>191715.40000000002</v>
      </c>
      <c r="AL90" s="25">
        <v>3284823.3</v>
      </c>
      <c r="AM90" s="39">
        <v>0.47583333333333333</v>
      </c>
    </row>
    <row r="91" hidden="1">
      <c r="A91" s="73" t="s">
        <v>220</v>
      </c>
      <c r="B91" s="74">
        <v>110.0</v>
      </c>
      <c r="C91" s="25">
        <v>3061921.0</v>
      </c>
      <c r="D91" s="25">
        <v>3062189.0</v>
      </c>
      <c r="E91" s="25">
        <v>3062623.0</v>
      </c>
      <c r="F91" s="25">
        <v>3062684.0</v>
      </c>
      <c r="G91" s="25">
        <v>3069726.0</v>
      </c>
      <c r="H91" s="25">
        <v>3070232.0</v>
      </c>
      <c r="I91" s="25">
        <v>3070742.0</v>
      </c>
      <c r="J91" s="25">
        <v>3071748.0</v>
      </c>
      <c r="K91" s="25">
        <v>3071895.0</v>
      </c>
      <c r="L91" s="25">
        <v>3194620.0</v>
      </c>
      <c r="M91" s="25">
        <v>5111774.0</v>
      </c>
      <c r="P91" s="25">
        <v>3062189.0</v>
      </c>
      <c r="Q91" s="25">
        <v>434.0</v>
      </c>
      <c r="R91" s="25">
        <v>61.0</v>
      </c>
      <c r="S91" s="25">
        <v>7042.0</v>
      </c>
      <c r="T91" s="25">
        <v>506.0</v>
      </c>
      <c r="U91" s="25">
        <v>510.0</v>
      </c>
      <c r="V91" s="25">
        <v>1006.0</v>
      </c>
      <c r="W91" s="25">
        <v>147.0</v>
      </c>
      <c r="X91" s="25">
        <v>122725.0</v>
      </c>
      <c r="Y91" s="25">
        <v>1917154.0</v>
      </c>
      <c r="Z91" s="25">
        <v>5111774.0</v>
      </c>
      <c r="AB91" s="25">
        <v>3062189.0</v>
      </c>
      <c r="AC91" s="25">
        <v>390.6</v>
      </c>
      <c r="AD91" s="25">
        <v>48.800000000000004</v>
      </c>
      <c r="AE91" s="25">
        <v>4929.4</v>
      </c>
      <c r="AF91" s="25">
        <v>303.59999999999997</v>
      </c>
      <c r="AG91" s="25">
        <v>255.0</v>
      </c>
      <c r="AH91" s="25">
        <v>402.40000000000003</v>
      </c>
      <c r="AI91" s="25">
        <v>44.1</v>
      </c>
      <c r="AJ91" s="25">
        <v>24545.0</v>
      </c>
      <c r="AK91" s="25">
        <v>191715.40000000002</v>
      </c>
      <c r="AL91" s="25">
        <v>3284823.3</v>
      </c>
      <c r="AM91" s="39">
        <v>0.5175</v>
      </c>
    </row>
    <row r="92">
      <c r="A92" s="75" t="s">
        <v>221</v>
      </c>
      <c r="B92" s="74">
        <f>IFERROR(__xludf.DUMMYFUNCTION("split(A92, "" "")"),111.0)</f>
        <v>111</v>
      </c>
      <c r="C92" s="25">
        <f>IFERROR(__xludf.DUMMYFUNCTION("""COMPUTED_VALUE"""),5180793.0)</f>
        <v>5180793</v>
      </c>
      <c r="D92" s="25">
        <f>IFERROR(__xludf.DUMMYFUNCTION("""COMPUTED_VALUE"""),5181290.0)</f>
        <v>5181290</v>
      </c>
      <c r="E92" s="25">
        <f>IFERROR(__xludf.DUMMYFUNCTION("""COMPUTED_VALUE"""),5181487.0)</f>
        <v>5181487</v>
      </c>
      <c r="F92" s="25">
        <f>IFERROR(__xludf.DUMMYFUNCTION("""COMPUTED_VALUE"""),5181518.0)</f>
        <v>5181518</v>
      </c>
      <c r="G92" s="25">
        <f>IFERROR(__xludf.DUMMYFUNCTION("""COMPUTED_VALUE"""),5191117.0)</f>
        <v>5191117</v>
      </c>
      <c r="H92" s="25">
        <f>IFERROR(__xludf.DUMMYFUNCTION("""COMPUTED_VALUE"""),5192056.0)</f>
        <v>5192056</v>
      </c>
      <c r="I92" s="25">
        <f>IFERROR(__xludf.DUMMYFUNCTION("""COMPUTED_VALUE"""),5192188.0)</f>
        <v>5192188</v>
      </c>
      <c r="J92" s="25">
        <f>IFERROR(__xludf.DUMMYFUNCTION("""COMPUTED_VALUE"""),5193328.0)</f>
        <v>5193328</v>
      </c>
      <c r="K92" s="25">
        <f>IFERROR(__xludf.DUMMYFUNCTION("""COMPUTED_VALUE"""),5193947.0)</f>
        <v>5193947</v>
      </c>
      <c r="L92" s="25">
        <f>IFERROR(__xludf.DUMMYFUNCTION("""COMPUTED_VALUE"""),6168589.0)</f>
        <v>6168589</v>
      </c>
      <c r="M92" s="25">
        <f>IFERROR(__xludf.DUMMYFUNCTION("""COMPUTED_VALUE"""),8676048.0)</f>
        <v>8676048</v>
      </c>
      <c r="P92" s="25">
        <f t="shared" ref="P92:P100" si="3">D92</f>
        <v>5181290</v>
      </c>
      <c r="Q92" s="25">
        <f t="shared" ref="Q92:Y92" si="1">E92-D92</f>
        <v>197</v>
      </c>
      <c r="R92" s="25">
        <f t="shared" si="1"/>
        <v>31</v>
      </c>
      <c r="S92" s="25">
        <f t="shared" si="1"/>
        <v>9599</v>
      </c>
      <c r="T92" s="25">
        <f t="shared" si="1"/>
        <v>939</v>
      </c>
      <c r="U92" s="25">
        <f t="shared" si="1"/>
        <v>132</v>
      </c>
      <c r="V92" s="25">
        <f t="shared" si="1"/>
        <v>1140</v>
      </c>
      <c r="W92" s="25">
        <f t="shared" si="1"/>
        <v>619</v>
      </c>
      <c r="X92" s="25">
        <f t="shared" si="1"/>
        <v>974642</v>
      </c>
      <c r="Y92" s="25">
        <f t="shared" si="1"/>
        <v>2507459</v>
      </c>
      <c r="Z92" s="25">
        <f t="shared" ref="Z92:Z100" si="5">sum(P92:Y92)</f>
        <v>8676048</v>
      </c>
      <c r="AB92" s="25">
        <f t="shared" ref="AB92:AK92" si="2">P92*P$1/10</f>
        <v>5181290</v>
      </c>
      <c r="AC92" s="25">
        <f t="shared" si="2"/>
        <v>177.3</v>
      </c>
      <c r="AD92" s="25">
        <f t="shared" si="2"/>
        <v>24.8</v>
      </c>
      <c r="AE92" s="25">
        <f t="shared" si="2"/>
        <v>6719.3</v>
      </c>
      <c r="AF92" s="25">
        <f t="shared" si="2"/>
        <v>563.4</v>
      </c>
      <c r="AG92" s="25">
        <f t="shared" si="2"/>
        <v>66</v>
      </c>
      <c r="AH92" s="25">
        <f t="shared" si="2"/>
        <v>456</v>
      </c>
      <c r="AI92" s="25">
        <f t="shared" si="2"/>
        <v>185.7</v>
      </c>
      <c r="AJ92" s="25">
        <f t="shared" si="2"/>
        <v>194928.4</v>
      </c>
      <c r="AK92" s="25">
        <f t="shared" si="2"/>
        <v>250745.9</v>
      </c>
      <c r="AL92" s="25">
        <f t="shared" ref="AL92:AL100" si="7">sum(AB92:AK92)</f>
        <v>5635156.8</v>
      </c>
      <c r="AM92" s="39">
        <f t="shared" ref="AM92:AM100" si="8">Z92*AN$1</f>
        <v>0.1004172222</v>
      </c>
    </row>
    <row r="93">
      <c r="A93" s="75" t="s">
        <v>222</v>
      </c>
      <c r="B93" s="74">
        <f>IFERROR(__xludf.DUMMYFUNCTION("split(A93, "" "")"),112.0)</f>
        <v>112</v>
      </c>
      <c r="C93" s="25">
        <f>IFERROR(__xludf.DUMMYFUNCTION("""COMPUTED_VALUE"""),8943859.0)</f>
        <v>8943859</v>
      </c>
      <c r="D93" s="25">
        <f>IFERROR(__xludf.DUMMYFUNCTION("""COMPUTED_VALUE"""),8945452.0)</f>
        <v>8945452</v>
      </c>
      <c r="E93" s="25">
        <f>IFERROR(__xludf.DUMMYFUNCTION("""COMPUTED_VALUE"""),8946093.0)</f>
        <v>8946093</v>
      </c>
      <c r="F93" s="25">
        <f>IFERROR(__xludf.DUMMYFUNCTION("""COMPUTED_VALUE"""),8946962.0)</f>
        <v>8946962</v>
      </c>
      <c r="G93" s="25">
        <f>IFERROR(__xludf.DUMMYFUNCTION("""COMPUTED_VALUE"""),8947494.0)</f>
        <v>8947494</v>
      </c>
      <c r="H93" s="25">
        <f>IFERROR(__xludf.DUMMYFUNCTION("""COMPUTED_VALUE"""),8951006.0)</f>
        <v>8951006</v>
      </c>
      <c r="I93" s="25">
        <f>IFERROR(__xludf.DUMMYFUNCTION("""COMPUTED_VALUE"""),8954143.0)</f>
        <v>8954143</v>
      </c>
      <c r="J93" s="25">
        <f>IFERROR(__xludf.DUMMYFUNCTION("""COMPUTED_VALUE"""),8956531.0)</f>
        <v>8956531</v>
      </c>
      <c r="K93" s="25">
        <f>IFERROR(__xludf.DUMMYFUNCTION("""COMPUTED_VALUE"""),8957208.0)</f>
        <v>8957208</v>
      </c>
      <c r="L93" s="25">
        <f>IFERROR(__xludf.DUMMYFUNCTION("""COMPUTED_VALUE"""),8957244.0)</f>
        <v>8957244</v>
      </c>
      <c r="M93" s="25">
        <f>IFERROR(__xludf.DUMMYFUNCTION("""COMPUTED_VALUE"""),1.1966761E7)</f>
        <v>11966761</v>
      </c>
      <c r="P93" s="25">
        <f t="shared" si="3"/>
        <v>8945452</v>
      </c>
      <c r="Q93" s="25">
        <f t="shared" ref="Q93:Y93" si="4">E93-D93</f>
        <v>641</v>
      </c>
      <c r="R93" s="25">
        <f t="shared" si="4"/>
        <v>869</v>
      </c>
      <c r="S93" s="25">
        <f t="shared" si="4"/>
        <v>532</v>
      </c>
      <c r="T93" s="25">
        <f t="shared" si="4"/>
        <v>3512</v>
      </c>
      <c r="U93" s="25">
        <f t="shared" si="4"/>
        <v>3137</v>
      </c>
      <c r="V93" s="25">
        <f t="shared" si="4"/>
        <v>2388</v>
      </c>
      <c r="W93" s="25">
        <f t="shared" si="4"/>
        <v>677</v>
      </c>
      <c r="X93" s="25">
        <f t="shared" si="4"/>
        <v>36</v>
      </c>
      <c r="Y93" s="25">
        <f t="shared" si="4"/>
        <v>3009517</v>
      </c>
      <c r="Z93" s="25">
        <f t="shared" si="5"/>
        <v>11966761</v>
      </c>
      <c r="AB93" s="25">
        <f t="shared" ref="AB93:AK93" si="6">P93*P$1/10</f>
        <v>8945452</v>
      </c>
      <c r="AC93" s="25">
        <f t="shared" si="6"/>
        <v>576.9</v>
      </c>
      <c r="AD93" s="25">
        <f t="shared" si="6"/>
        <v>695.2</v>
      </c>
      <c r="AE93" s="25">
        <f t="shared" si="6"/>
        <v>372.4</v>
      </c>
      <c r="AF93" s="25">
        <f t="shared" si="6"/>
        <v>2107.2</v>
      </c>
      <c r="AG93" s="25">
        <f t="shared" si="6"/>
        <v>1568.5</v>
      </c>
      <c r="AH93" s="25">
        <f t="shared" si="6"/>
        <v>955.2</v>
      </c>
      <c r="AI93" s="25">
        <f t="shared" si="6"/>
        <v>203.1</v>
      </c>
      <c r="AJ93" s="25">
        <f t="shared" si="6"/>
        <v>7.2</v>
      </c>
      <c r="AK93" s="25">
        <f t="shared" si="6"/>
        <v>300951.7</v>
      </c>
      <c r="AL93" s="25">
        <f t="shared" si="7"/>
        <v>9252889.4</v>
      </c>
      <c r="AM93" s="39">
        <f t="shared" si="8"/>
        <v>0.1385041782</v>
      </c>
    </row>
    <row r="94">
      <c r="A94" s="75" t="s">
        <v>223</v>
      </c>
      <c r="B94" s="74">
        <f>IFERROR(__xludf.DUMMYFUNCTION("split(A94, "" "")"),113.0)</f>
        <v>113</v>
      </c>
      <c r="C94" s="25">
        <f>IFERROR(__xludf.DUMMYFUNCTION("""COMPUTED_VALUE"""),5919729.0)</f>
        <v>5919729</v>
      </c>
      <c r="D94" s="25">
        <f>IFERROR(__xludf.DUMMYFUNCTION("""COMPUTED_VALUE"""),5919763.0)</f>
        <v>5919763</v>
      </c>
      <c r="E94" s="25">
        <f>IFERROR(__xludf.DUMMYFUNCTION("""COMPUTED_VALUE"""),5924470.0)</f>
        <v>5924470</v>
      </c>
      <c r="F94" s="25">
        <f>IFERROR(__xludf.DUMMYFUNCTION("""COMPUTED_VALUE"""),5934408.0)</f>
        <v>5934408</v>
      </c>
      <c r="G94" s="25">
        <f>IFERROR(__xludf.DUMMYFUNCTION("""COMPUTED_VALUE"""),5934472.0)</f>
        <v>5934472</v>
      </c>
      <c r="H94" s="25">
        <f>IFERROR(__xludf.DUMMYFUNCTION("""COMPUTED_VALUE"""),5934702.0)</f>
        <v>5934702</v>
      </c>
      <c r="I94" s="25">
        <f>IFERROR(__xludf.DUMMYFUNCTION("""COMPUTED_VALUE"""),5936175.0)</f>
        <v>5936175</v>
      </c>
      <c r="J94" s="25">
        <f>IFERROR(__xludf.DUMMYFUNCTION("""COMPUTED_VALUE"""),5936706.0)</f>
        <v>5936706</v>
      </c>
      <c r="K94" s="25">
        <f>IFERROR(__xludf.DUMMYFUNCTION("""COMPUTED_VALUE"""),6050954.0)</f>
        <v>6050954</v>
      </c>
      <c r="L94" s="25">
        <f>IFERROR(__xludf.DUMMYFUNCTION("""COMPUTED_VALUE"""),8552222.0)</f>
        <v>8552222</v>
      </c>
      <c r="M94" s="25">
        <f>IFERROR(__xludf.DUMMYFUNCTION("""COMPUTED_VALUE"""),1.8784297E7)</f>
        <v>18784297</v>
      </c>
      <c r="P94" s="25">
        <f t="shared" si="3"/>
        <v>5919763</v>
      </c>
      <c r="Q94" s="25">
        <f t="shared" ref="Q94:Y94" si="9">E94-D94</f>
        <v>4707</v>
      </c>
      <c r="R94" s="25">
        <f t="shared" si="9"/>
        <v>9938</v>
      </c>
      <c r="S94" s="25">
        <f t="shared" si="9"/>
        <v>64</v>
      </c>
      <c r="T94" s="25">
        <f t="shared" si="9"/>
        <v>230</v>
      </c>
      <c r="U94" s="25">
        <f t="shared" si="9"/>
        <v>1473</v>
      </c>
      <c r="V94" s="25">
        <f t="shared" si="9"/>
        <v>531</v>
      </c>
      <c r="W94" s="25">
        <f t="shared" si="9"/>
        <v>114248</v>
      </c>
      <c r="X94" s="25">
        <f t="shared" si="9"/>
        <v>2501268</v>
      </c>
      <c r="Y94" s="25">
        <f t="shared" si="9"/>
        <v>10232075</v>
      </c>
      <c r="Z94" s="25">
        <f t="shared" si="5"/>
        <v>18784297</v>
      </c>
      <c r="AB94" s="25">
        <f t="shared" ref="AB94:AK94" si="10">P94*P$1/10</f>
        <v>5919763</v>
      </c>
      <c r="AC94" s="25">
        <f t="shared" si="10"/>
        <v>4236.3</v>
      </c>
      <c r="AD94" s="25">
        <f t="shared" si="10"/>
        <v>7950.4</v>
      </c>
      <c r="AE94" s="25">
        <f t="shared" si="10"/>
        <v>44.8</v>
      </c>
      <c r="AF94" s="25">
        <f t="shared" si="10"/>
        <v>138</v>
      </c>
      <c r="AG94" s="25">
        <f t="shared" si="10"/>
        <v>736.5</v>
      </c>
      <c r="AH94" s="25">
        <f t="shared" si="10"/>
        <v>212.4</v>
      </c>
      <c r="AI94" s="25">
        <f t="shared" si="10"/>
        <v>34274.4</v>
      </c>
      <c r="AJ94" s="25">
        <f t="shared" si="10"/>
        <v>500253.6</v>
      </c>
      <c r="AK94" s="25">
        <f t="shared" si="10"/>
        <v>1023207.5</v>
      </c>
      <c r="AL94" s="25">
        <f t="shared" si="7"/>
        <v>7490816.9</v>
      </c>
      <c r="AM94" s="39">
        <f t="shared" si="8"/>
        <v>0.2174108449</v>
      </c>
    </row>
    <row r="95">
      <c r="A95" s="75" t="s">
        <v>224</v>
      </c>
      <c r="B95" s="74">
        <f>IFERROR(__xludf.DUMMYFUNCTION("split(A95, "" "")"),114.0)</f>
        <v>114</v>
      </c>
      <c r="C95" s="25">
        <f>IFERROR(__xludf.DUMMYFUNCTION("""COMPUTED_VALUE"""),7305075.0)</f>
        <v>7305075</v>
      </c>
      <c r="D95" s="25">
        <f>IFERROR(__xludf.DUMMYFUNCTION("""COMPUTED_VALUE"""),7305751.0)</f>
        <v>7305751</v>
      </c>
      <c r="E95" s="25">
        <f>IFERROR(__xludf.DUMMYFUNCTION("""COMPUTED_VALUE"""),7306093.0)</f>
        <v>7306093</v>
      </c>
      <c r="F95" s="25">
        <f>IFERROR(__xludf.DUMMYFUNCTION("""COMPUTED_VALUE"""),7306570.0)</f>
        <v>7306570</v>
      </c>
      <c r="G95" s="25">
        <f>IFERROR(__xludf.DUMMYFUNCTION("""COMPUTED_VALUE"""),7320812.0)</f>
        <v>7320812</v>
      </c>
      <c r="H95" s="25">
        <f>IFERROR(__xludf.DUMMYFUNCTION("""COMPUTED_VALUE"""),7322010.0)</f>
        <v>7322010</v>
      </c>
      <c r="I95" s="25">
        <f>IFERROR(__xludf.DUMMYFUNCTION("""COMPUTED_VALUE"""),7322358.0)</f>
        <v>7322358</v>
      </c>
      <c r="J95" s="25">
        <f>IFERROR(__xludf.DUMMYFUNCTION("""COMPUTED_VALUE"""),7323432.0)</f>
        <v>7323432</v>
      </c>
      <c r="K95" s="25">
        <f>IFERROR(__xludf.DUMMYFUNCTION("""COMPUTED_VALUE"""),7324635.0)</f>
        <v>7324635</v>
      </c>
      <c r="L95" s="25">
        <f>IFERROR(__xludf.DUMMYFUNCTION("""COMPUTED_VALUE"""),7887152.0)</f>
        <v>7887152</v>
      </c>
      <c r="M95" s="25">
        <f>IFERROR(__xludf.DUMMYFUNCTION("""COMPUTED_VALUE"""),1.2595511E7)</f>
        <v>12595511</v>
      </c>
      <c r="P95" s="25">
        <f t="shared" si="3"/>
        <v>7305751</v>
      </c>
      <c r="Q95" s="25">
        <f t="shared" ref="Q95:Y95" si="11">E95-D95</f>
        <v>342</v>
      </c>
      <c r="R95" s="25">
        <f t="shared" si="11"/>
        <v>477</v>
      </c>
      <c r="S95" s="25">
        <f t="shared" si="11"/>
        <v>14242</v>
      </c>
      <c r="T95" s="25">
        <f t="shared" si="11"/>
        <v>1198</v>
      </c>
      <c r="U95" s="25">
        <f t="shared" si="11"/>
        <v>348</v>
      </c>
      <c r="V95" s="25">
        <f t="shared" si="11"/>
        <v>1074</v>
      </c>
      <c r="W95" s="25">
        <f t="shared" si="11"/>
        <v>1203</v>
      </c>
      <c r="X95" s="25">
        <f t="shared" si="11"/>
        <v>562517</v>
      </c>
      <c r="Y95" s="25">
        <f t="shared" si="11"/>
        <v>4708359</v>
      </c>
      <c r="Z95" s="25">
        <f t="shared" si="5"/>
        <v>12595511</v>
      </c>
      <c r="AB95" s="25">
        <f t="shared" ref="AB95:AK95" si="12">P95*P$1/10</f>
        <v>7305751</v>
      </c>
      <c r="AC95" s="25">
        <f t="shared" si="12"/>
        <v>307.8</v>
      </c>
      <c r="AD95" s="25">
        <f t="shared" si="12"/>
        <v>381.6</v>
      </c>
      <c r="AE95" s="25">
        <f t="shared" si="12"/>
        <v>9969.4</v>
      </c>
      <c r="AF95" s="25">
        <f t="shared" si="12"/>
        <v>718.8</v>
      </c>
      <c r="AG95" s="25">
        <f t="shared" si="12"/>
        <v>174</v>
      </c>
      <c r="AH95" s="25">
        <f t="shared" si="12"/>
        <v>429.6</v>
      </c>
      <c r="AI95" s="25">
        <f t="shared" si="12"/>
        <v>360.9</v>
      </c>
      <c r="AJ95" s="25">
        <f t="shared" si="12"/>
        <v>112503.4</v>
      </c>
      <c r="AK95" s="25">
        <f t="shared" si="12"/>
        <v>470835.9</v>
      </c>
      <c r="AL95" s="25">
        <f t="shared" si="7"/>
        <v>7901432.4</v>
      </c>
      <c r="AM95" s="39">
        <f t="shared" si="8"/>
        <v>0.1457813773</v>
      </c>
    </row>
    <row r="96">
      <c r="A96" s="75" t="s">
        <v>225</v>
      </c>
      <c r="B96" s="74">
        <f>IFERROR(__xludf.DUMMYFUNCTION("split(A96, "" "")"),115.0)</f>
        <v>115</v>
      </c>
      <c r="C96" s="25">
        <f>IFERROR(__xludf.DUMMYFUNCTION("""COMPUTED_VALUE"""),8948986.0)</f>
        <v>8948986</v>
      </c>
      <c r="D96" s="25">
        <f>IFERROR(__xludf.DUMMYFUNCTION("""COMPUTED_VALUE"""),8949189.0)</f>
        <v>8949189</v>
      </c>
      <c r="E96" s="25">
        <f>IFERROR(__xludf.DUMMYFUNCTION("""COMPUTED_VALUE"""),8950342.0)</f>
        <v>8950342</v>
      </c>
      <c r="F96" s="25">
        <f>IFERROR(__xludf.DUMMYFUNCTION("""COMPUTED_VALUE"""),8950388.0)</f>
        <v>8950388</v>
      </c>
      <c r="G96" s="25">
        <f>IFERROR(__xludf.DUMMYFUNCTION("""COMPUTED_VALUE"""),8950854.0)</f>
        <v>8950854</v>
      </c>
      <c r="H96" s="25">
        <f>IFERROR(__xludf.DUMMYFUNCTION("""COMPUTED_VALUE"""),8957194.0)</f>
        <v>8957194</v>
      </c>
      <c r="I96" s="25">
        <f>IFERROR(__xludf.DUMMYFUNCTION("""COMPUTED_VALUE"""),8963898.0)</f>
        <v>8963898</v>
      </c>
      <c r="J96" s="25">
        <f>IFERROR(__xludf.DUMMYFUNCTION("""COMPUTED_VALUE"""),8966190.0)</f>
        <v>8966190</v>
      </c>
      <c r="K96" s="25">
        <f>IFERROR(__xludf.DUMMYFUNCTION("""COMPUTED_VALUE"""),8968998.0)</f>
        <v>8968998</v>
      </c>
      <c r="L96" s="25">
        <f>IFERROR(__xludf.DUMMYFUNCTION("""COMPUTED_VALUE"""),8969871.0)</f>
        <v>8969871</v>
      </c>
      <c r="M96" s="25">
        <f>IFERROR(__xludf.DUMMYFUNCTION("""COMPUTED_VALUE"""),1.3686125E7)</f>
        <v>13686125</v>
      </c>
      <c r="P96" s="25">
        <f t="shared" si="3"/>
        <v>8949189</v>
      </c>
      <c r="Q96" s="25">
        <f t="shared" ref="Q96:Y96" si="13">E96-D96</f>
        <v>1153</v>
      </c>
      <c r="R96" s="25">
        <f t="shared" si="13"/>
        <v>46</v>
      </c>
      <c r="S96" s="25">
        <f t="shared" si="13"/>
        <v>466</v>
      </c>
      <c r="T96" s="25">
        <f t="shared" si="13"/>
        <v>6340</v>
      </c>
      <c r="U96" s="25">
        <f t="shared" si="13"/>
        <v>6704</v>
      </c>
      <c r="V96" s="25">
        <f t="shared" si="13"/>
        <v>2292</v>
      </c>
      <c r="W96" s="25">
        <f t="shared" si="13"/>
        <v>2808</v>
      </c>
      <c r="X96" s="25">
        <f t="shared" si="13"/>
        <v>873</v>
      </c>
      <c r="Y96" s="25">
        <f t="shared" si="13"/>
        <v>4716254</v>
      </c>
      <c r="Z96" s="25">
        <f t="shared" si="5"/>
        <v>13686125</v>
      </c>
      <c r="AB96" s="25">
        <f t="shared" ref="AB96:AK96" si="14">P96*P$1/10</f>
        <v>8949189</v>
      </c>
      <c r="AC96" s="25">
        <f t="shared" si="14"/>
        <v>1037.7</v>
      </c>
      <c r="AD96" s="25">
        <f t="shared" si="14"/>
        <v>36.8</v>
      </c>
      <c r="AE96" s="25">
        <f t="shared" si="14"/>
        <v>326.2</v>
      </c>
      <c r="AF96" s="25">
        <f t="shared" si="14"/>
        <v>3804</v>
      </c>
      <c r="AG96" s="25">
        <f t="shared" si="14"/>
        <v>3352</v>
      </c>
      <c r="AH96" s="25">
        <f t="shared" si="14"/>
        <v>916.8</v>
      </c>
      <c r="AI96" s="25">
        <f t="shared" si="14"/>
        <v>842.4</v>
      </c>
      <c r="AJ96" s="25">
        <f t="shared" si="14"/>
        <v>174.6</v>
      </c>
      <c r="AK96" s="25">
        <f t="shared" si="14"/>
        <v>471625.4</v>
      </c>
      <c r="AL96" s="25">
        <f t="shared" si="7"/>
        <v>9431304.9</v>
      </c>
      <c r="AM96" s="39">
        <f t="shared" si="8"/>
        <v>0.1584042245</v>
      </c>
    </row>
    <row r="97">
      <c r="A97" s="75" t="s">
        <v>226</v>
      </c>
      <c r="B97" s="74">
        <f>IFERROR(__xludf.DUMMYFUNCTION("split(A97, "" "")"),116.0)</f>
        <v>116</v>
      </c>
      <c r="C97" s="25">
        <f>IFERROR(__xludf.DUMMYFUNCTION("""COMPUTED_VALUE"""),1.5841908E7)</f>
        <v>15841908</v>
      </c>
      <c r="D97" s="25">
        <f>IFERROR(__xludf.DUMMYFUNCTION("""COMPUTED_VALUE"""),1.5842278E7)</f>
        <v>15842278</v>
      </c>
      <c r="E97" s="25">
        <f>IFERROR(__xludf.DUMMYFUNCTION("""COMPUTED_VALUE"""),1.5853038E7)</f>
        <v>15853038</v>
      </c>
      <c r="F97" s="25">
        <f>IFERROR(__xludf.DUMMYFUNCTION("""COMPUTED_VALUE"""),1.5868281E7)</f>
        <v>15868281</v>
      </c>
      <c r="G97" s="25">
        <f>IFERROR(__xludf.DUMMYFUNCTION("""COMPUTED_VALUE"""),1.5868422E7)</f>
        <v>15868422</v>
      </c>
      <c r="H97" s="25">
        <f>IFERROR(__xludf.DUMMYFUNCTION("""COMPUTED_VALUE"""),1.5869225E7)</f>
        <v>15869225</v>
      </c>
      <c r="I97" s="25">
        <f>IFERROR(__xludf.DUMMYFUNCTION("""COMPUTED_VALUE"""),1.5872784E7)</f>
        <v>15872784</v>
      </c>
      <c r="J97" s="25">
        <f>IFERROR(__xludf.DUMMYFUNCTION("""COMPUTED_VALUE"""),1.5873087E7)</f>
        <v>15873087</v>
      </c>
      <c r="K97" s="25">
        <f>IFERROR(__xludf.DUMMYFUNCTION("""COMPUTED_VALUE"""),1.7292384E7)</f>
        <v>17292384</v>
      </c>
      <c r="L97" s="25">
        <f>IFERROR(__xludf.DUMMYFUNCTION("""COMPUTED_VALUE"""),2.0754657E7)</f>
        <v>20754657</v>
      </c>
      <c r="M97" s="25">
        <f>IFERROR(__xludf.DUMMYFUNCTION("""COMPUTED_VALUE"""),2.3259618E7)</f>
        <v>23259618</v>
      </c>
      <c r="P97" s="25">
        <f t="shared" si="3"/>
        <v>15842278</v>
      </c>
      <c r="Q97" s="25">
        <f t="shared" ref="Q97:Y97" si="15">E97-D97</f>
        <v>10760</v>
      </c>
      <c r="R97" s="25">
        <f t="shared" si="15"/>
        <v>15243</v>
      </c>
      <c r="S97" s="25">
        <f t="shared" si="15"/>
        <v>141</v>
      </c>
      <c r="T97" s="25">
        <f t="shared" si="15"/>
        <v>803</v>
      </c>
      <c r="U97" s="25">
        <f t="shared" si="15"/>
        <v>3559</v>
      </c>
      <c r="V97" s="25">
        <f t="shared" si="15"/>
        <v>303</v>
      </c>
      <c r="W97" s="25">
        <f t="shared" si="15"/>
        <v>1419297</v>
      </c>
      <c r="X97" s="25">
        <f t="shared" si="15"/>
        <v>3462273</v>
      </c>
      <c r="Y97" s="25">
        <f t="shared" si="15"/>
        <v>2504961</v>
      </c>
      <c r="Z97" s="25">
        <f t="shared" si="5"/>
        <v>23259618</v>
      </c>
      <c r="AB97" s="25">
        <f t="shared" ref="AB97:AK97" si="16">P97*P$1/10</f>
        <v>15842278</v>
      </c>
      <c r="AC97" s="25">
        <f t="shared" si="16"/>
        <v>9684</v>
      </c>
      <c r="AD97" s="25">
        <f t="shared" si="16"/>
        <v>12194.4</v>
      </c>
      <c r="AE97" s="25">
        <f t="shared" si="16"/>
        <v>98.7</v>
      </c>
      <c r="AF97" s="25">
        <f t="shared" si="16"/>
        <v>481.8</v>
      </c>
      <c r="AG97" s="25">
        <f t="shared" si="16"/>
        <v>1779.5</v>
      </c>
      <c r="AH97" s="25">
        <f t="shared" si="16"/>
        <v>121.2</v>
      </c>
      <c r="AI97" s="25">
        <f t="shared" si="16"/>
        <v>425789.1</v>
      </c>
      <c r="AJ97" s="25">
        <f t="shared" si="16"/>
        <v>692454.6</v>
      </c>
      <c r="AK97" s="25">
        <f t="shared" si="16"/>
        <v>250496.1</v>
      </c>
      <c r="AL97" s="25">
        <f t="shared" si="7"/>
        <v>17235377.4</v>
      </c>
      <c r="AM97" s="39">
        <f t="shared" si="8"/>
        <v>0.2692085417</v>
      </c>
      <c r="AN97" s="7" t="s">
        <v>227</v>
      </c>
    </row>
    <row r="98">
      <c r="A98" s="75" t="s">
        <v>228</v>
      </c>
      <c r="B98" s="74">
        <f>IFERROR(__xludf.DUMMYFUNCTION("split(A98, "" "")"),117.0)</f>
        <v>117</v>
      </c>
      <c r="C98" s="25">
        <f>IFERROR(__xludf.DUMMYFUNCTION("""COMPUTED_VALUE"""),1.4492711E7)</f>
        <v>14492711</v>
      </c>
      <c r="D98" s="25">
        <f>IFERROR(__xludf.DUMMYFUNCTION("""COMPUTED_VALUE"""),1.4492906E7)</f>
        <v>14492906</v>
      </c>
      <c r="E98" s="25">
        <f>IFERROR(__xludf.DUMMYFUNCTION("""COMPUTED_VALUE"""),1.4494007E7)</f>
        <v>14494007</v>
      </c>
      <c r="F98" s="25">
        <f>IFERROR(__xludf.DUMMYFUNCTION("""COMPUTED_VALUE"""),1.44943E7)</f>
        <v>14494300</v>
      </c>
      <c r="G98" s="25">
        <f>IFERROR(__xludf.DUMMYFUNCTION("""COMPUTED_VALUE"""),1.4514086E7)</f>
        <v>14514086</v>
      </c>
      <c r="H98" s="25">
        <f>IFERROR(__xludf.DUMMYFUNCTION("""COMPUTED_VALUE"""),1.4519926E7)</f>
        <v>14519926</v>
      </c>
      <c r="I98" s="25">
        <f>IFERROR(__xludf.DUMMYFUNCTION("""COMPUTED_VALUE"""),1.4522125E7)</f>
        <v>14522125</v>
      </c>
      <c r="J98" s="25">
        <f>IFERROR(__xludf.DUMMYFUNCTION("""COMPUTED_VALUE"""),1.4522897E7)</f>
        <v>14522897</v>
      </c>
      <c r="K98" s="25">
        <f>IFERROR(__xludf.DUMMYFUNCTION("""COMPUTED_VALUE"""),1.4525406E7)</f>
        <v>14525406</v>
      </c>
      <c r="L98" s="25">
        <f>IFERROR(__xludf.DUMMYFUNCTION("""COMPUTED_VALUE"""),1.6470558E7)</f>
        <v>16470558</v>
      </c>
      <c r="M98" s="25">
        <f>IFERROR(__xludf.DUMMYFUNCTION("""COMPUTED_VALUE"""),2.2835241E7)</f>
        <v>22835241</v>
      </c>
      <c r="P98" s="25">
        <f t="shared" si="3"/>
        <v>14492906</v>
      </c>
      <c r="Q98" s="25">
        <f t="shared" ref="Q98:Y98" si="17">E98-D98</f>
        <v>1101</v>
      </c>
      <c r="R98" s="25">
        <f t="shared" si="17"/>
        <v>293</v>
      </c>
      <c r="S98" s="25">
        <f t="shared" si="17"/>
        <v>19786</v>
      </c>
      <c r="T98" s="25">
        <f t="shared" si="17"/>
        <v>5840</v>
      </c>
      <c r="U98" s="25">
        <f t="shared" si="17"/>
        <v>2199</v>
      </c>
      <c r="V98" s="25">
        <f t="shared" si="17"/>
        <v>772</v>
      </c>
      <c r="W98" s="25">
        <f t="shared" si="17"/>
        <v>2509</v>
      </c>
      <c r="X98" s="25">
        <f t="shared" si="17"/>
        <v>1945152</v>
      </c>
      <c r="Y98" s="25">
        <f t="shared" si="17"/>
        <v>6364683</v>
      </c>
      <c r="Z98" s="25">
        <f t="shared" si="5"/>
        <v>22835241</v>
      </c>
      <c r="AB98" s="25">
        <f t="shared" ref="AB98:AK98" si="18">P98*P$1/10</f>
        <v>14492906</v>
      </c>
      <c r="AC98" s="25">
        <f t="shared" si="18"/>
        <v>990.9</v>
      </c>
      <c r="AD98" s="25">
        <f t="shared" si="18"/>
        <v>234.4</v>
      </c>
      <c r="AE98" s="25">
        <f t="shared" si="18"/>
        <v>13850.2</v>
      </c>
      <c r="AF98" s="25">
        <f t="shared" si="18"/>
        <v>3504</v>
      </c>
      <c r="AG98" s="25">
        <f t="shared" si="18"/>
        <v>1099.5</v>
      </c>
      <c r="AH98" s="25">
        <f t="shared" si="18"/>
        <v>308.8</v>
      </c>
      <c r="AI98" s="25">
        <f t="shared" si="18"/>
        <v>752.7</v>
      </c>
      <c r="AJ98" s="25">
        <f t="shared" si="18"/>
        <v>389030.4</v>
      </c>
      <c r="AK98" s="25">
        <f t="shared" si="18"/>
        <v>636468.3</v>
      </c>
      <c r="AL98" s="25">
        <f t="shared" si="7"/>
        <v>15539145.2</v>
      </c>
      <c r="AM98" s="39">
        <f t="shared" si="8"/>
        <v>0.2642967708</v>
      </c>
    </row>
    <row r="99">
      <c r="A99" s="73" t="s">
        <v>229</v>
      </c>
      <c r="B99" s="74">
        <f>IFERROR(__xludf.DUMMYFUNCTION("split(A99, "" "")"),118.0)</f>
        <v>118</v>
      </c>
      <c r="C99" s="25">
        <f>IFERROR(__xludf.DUMMYFUNCTION("""COMPUTED_VALUE"""),1.4332E7)</f>
        <v>14332000</v>
      </c>
      <c r="D99" s="25">
        <f>IFERROR(__xludf.DUMMYFUNCTION("""COMPUTED_VALUE"""),1.4333372E7)</f>
        <v>14333372</v>
      </c>
      <c r="E99" s="25">
        <f>IFERROR(__xludf.DUMMYFUNCTION("""COMPUTED_VALUE"""),1.4333757E7)</f>
        <v>14333757</v>
      </c>
      <c r="F99" s="25">
        <f>IFERROR(__xludf.DUMMYFUNCTION("""COMPUTED_VALUE"""),1.4334959E7)</f>
        <v>14334959</v>
      </c>
      <c r="G99" s="25">
        <f>IFERROR(__xludf.DUMMYFUNCTION("""COMPUTED_VALUE"""),1.4357361E7)</f>
        <v>14357361</v>
      </c>
      <c r="H99" s="25">
        <f>IFERROR(__xludf.DUMMYFUNCTION("""COMPUTED_VALUE"""),1.4365595E7)</f>
        <v>14365595</v>
      </c>
      <c r="I99" s="25">
        <f>IFERROR(__xludf.DUMMYFUNCTION("""COMPUTED_VALUE"""),1.436734E7)</f>
        <v>14367340</v>
      </c>
      <c r="J99" s="25">
        <f>IFERROR(__xludf.DUMMYFUNCTION("""COMPUTED_VALUE"""),1.4369634E7)</f>
        <v>14369634</v>
      </c>
      <c r="K99" s="25">
        <f>IFERROR(__xludf.DUMMYFUNCTION("""COMPUTED_VALUE"""),1.4369684E7)</f>
        <v>14369684</v>
      </c>
      <c r="L99" s="25">
        <f>IFERROR(__xludf.DUMMYFUNCTION("""COMPUTED_VALUE"""),2.0317792E7)</f>
        <v>20317792</v>
      </c>
      <c r="M99" s="25">
        <f>IFERROR(__xludf.DUMMYFUNCTION("""COMPUTED_VALUE"""),4.9873125E7)</f>
        <v>49873125</v>
      </c>
      <c r="P99" s="25">
        <f t="shared" si="3"/>
        <v>14333372</v>
      </c>
      <c r="Q99" s="25">
        <f t="shared" ref="Q99:Y99" si="19">E99-D99</f>
        <v>385</v>
      </c>
      <c r="R99" s="25">
        <f t="shared" si="19"/>
        <v>1202</v>
      </c>
      <c r="S99" s="25">
        <f t="shared" si="19"/>
        <v>22402</v>
      </c>
      <c r="T99" s="25">
        <f t="shared" si="19"/>
        <v>8234</v>
      </c>
      <c r="U99" s="25">
        <f t="shared" si="19"/>
        <v>1745</v>
      </c>
      <c r="V99" s="25">
        <f t="shared" si="19"/>
        <v>2294</v>
      </c>
      <c r="W99" s="25">
        <f t="shared" si="19"/>
        <v>50</v>
      </c>
      <c r="X99" s="25">
        <f t="shared" si="19"/>
        <v>5948108</v>
      </c>
      <c r="Y99" s="25">
        <f t="shared" si="19"/>
        <v>29555333</v>
      </c>
      <c r="Z99" s="25">
        <f t="shared" si="5"/>
        <v>49873125</v>
      </c>
      <c r="AB99" s="25">
        <f t="shared" ref="AB99:AK99" si="20">P99*P$1/10</f>
        <v>14333372</v>
      </c>
      <c r="AC99" s="25">
        <f t="shared" si="20"/>
        <v>346.5</v>
      </c>
      <c r="AD99" s="25">
        <f t="shared" si="20"/>
        <v>961.6</v>
      </c>
      <c r="AE99" s="25">
        <f t="shared" si="20"/>
        <v>15681.4</v>
      </c>
      <c r="AF99" s="25">
        <f t="shared" si="20"/>
        <v>4940.4</v>
      </c>
      <c r="AG99" s="25">
        <f t="shared" si="20"/>
        <v>872.5</v>
      </c>
      <c r="AH99" s="25">
        <f t="shared" si="20"/>
        <v>917.6</v>
      </c>
      <c r="AI99" s="25">
        <f t="shared" si="20"/>
        <v>15</v>
      </c>
      <c r="AJ99" s="25">
        <f t="shared" si="20"/>
        <v>1189621.6</v>
      </c>
      <c r="AK99" s="25">
        <f t="shared" si="20"/>
        <v>2955533.3</v>
      </c>
      <c r="AL99" s="25">
        <f t="shared" si="7"/>
        <v>18502261.9</v>
      </c>
      <c r="AM99" s="39">
        <f t="shared" si="8"/>
        <v>0.5772352431</v>
      </c>
    </row>
    <row r="100">
      <c r="A100" s="73" t="s">
        <v>230</v>
      </c>
      <c r="B100" s="74">
        <f>IFERROR(__xludf.DUMMYFUNCTION("split(A100, "" "")"),119.0)</f>
        <v>119</v>
      </c>
      <c r="C100" s="25">
        <f>IFERROR(__xludf.DUMMYFUNCTION("""COMPUTED_VALUE"""),2.1174914E7)</f>
        <v>21174914</v>
      </c>
      <c r="D100" s="25">
        <f>IFERROR(__xludf.DUMMYFUNCTION("""COMPUTED_VALUE"""),2.1176468E7)</f>
        <v>21176468</v>
      </c>
      <c r="E100" s="25">
        <f>IFERROR(__xludf.DUMMYFUNCTION("""COMPUTED_VALUE"""),2.1188889E7)</f>
        <v>21188889</v>
      </c>
      <c r="F100" s="25">
        <f>IFERROR(__xludf.DUMMYFUNCTION("""COMPUTED_VALUE"""),2.1212259E7)</f>
        <v>21212259</v>
      </c>
      <c r="G100" s="25">
        <f>IFERROR(__xludf.DUMMYFUNCTION("""COMPUTED_VALUE"""),2.1215391E7)</f>
        <v>21215391</v>
      </c>
      <c r="H100" s="25">
        <f>IFERROR(__xludf.DUMMYFUNCTION("""COMPUTED_VALUE"""),2.1217258E7)</f>
        <v>21217258</v>
      </c>
      <c r="I100" s="25">
        <f>IFERROR(__xludf.DUMMYFUNCTION("""COMPUTED_VALUE"""),2.1221126E7)</f>
        <v>21221126</v>
      </c>
      <c r="J100" s="25">
        <f>IFERROR(__xludf.DUMMYFUNCTION("""COMPUTED_VALUE"""),2.1223179E7)</f>
        <v>21223179</v>
      </c>
      <c r="K100" s="25">
        <f>IFERROR(__xludf.DUMMYFUNCTION("""COMPUTED_VALUE"""),2.1497153E7)</f>
        <v>21497153</v>
      </c>
      <c r="L100" s="25">
        <f>IFERROR(__xludf.DUMMYFUNCTION("""COMPUTED_VALUE"""),2.7150758E7)</f>
        <v>27150758</v>
      </c>
      <c r="M100" s="25">
        <f>IFERROR(__xludf.DUMMYFUNCTION("""COMPUTED_VALUE"""),3.3604861E7)</f>
        <v>33604861</v>
      </c>
      <c r="P100" s="25">
        <f t="shared" si="3"/>
        <v>21176468</v>
      </c>
      <c r="Q100" s="25">
        <f t="shared" ref="Q100:Y100" si="21">E100-D100</f>
        <v>12421</v>
      </c>
      <c r="R100" s="25">
        <f t="shared" si="21"/>
        <v>23370</v>
      </c>
      <c r="S100" s="25">
        <f t="shared" si="21"/>
        <v>3132</v>
      </c>
      <c r="T100" s="25">
        <f t="shared" si="21"/>
        <v>1867</v>
      </c>
      <c r="U100" s="25">
        <f t="shared" si="21"/>
        <v>3868</v>
      </c>
      <c r="V100" s="25">
        <f t="shared" si="21"/>
        <v>2053</v>
      </c>
      <c r="W100" s="25">
        <f t="shared" si="21"/>
        <v>273974</v>
      </c>
      <c r="X100" s="25">
        <f t="shared" si="21"/>
        <v>5653605</v>
      </c>
      <c r="Y100" s="25">
        <f t="shared" si="21"/>
        <v>6454103</v>
      </c>
      <c r="Z100" s="25">
        <f t="shared" si="5"/>
        <v>33604861</v>
      </c>
      <c r="AB100" s="25">
        <f t="shared" ref="AB100:AK100" si="22">P100*P$1/10</f>
        <v>21176468</v>
      </c>
      <c r="AC100" s="25">
        <f t="shared" si="22"/>
        <v>11178.9</v>
      </c>
      <c r="AD100" s="25">
        <f t="shared" si="22"/>
        <v>18696</v>
      </c>
      <c r="AE100" s="25">
        <f t="shared" si="22"/>
        <v>2192.4</v>
      </c>
      <c r="AF100" s="25">
        <f t="shared" si="22"/>
        <v>1120.2</v>
      </c>
      <c r="AG100" s="25">
        <f t="shared" si="22"/>
        <v>1934</v>
      </c>
      <c r="AH100" s="25">
        <f t="shared" si="22"/>
        <v>821.2</v>
      </c>
      <c r="AI100" s="25">
        <f t="shared" si="22"/>
        <v>82192.2</v>
      </c>
      <c r="AJ100" s="25">
        <f t="shared" si="22"/>
        <v>1130721</v>
      </c>
      <c r="AK100" s="25">
        <f t="shared" si="22"/>
        <v>645410.3</v>
      </c>
      <c r="AL100" s="25">
        <f t="shared" si="7"/>
        <v>23070734.2</v>
      </c>
      <c r="AM100" s="39">
        <f t="shared" si="8"/>
        <v>0.3889451505</v>
      </c>
    </row>
    <row r="101">
      <c r="A101" s="76"/>
      <c r="B101" s="74"/>
      <c r="AM101" s="39"/>
    </row>
    <row r="102">
      <c r="A102" s="76"/>
      <c r="B102" s="74"/>
      <c r="AM102" s="39"/>
    </row>
    <row r="103">
      <c r="A103" s="76"/>
      <c r="B103" s="74"/>
      <c r="AM103" s="39"/>
    </row>
    <row r="104">
      <c r="A104" s="76"/>
      <c r="B104" s="74"/>
      <c r="AM104" s="31"/>
    </row>
    <row r="105">
      <c r="A105" s="76"/>
      <c r="B105" s="74"/>
      <c r="AM105" s="39"/>
    </row>
    <row r="106">
      <c r="A106" s="76"/>
      <c r="B106" s="74"/>
      <c r="AM106" s="39"/>
    </row>
    <row r="107">
      <c r="A107" s="76"/>
      <c r="B107" s="74"/>
      <c r="AM107" s="39"/>
    </row>
    <row r="108">
      <c r="A108" s="76"/>
      <c r="B108" s="74"/>
      <c r="AM108" s="39"/>
    </row>
    <row r="109">
      <c r="A109" s="76"/>
      <c r="B109" s="74"/>
      <c r="AM109" s="39"/>
    </row>
    <row r="110">
      <c r="A110" s="76"/>
      <c r="B110" s="74"/>
      <c r="AM110" s="39"/>
    </row>
    <row r="111">
      <c r="A111" s="76"/>
      <c r="B111" s="74"/>
      <c r="AM111" s="39"/>
    </row>
    <row r="112">
      <c r="A112" s="76"/>
      <c r="B112" s="74"/>
      <c r="AM112" s="39"/>
    </row>
    <row r="113">
      <c r="A113" s="76"/>
      <c r="B113" s="74"/>
      <c r="AM113" s="39"/>
    </row>
    <row r="114">
      <c r="A114" s="76"/>
      <c r="B114" s="74"/>
      <c r="AM114" s="39"/>
    </row>
    <row r="115">
      <c r="A115" s="76"/>
      <c r="B115" s="74"/>
      <c r="AM115" s="39"/>
    </row>
    <row r="116">
      <c r="A116" s="76"/>
      <c r="B116" s="74"/>
      <c r="AM116" s="39"/>
    </row>
    <row r="117">
      <c r="A117" s="76"/>
      <c r="B117" s="74"/>
      <c r="AM117" s="39"/>
    </row>
    <row r="118">
      <c r="A118" s="76"/>
      <c r="B118" s="74"/>
      <c r="AM118" s="39"/>
    </row>
    <row r="119">
      <c r="A119" s="76"/>
      <c r="B119" s="74"/>
      <c r="AM119" s="39"/>
    </row>
    <row r="120">
      <c r="A120" s="76"/>
      <c r="B120" s="74"/>
      <c r="AM120" s="39"/>
    </row>
    <row r="121">
      <c r="A121" s="76"/>
      <c r="B121" s="74"/>
      <c r="AM121" s="39"/>
    </row>
    <row r="122">
      <c r="A122" s="76"/>
      <c r="B122" s="74"/>
      <c r="AM122" s="39"/>
    </row>
    <row r="123">
      <c r="A123" s="76"/>
      <c r="B123" s="74"/>
      <c r="AM123" s="39"/>
    </row>
    <row r="124">
      <c r="A124" s="76"/>
      <c r="B124" s="74"/>
      <c r="AM124" s="39"/>
    </row>
    <row r="125">
      <c r="A125" s="76"/>
      <c r="B125" s="74"/>
      <c r="AM125" s="39"/>
    </row>
    <row r="126">
      <c r="A126" s="76"/>
      <c r="B126" s="74"/>
      <c r="AM126" s="39"/>
    </row>
    <row r="127">
      <c r="A127" s="76"/>
      <c r="B127" s="74"/>
      <c r="AM127" s="39"/>
    </row>
    <row r="128">
      <c r="A128" s="76"/>
      <c r="B128" s="74"/>
      <c r="AM128" s="39"/>
    </row>
    <row r="129">
      <c r="A129" s="76"/>
      <c r="B129" s="74"/>
      <c r="AM129" s="39"/>
    </row>
    <row r="130">
      <c r="A130" s="76"/>
      <c r="B130" s="74"/>
      <c r="AM130" s="39"/>
    </row>
    <row r="131">
      <c r="A131" s="76"/>
      <c r="B131" s="74"/>
      <c r="AM131" s="39"/>
    </row>
    <row r="132">
      <c r="A132" s="76"/>
      <c r="B132" s="74"/>
      <c r="AM132" s="39"/>
    </row>
    <row r="133">
      <c r="A133" s="76"/>
      <c r="B133" s="74"/>
      <c r="AM133" s="39"/>
    </row>
    <row r="134">
      <c r="A134" s="76"/>
      <c r="B134" s="74"/>
      <c r="AM134" s="39"/>
    </row>
    <row r="135">
      <c r="A135" s="76"/>
      <c r="B135" s="74"/>
      <c r="AM135" s="39"/>
    </row>
    <row r="136">
      <c r="A136" s="76"/>
      <c r="B136" s="74"/>
      <c r="AM136" s="39"/>
    </row>
    <row r="137">
      <c r="A137" s="76"/>
      <c r="B137" s="74"/>
      <c r="AM137" s="39"/>
    </row>
    <row r="138">
      <c r="A138" s="76"/>
      <c r="B138" s="74"/>
      <c r="AM138" s="39"/>
    </row>
    <row r="139">
      <c r="A139" s="76"/>
      <c r="B139" s="74"/>
      <c r="AM139" s="39"/>
    </row>
    <row r="140">
      <c r="A140" s="76"/>
      <c r="B140" s="74"/>
      <c r="AM140" s="39"/>
    </row>
    <row r="141">
      <c r="A141" s="76"/>
      <c r="B141" s="74"/>
      <c r="AM141" s="39"/>
    </row>
    <row r="142">
      <c r="A142" s="76"/>
      <c r="B142" s="74"/>
      <c r="AM142" s="39"/>
    </row>
    <row r="143">
      <c r="A143" s="76"/>
      <c r="B143" s="74"/>
      <c r="AM143" s="39"/>
    </row>
    <row r="144">
      <c r="A144" s="76"/>
      <c r="B144" s="74"/>
      <c r="AM144" s="39"/>
    </row>
    <row r="145">
      <c r="A145" s="76"/>
      <c r="B145" s="74"/>
      <c r="AM145" s="39"/>
    </row>
    <row r="146">
      <c r="A146" s="76"/>
      <c r="B146" s="74"/>
      <c r="AM146" s="39"/>
    </row>
    <row r="147">
      <c r="A147" s="76"/>
      <c r="B147" s="74"/>
      <c r="AM147" s="39"/>
    </row>
    <row r="148">
      <c r="A148" s="76"/>
      <c r="B148" s="74"/>
      <c r="AM148" s="39"/>
    </row>
    <row r="149">
      <c r="A149" s="76"/>
      <c r="B149" s="74"/>
      <c r="AM149" s="39"/>
    </row>
    <row r="150">
      <c r="A150" s="76"/>
      <c r="B150" s="74"/>
      <c r="AM150" s="39"/>
    </row>
    <row r="151">
      <c r="A151" s="76"/>
      <c r="B151" s="74"/>
      <c r="AM151" s="39"/>
    </row>
    <row r="152">
      <c r="A152" s="76"/>
      <c r="B152" s="74"/>
      <c r="AM152" s="39"/>
    </row>
    <row r="153">
      <c r="A153" s="76"/>
      <c r="B153" s="74"/>
      <c r="AM153" s="39"/>
    </row>
    <row r="154">
      <c r="A154" s="76"/>
      <c r="B154" s="74"/>
      <c r="AM154" s="39"/>
    </row>
    <row r="155">
      <c r="A155" s="76"/>
      <c r="B155" s="74"/>
      <c r="AM155" s="39"/>
    </row>
    <row r="156">
      <c r="A156" s="76"/>
      <c r="B156" s="74"/>
      <c r="AM156" s="39"/>
    </row>
    <row r="157">
      <c r="A157" s="76"/>
      <c r="B157" s="74"/>
      <c r="AM157" s="39"/>
    </row>
    <row r="158">
      <c r="A158" s="76"/>
      <c r="B158" s="74"/>
      <c r="AM158" s="39"/>
    </row>
    <row r="159">
      <c r="A159" s="76"/>
      <c r="B159" s="74"/>
      <c r="AM159" s="39"/>
    </row>
    <row r="160">
      <c r="A160" s="76"/>
      <c r="B160" s="74"/>
      <c r="AM160" s="39"/>
    </row>
    <row r="161">
      <c r="A161" s="76"/>
      <c r="B161" s="74"/>
      <c r="AM161" s="39"/>
    </row>
    <row r="162">
      <c r="A162" s="76"/>
      <c r="B162" s="74"/>
      <c r="AM162" s="39"/>
    </row>
    <row r="163">
      <c r="A163" s="76"/>
      <c r="B163" s="74"/>
      <c r="AM163" s="39"/>
    </row>
    <row r="164">
      <c r="A164" s="76"/>
      <c r="B164" s="74"/>
      <c r="AM164" s="39"/>
    </row>
    <row r="165">
      <c r="A165" s="76"/>
      <c r="B165" s="74"/>
      <c r="AM165" s="39"/>
    </row>
    <row r="166">
      <c r="A166" s="76"/>
      <c r="B166" s="74"/>
      <c r="AM166" s="39"/>
    </row>
    <row r="167">
      <c r="A167" s="76"/>
      <c r="B167" s="74"/>
      <c r="AM167" s="39"/>
    </row>
    <row r="168">
      <c r="A168" s="76"/>
      <c r="B168" s="74"/>
      <c r="AM168" s="39"/>
    </row>
    <row r="169">
      <c r="A169" s="76"/>
      <c r="B169" s="74"/>
      <c r="AM169" s="39"/>
    </row>
    <row r="170">
      <c r="A170" s="76"/>
      <c r="B170" s="74"/>
      <c r="AM170" s="39"/>
    </row>
    <row r="171">
      <c r="A171" s="76"/>
      <c r="B171" s="74"/>
      <c r="AM171" s="39"/>
    </row>
    <row r="172">
      <c r="A172" s="76"/>
      <c r="B172" s="74"/>
      <c r="AM172" s="39"/>
    </row>
    <row r="173">
      <c r="A173" s="76"/>
      <c r="B173" s="74"/>
      <c r="AM173" s="39"/>
    </row>
    <row r="174">
      <c r="A174" s="76"/>
      <c r="B174" s="74"/>
      <c r="AM174" s="39"/>
    </row>
    <row r="175">
      <c r="A175" s="76"/>
      <c r="B175" s="74"/>
      <c r="AM175" s="39"/>
    </row>
    <row r="176">
      <c r="A176" s="76"/>
      <c r="B176" s="74"/>
      <c r="AM176" s="39"/>
    </row>
    <row r="177">
      <c r="A177" s="76"/>
      <c r="B177" s="74"/>
      <c r="AM177" s="39"/>
    </row>
    <row r="178">
      <c r="A178" s="76"/>
      <c r="B178" s="74"/>
      <c r="AM178" s="39"/>
    </row>
    <row r="179">
      <c r="A179" s="76"/>
      <c r="B179" s="74"/>
      <c r="AM179" s="39"/>
    </row>
    <row r="180">
      <c r="A180" s="76"/>
      <c r="B180" s="74"/>
      <c r="AM180" s="39"/>
    </row>
    <row r="181">
      <c r="A181" s="76"/>
      <c r="B181" s="74"/>
      <c r="AM181" s="39"/>
    </row>
    <row r="182">
      <c r="A182" s="76"/>
      <c r="B182" s="74"/>
      <c r="AM182" s="39"/>
    </row>
    <row r="183">
      <c r="A183" s="76"/>
      <c r="B183" s="74"/>
      <c r="AM183" s="39"/>
    </row>
    <row r="184">
      <c r="A184" s="76"/>
      <c r="B184" s="74"/>
      <c r="AM184" s="39"/>
    </row>
    <row r="185">
      <c r="A185" s="76"/>
      <c r="B185" s="74"/>
      <c r="AM185" s="39"/>
    </row>
    <row r="186">
      <c r="A186" s="76"/>
      <c r="B186" s="74"/>
      <c r="AM186" s="39"/>
    </row>
    <row r="187">
      <c r="A187" s="76"/>
      <c r="B187" s="74"/>
      <c r="AM187" s="39"/>
    </row>
    <row r="188">
      <c r="A188" s="76"/>
      <c r="B188" s="74"/>
      <c r="AM188" s="39"/>
    </row>
    <row r="189">
      <c r="A189" s="76"/>
      <c r="B189" s="74"/>
      <c r="AM189" s="39"/>
    </row>
    <row r="190">
      <c r="A190" s="76"/>
      <c r="B190" s="74"/>
      <c r="AM190" s="39"/>
    </row>
    <row r="191">
      <c r="A191" s="76"/>
      <c r="B191" s="74"/>
      <c r="AM191" s="39"/>
    </row>
    <row r="192">
      <c r="A192" s="76"/>
      <c r="B192" s="74"/>
      <c r="AM192" s="39"/>
    </row>
    <row r="193">
      <c r="A193" s="76"/>
      <c r="B193" s="74"/>
      <c r="AM193" s="39"/>
    </row>
    <row r="194">
      <c r="A194" s="76"/>
      <c r="B194" s="74"/>
      <c r="AM194" s="39"/>
    </row>
    <row r="195">
      <c r="A195" s="76"/>
      <c r="B195" s="74"/>
      <c r="AM195" s="39"/>
    </row>
    <row r="196">
      <c r="A196" s="76"/>
      <c r="B196" s="74"/>
      <c r="AM196" s="39"/>
    </row>
    <row r="197">
      <c r="A197" s="76"/>
      <c r="B197" s="74"/>
      <c r="AM197" s="39"/>
    </row>
    <row r="198">
      <c r="A198" s="76"/>
      <c r="B198" s="74"/>
      <c r="AM198" s="39"/>
    </row>
    <row r="199">
      <c r="A199" s="76"/>
      <c r="B199" s="74"/>
      <c r="AM199" s="39"/>
    </row>
    <row r="200">
      <c r="A200" s="76"/>
      <c r="B200" s="74"/>
      <c r="AM200" s="39"/>
    </row>
    <row r="201">
      <c r="A201" s="76"/>
      <c r="B201" s="74"/>
      <c r="AM201" s="39"/>
    </row>
    <row r="202">
      <c r="A202" s="76"/>
      <c r="B202" s="74"/>
      <c r="AM202" s="39"/>
    </row>
    <row r="203">
      <c r="A203" s="76"/>
      <c r="B203" s="74"/>
      <c r="AM203" s="39"/>
    </row>
    <row r="204">
      <c r="A204" s="76"/>
      <c r="B204" s="74"/>
      <c r="AM204" s="39"/>
    </row>
    <row r="205">
      <c r="A205" s="76"/>
      <c r="B205" s="74"/>
      <c r="AM205" s="39"/>
    </row>
    <row r="206">
      <c r="A206" s="76"/>
      <c r="B206" s="74"/>
      <c r="AM206" s="39"/>
    </row>
    <row r="207">
      <c r="A207" s="76"/>
      <c r="B207" s="74"/>
      <c r="AM207" s="39"/>
    </row>
    <row r="208">
      <c r="A208" s="76"/>
      <c r="B208" s="74"/>
      <c r="AM208" s="39"/>
    </row>
    <row r="209">
      <c r="A209" s="76"/>
      <c r="B209" s="74"/>
      <c r="AM209" s="39"/>
    </row>
    <row r="210">
      <c r="A210" s="76"/>
      <c r="B210" s="74"/>
      <c r="AM210" s="39"/>
    </row>
    <row r="211">
      <c r="A211" s="76"/>
      <c r="B211" s="74"/>
      <c r="AM211" s="39"/>
    </row>
    <row r="212">
      <c r="A212" s="76"/>
      <c r="B212" s="74"/>
      <c r="AM212" s="39"/>
    </row>
    <row r="213">
      <c r="A213" s="76"/>
      <c r="B213" s="74"/>
      <c r="AM213" s="39"/>
    </row>
    <row r="214">
      <c r="A214" s="76"/>
      <c r="B214" s="74"/>
      <c r="AM214" s="39"/>
    </row>
    <row r="215">
      <c r="A215" s="76"/>
      <c r="B215" s="74"/>
      <c r="AM215" s="39"/>
    </row>
    <row r="216">
      <c r="A216" s="76"/>
      <c r="B216" s="74"/>
      <c r="AM216" s="39"/>
    </row>
    <row r="217">
      <c r="A217" s="76"/>
      <c r="B217" s="74"/>
      <c r="AM217" s="39"/>
    </row>
    <row r="218">
      <c r="A218" s="76"/>
      <c r="B218" s="74"/>
      <c r="AM218" s="39"/>
    </row>
    <row r="219">
      <c r="A219" s="76"/>
      <c r="B219" s="74"/>
      <c r="AM219" s="39"/>
    </row>
    <row r="220">
      <c r="A220" s="76"/>
      <c r="B220" s="74"/>
      <c r="AM220" s="39"/>
    </row>
    <row r="221">
      <c r="A221" s="76"/>
      <c r="B221" s="74"/>
      <c r="AM221" s="39"/>
    </row>
    <row r="222">
      <c r="A222" s="76"/>
      <c r="B222" s="74"/>
      <c r="AM222" s="39"/>
    </row>
    <row r="223">
      <c r="A223" s="76"/>
      <c r="B223" s="74"/>
      <c r="AM223" s="39"/>
    </row>
    <row r="224">
      <c r="A224" s="76"/>
      <c r="B224" s="74"/>
      <c r="AM224" s="39"/>
    </row>
    <row r="225">
      <c r="A225" s="76"/>
      <c r="B225" s="74"/>
      <c r="AM225" s="39"/>
    </row>
    <row r="226">
      <c r="A226" s="76"/>
      <c r="B226" s="74"/>
      <c r="AM226" s="39"/>
    </row>
    <row r="227">
      <c r="A227" s="76"/>
      <c r="B227" s="74"/>
      <c r="AM227" s="39"/>
    </row>
    <row r="228">
      <c r="A228" s="76"/>
      <c r="B228" s="74"/>
      <c r="AM228" s="39"/>
    </row>
    <row r="229">
      <c r="A229" s="76"/>
      <c r="B229" s="74"/>
      <c r="AM229" s="39"/>
    </row>
    <row r="230">
      <c r="A230" s="76"/>
      <c r="B230" s="74"/>
      <c r="AM230" s="39"/>
    </row>
    <row r="231">
      <c r="A231" s="76"/>
      <c r="B231" s="74"/>
      <c r="AM231" s="39"/>
    </row>
    <row r="232">
      <c r="A232" s="76"/>
      <c r="B232" s="74"/>
      <c r="AM232" s="39"/>
    </row>
    <row r="233">
      <c r="A233" s="76"/>
      <c r="B233" s="74"/>
      <c r="AM233" s="39"/>
    </row>
    <row r="234">
      <c r="A234" s="76"/>
      <c r="B234" s="74"/>
      <c r="AM234" s="39"/>
    </row>
    <row r="235">
      <c r="A235" s="76"/>
      <c r="B235" s="74"/>
      <c r="AM235" s="39"/>
    </row>
    <row r="236">
      <c r="A236" s="76"/>
      <c r="B236" s="74"/>
      <c r="AM236" s="39"/>
    </row>
    <row r="237">
      <c r="A237" s="76"/>
      <c r="B237" s="74"/>
      <c r="AM237" s="39"/>
    </row>
    <row r="238">
      <c r="A238" s="76"/>
      <c r="B238" s="74"/>
      <c r="AM238" s="39"/>
    </row>
    <row r="239">
      <c r="A239" s="76"/>
      <c r="B239" s="74"/>
      <c r="AM239" s="39"/>
    </row>
    <row r="240">
      <c r="A240" s="76"/>
      <c r="B240" s="74"/>
      <c r="AM240" s="39"/>
    </row>
    <row r="241">
      <c r="A241" s="76"/>
      <c r="B241" s="74"/>
      <c r="AM241" s="39"/>
    </row>
    <row r="242">
      <c r="A242" s="76"/>
      <c r="B242" s="74"/>
      <c r="AM242" s="39"/>
    </row>
    <row r="243">
      <c r="A243" s="76"/>
      <c r="B243" s="74"/>
      <c r="AM243" s="39"/>
    </row>
    <row r="244">
      <c r="A244" s="76"/>
      <c r="B244" s="74"/>
      <c r="AM244" s="39"/>
    </row>
    <row r="245">
      <c r="A245" s="76"/>
      <c r="B245" s="74"/>
      <c r="AM245" s="39"/>
    </row>
    <row r="246">
      <c r="A246" s="76"/>
      <c r="B246" s="74"/>
      <c r="AM246" s="39"/>
    </row>
    <row r="247">
      <c r="A247" s="76"/>
      <c r="B247" s="74"/>
      <c r="AM247" s="39"/>
    </row>
    <row r="248">
      <c r="A248" s="76"/>
      <c r="B248" s="74"/>
      <c r="AM248" s="39"/>
    </row>
    <row r="249">
      <c r="A249" s="76"/>
      <c r="B249" s="74"/>
      <c r="AM249" s="39"/>
    </row>
    <row r="250">
      <c r="A250" s="76"/>
      <c r="B250" s="74"/>
      <c r="AM250" s="39"/>
    </row>
    <row r="251">
      <c r="A251" s="76"/>
      <c r="B251" s="74"/>
      <c r="AM251" s="39"/>
    </row>
    <row r="252">
      <c r="A252" s="76"/>
      <c r="B252" s="74"/>
      <c r="AM252" s="39"/>
    </row>
    <row r="253">
      <c r="A253" s="76"/>
      <c r="B253" s="74"/>
      <c r="AM253" s="39"/>
    </row>
    <row r="254">
      <c r="A254" s="76"/>
      <c r="B254" s="74"/>
      <c r="AM254" s="39"/>
    </row>
    <row r="255">
      <c r="A255" s="76"/>
      <c r="B255" s="74"/>
      <c r="AM255" s="39"/>
    </row>
    <row r="256">
      <c r="A256" s="76"/>
      <c r="B256" s="74"/>
      <c r="AM256" s="39"/>
    </row>
    <row r="257">
      <c r="A257" s="76"/>
      <c r="B257" s="74"/>
      <c r="AM257" s="39"/>
    </row>
    <row r="258">
      <c r="A258" s="76"/>
      <c r="B258" s="74"/>
      <c r="AM258" s="39"/>
    </row>
    <row r="259">
      <c r="A259" s="76"/>
      <c r="B259" s="74"/>
      <c r="AM259" s="39"/>
    </row>
    <row r="260">
      <c r="A260" s="76"/>
      <c r="B260" s="74"/>
      <c r="AM260" s="39"/>
    </row>
    <row r="261">
      <c r="A261" s="76"/>
      <c r="B261" s="74"/>
      <c r="AM261" s="39"/>
    </row>
    <row r="262">
      <c r="A262" s="76"/>
      <c r="B262" s="74"/>
      <c r="AM262" s="39"/>
    </row>
    <row r="263">
      <c r="A263" s="76"/>
      <c r="B263" s="74"/>
      <c r="AM263" s="39"/>
    </row>
    <row r="264">
      <c r="A264" s="76"/>
      <c r="B264" s="74"/>
      <c r="AM264" s="39"/>
    </row>
    <row r="265">
      <c r="A265" s="76"/>
      <c r="B265" s="74"/>
      <c r="AM265" s="39"/>
    </row>
    <row r="266">
      <c r="A266" s="76"/>
      <c r="B266" s="74"/>
      <c r="AM266" s="39"/>
    </row>
    <row r="267">
      <c r="A267" s="76"/>
      <c r="B267" s="74"/>
      <c r="AM267" s="39"/>
    </row>
    <row r="268">
      <c r="A268" s="76"/>
      <c r="B268" s="74"/>
      <c r="AM268" s="39"/>
    </row>
    <row r="269">
      <c r="A269" s="76"/>
      <c r="B269" s="74"/>
      <c r="AM269" s="39"/>
    </row>
    <row r="270">
      <c r="A270" s="76"/>
      <c r="B270" s="74"/>
      <c r="AM270" s="39"/>
    </row>
    <row r="271">
      <c r="A271" s="76"/>
      <c r="B271" s="74"/>
      <c r="AM271" s="39"/>
    </row>
    <row r="272">
      <c r="A272" s="76"/>
      <c r="B272" s="74"/>
      <c r="AM272" s="39"/>
    </row>
    <row r="273">
      <c r="A273" s="76"/>
      <c r="B273" s="74"/>
      <c r="AM273" s="39"/>
    </row>
    <row r="274">
      <c r="A274" s="76"/>
      <c r="B274" s="74"/>
      <c r="AM274" s="39"/>
    </row>
    <row r="275">
      <c r="A275" s="76"/>
      <c r="B275" s="74"/>
      <c r="AM275" s="39"/>
    </row>
    <row r="276">
      <c r="A276" s="76"/>
      <c r="B276" s="74"/>
      <c r="AM276" s="39"/>
    </row>
    <row r="277">
      <c r="A277" s="76"/>
      <c r="B277" s="74"/>
      <c r="AM277" s="39"/>
    </row>
    <row r="278">
      <c r="A278" s="76"/>
      <c r="B278" s="74"/>
      <c r="AM278" s="39"/>
    </row>
    <row r="279">
      <c r="A279" s="76"/>
      <c r="B279" s="74"/>
      <c r="AM279" s="39"/>
    </row>
    <row r="280">
      <c r="A280" s="76"/>
      <c r="B280" s="74"/>
      <c r="AM280" s="39"/>
    </row>
    <row r="281">
      <c r="A281" s="76"/>
      <c r="B281" s="74"/>
      <c r="AM281" s="39"/>
    </row>
    <row r="282">
      <c r="A282" s="76"/>
      <c r="B282" s="74"/>
      <c r="AM282" s="39"/>
    </row>
    <row r="283">
      <c r="A283" s="76"/>
      <c r="B283" s="74"/>
      <c r="AM283" s="39"/>
    </row>
    <row r="284">
      <c r="A284" s="76"/>
      <c r="B284" s="74"/>
      <c r="AM284" s="39"/>
    </row>
    <row r="285">
      <c r="A285" s="76"/>
      <c r="B285" s="74"/>
      <c r="AM285" s="39"/>
    </row>
    <row r="286">
      <c r="A286" s="76"/>
      <c r="B286" s="74"/>
      <c r="AM286" s="39"/>
    </row>
    <row r="287">
      <c r="A287" s="76"/>
      <c r="B287" s="74"/>
      <c r="AM287" s="39"/>
    </row>
    <row r="288">
      <c r="A288" s="76"/>
      <c r="B288" s="74"/>
      <c r="AM288" s="39"/>
    </row>
    <row r="289">
      <c r="A289" s="76"/>
      <c r="B289" s="74"/>
      <c r="AM289" s="39"/>
    </row>
    <row r="290">
      <c r="A290" s="76"/>
      <c r="B290" s="74"/>
      <c r="AM290" s="39"/>
    </row>
    <row r="291">
      <c r="A291" s="76"/>
      <c r="B291" s="74"/>
      <c r="AM291" s="39"/>
    </row>
    <row r="292">
      <c r="A292" s="76"/>
      <c r="B292" s="74"/>
      <c r="AM292" s="39"/>
    </row>
    <row r="293">
      <c r="A293" s="76"/>
      <c r="B293" s="74"/>
      <c r="AM293" s="39"/>
    </row>
    <row r="294">
      <c r="A294" s="76"/>
      <c r="B294" s="74"/>
      <c r="AM294" s="39"/>
    </row>
    <row r="295">
      <c r="A295" s="76"/>
      <c r="B295" s="74"/>
      <c r="AM295" s="39"/>
    </row>
    <row r="296">
      <c r="A296" s="76"/>
      <c r="B296" s="74"/>
      <c r="AM296" s="39"/>
    </row>
    <row r="297">
      <c r="A297" s="76"/>
      <c r="B297" s="74"/>
      <c r="AM297" s="39"/>
    </row>
    <row r="298">
      <c r="A298" s="76"/>
      <c r="B298" s="74"/>
      <c r="AM298" s="39"/>
    </row>
    <row r="299">
      <c r="A299" s="76"/>
      <c r="B299" s="74"/>
      <c r="AM299" s="39"/>
    </row>
    <row r="300">
      <c r="A300" s="76"/>
      <c r="B300" s="74"/>
      <c r="AM300" s="39"/>
    </row>
    <row r="301">
      <c r="A301" s="76"/>
      <c r="B301" s="74"/>
      <c r="AM301" s="39"/>
    </row>
    <row r="302">
      <c r="A302" s="76"/>
      <c r="B302" s="74"/>
      <c r="AM302" s="39"/>
    </row>
    <row r="303">
      <c r="A303" s="76"/>
      <c r="B303" s="74"/>
      <c r="AM303" s="39"/>
    </row>
    <row r="304">
      <c r="A304" s="76"/>
      <c r="B304" s="74"/>
      <c r="AM304" s="39"/>
    </row>
    <row r="305">
      <c r="A305" s="76"/>
      <c r="B305" s="74"/>
      <c r="AM305" s="39"/>
    </row>
    <row r="306">
      <c r="A306" s="76"/>
      <c r="B306" s="74"/>
      <c r="AM306" s="39"/>
    </row>
    <row r="307">
      <c r="A307" s="76"/>
      <c r="B307" s="74"/>
      <c r="AM307" s="39"/>
    </row>
    <row r="308">
      <c r="A308" s="76"/>
      <c r="B308" s="74"/>
      <c r="AM308" s="39"/>
    </row>
    <row r="309">
      <c r="A309" s="76"/>
      <c r="B309" s="74"/>
      <c r="AM309" s="39"/>
    </row>
    <row r="310">
      <c r="A310" s="76"/>
      <c r="B310" s="74"/>
      <c r="AM310" s="39"/>
    </row>
    <row r="311">
      <c r="A311" s="76"/>
      <c r="B311" s="74"/>
      <c r="AM311" s="39"/>
    </row>
    <row r="312">
      <c r="A312" s="76"/>
      <c r="B312" s="74"/>
      <c r="AM312" s="39"/>
    </row>
    <row r="313">
      <c r="A313" s="76"/>
      <c r="B313" s="74"/>
      <c r="AM313" s="39"/>
    </row>
    <row r="314">
      <c r="A314" s="76"/>
      <c r="B314" s="74"/>
      <c r="AM314" s="39"/>
    </row>
    <row r="315">
      <c r="A315" s="76"/>
      <c r="B315" s="74"/>
      <c r="AM315" s="39"/>
    </row>
    <row r="316">
      <c r="A316" s="76"/>
      <c r="B316" s="74"/>
      <c r="AM316" s="39"/>
    </row>
    <row r="317">
      <c r="A317" s="76"/>
      <c r="B317" s="74"/>
      <c r="AM317" s="39"/>
    </row>
    <row r="318">
      <c r="A318" s="76"/>
      <c r="B318" s="74"/>
      <c r="AM318" s="39"/>
    </row>
    <row r="319">
      <c r="A319" s="76"/>
      <c r="B319" s="74"/>
      <c r="AM319" s="39"/>
    </row>
    <row r="320">
      <c r="A320" s="76"/>
      <c r="B320" s="74"/>
      <c r="AM320" s="39"/>
    </row>
    <row r="321">
      <c r="A321" s="76"/>
      <c r="B321" s="74"/>
      <c r="AM321" s="39"/>
    </row>
    <row r="322">
      <c r="A322" s="76"/>
      <c r="B322" s="74"/>
      <c r="AM322" s="39"/>
    </row>
    <row r="323">
      <c r="A323" s="76"/>
      <c r="B323" s="74"/>
      <c r="AM323" s="39"/>
    </row>
    <row r="324">
      <c r="A324" s="76"/>
      <c r="B324" s="74"/>
      <c r="AM324" s="39"/>
    </row>
    <row r="325">
      <c r="A325" s="76"/>
      <c r="B325" s="74"/>
      <c r="AM325" s="39"/>
    </row>
    <row r="326">
      <c r="A326" s="76"/>
      <c r="B326" s="74"/>
      <c r="AM326" s="39"/>
    </row>
    <row r="327">
      <c r="A327" s="76"/>
      <c r="B327" s="74"/>
      <c r="AM327" s="39"/>
    </row>
    <row r="328">
      <c r="A328" s="76"/>
      <c r="B328" s="74"/>
      <c r="AM328" s="39"/>
    </row>
    <row r="329">
      <c r="A329" s="76"/>
      <c r="B329" s="74"/>
      <c r="AM329" s="39"/>
    </row>
    <row r="330">
      <c r="A330" s="76"/>
      <c r="B330" s="74"/>
      <c r="AM330" s="39"/>
    </row>
    <row r="331">
      <c r="A331" s="76"/>
      <c r="B331" s="74"/>
      <c r="AM331" s="39"/>
    </row>
    <row r="332">
      <c r="A332" s="76"/>
      <c r="B332" s="74"/>
      <c r="AM332" s="39"/>
    </row>
    <row r="333">
      <c r="A333" s="76"/>
      <c r="B333" s="74"/>
      <c r="AM333" s="39"/>
    </row>
    <row r="334">
      <c r="A334" s="76"/>
      <c r="B334" s="74"/>
      <c r="AM334" s="39"/>
    </row>
    <row r="335">
      <c r="A335" s="76"/>
      <c r="B335" s="74"/>
      <c r="AM335" s="39"/>
    </row>
    <row r="336">
      <c r="A336" s="76"/>
      <c r="B336" s="74"/>
      <c r="AM336" s="39"/>
    </row>
    <row r="337">
      <c r="A337" s="76"/>
      <c r="B337" s="74"/>
      <c r="AM337" s="39"/>
    </row>
    <row r="338">
      <c r="A338" s="76"/>
      <c r="B338" s="74"/>
      <c r="AM338" s="39"/>
    </row>
    <row r="339">
      <c r="A339" s="76"/>
      <c r="B339" s="74"/>
      <c r="AM339" s="39"/>
    </row>
    <row r="340">
      <c r="A340" s="76"/>
      <c r="B340" s="74"/>
      <c r="AM340" s="39"/>
    </row>
    <row r="341">
      <c r="A341" s="76"/>
      <c r="B341" s="74"/>
      <c r="AM341" s="39"/>
    </row>
    <row r="342">
      <c r="A342" s="76"/>
      <c r="B342" s="74"/>
      <c r="AM342" s="39"/>
    </row>
    <row r="343">
      <c r="A343" s="76"/>
      <c r="B343" s="74"/>
      <c r="AM343" s="39"/>
    </row>
    <row r="344">
      <c r="A344" s="76"/>
      <c r="B344" s="74"/>
      <c r="AM344" s="39"/>
    </row>
    <row r="345">
      <c r="A345" s="76"/>
      <c r="B345" s="74"/>
      <c r="AM345" s="39"/>
    </row>
    <row r="346">
      <c r="A346" s="76"/>
      <c r="B346" s="74"/>
      <c r="AM346" s="39"/>
    </row>
    <row r="347">
      <c r="A347" s="76"/>
      <c r="B347" s="74"/>
      <c r="AM347" s="39"/>
    </row>
    <row r="348">
      <c r="A348" s="76"/>
      <c r="B348" s="74"/>
      <c r="AM348" s="39"/>
    </row>
    <row r="349">
      <c r="A349" s="76"/>
      <c r="B349" s="74"/>
      <c r="AM349" s="39"/>
    </row>
    <row r="350">
      <c r="A350" s="76"/>
      <c r="B350" s="74"/>
      <c r="AM350" s="39"/>
    </row>
    <row r="351">
      <c r="A351" s="76"/>
      <c r="B351" s="74"/>
      <c r="AM351" s="39"/>
    </row>
    <row r="352">
      <c r="A352" s="76"/>
      <c r="B352" s="74"/>
      <c r="AM352" s="39"/>
    </row>
    <row r="353">
      <c r="A353" s="76"/>
      <c r="B353" s="74"/>
      <c r="AM353" s="39"/>
    </row>
    <row r="354">
      <c r="A354" s="76"/>
      <c r="B354" s="74"/>
      <c r="AM354" s="39"/>
    </row>
    <row r="355">
      <c r="A355" s="76"/>
      <c r="B355" s="74"/>
      <c r="AM355" s="39"/>
    </row>
    <row r="356">
      <c r="A356" s="76"/>
      <c r="B356" s="74"/>
      <c r="AM356" s="39"/>
    </row>
    <row r="357">
      <c r="A357" s="76"/>
      <c r="B357" s="74"/>
      <c r="AM357" s="39"/>
    </row>
    <row r="358">
      <c r="A358" s="76"/>
      <c r="B358" s="74"/>
      <c r="AM358" s="39"/>
    </row>
    <row r="359">
      <c r="A359" s="76"/>
      <c r="B359" s="74"/>
      <c r="AM359" s="39"/>
    </row>
    <row r="360">
      <c r="A360" s="76"/>
      <c r="B360" s="74"/>
      <c r="AM360" s="39"/>
    </row>
    <row r="361">
      <c r="A361" s="76"/>
      <c r="B361" s="74"/>
      <c r="AM361" s="39"/>
    </row>
    <row r="362">
      <c r="A362" s="76"/>
      <c r="B362" s="74"/>
      <c r="AM362" s="39"/>
    </row>
    <row r="363">
      <c r="A363" s="76"/>
      <c r="B363" s="74"/>
      <c r="AM363" s="39"/>
    </row>
    <row r="364">
      <c r="A364" s="76"/>
      <c r="B364" s="74"/>
      <c r="AM364" s="39"/>
    </row>
    <row r="365">
      <c r="A365" s="76"/>
      <c r="B365" s="74"/>
      <c r="AM365" s="39"/>
    </row>
    <row r="366">
      <c r="A366" s="76"/>
      <c r="B366" s="74"/>
      <c r="AM366" s="39"/>
    </row>
    <row r="367">
      <c r="A367" s="76"/>
      <c r="B367" s="74"/>
      <c r="AM367" s="39"/>
    </row>
    <row r="368">
      <c r="A368" s="76"/>
      <c r="B368" s="74"/>
      <c r="AM368" s="39"/>
    </row>
    <row r="369">
      <c r="A369" s="76"/>
      <c r="B369" s="74"/>
      <c r="AM369" s="39"/>
    </row>
    <row r="370">
      <c r="A370" s="76"/>
      <c r="B370" s="74"/>
      <c r="AM370" s="39"/>
    </row>
    <row r="371">
      <c r="A371" s="76"/>
      <c r="B371" s="74"/>
      <c r="AM371" s="39"/>
    </row>
    <row r="372">
      <c r="A372" s="76"/>
      <c r="B372" s="74"/>
      <c r="AM372" s="39"/>
    </row>
    <row r="373">
      <c r="A373" s="76"/>
      <c r="B373" s="74"/>
      <c r="AM373" s="39"/>
    </row>
    <row r="374">
      <c r="A374" s="76"/>
      <c r="B374" s="74"/>
      <c r="AM374" s="39"/>
    </row>
    <row r="375">
      <c r="A375" s="76"/>
      <c r="B375" s="74"/>
      <c r="AM375" s="39"/>
    </row>
    <row r="376">
      <c r="A376" s="76"/>
      <c r="B376" s="74"/>
      <c r="AM376" s="39"/>
    </row>
    <row r="377">
      <c r="A377" s="76"/>
      <c r="B377" s="74"/>
      <c r="AM377" s="39"/>
    </row>
    <row r="378">
      <c r="A378" s="76"/>
      <c r="B378" s="74"/>
      <c r="AM378" s="39"/>
    </row>
    <row r="379">
      <c r="A379" s="76"/>
      <c r="B379" s="74"/>
      <c r="AM379" s="39"/>
    </row>
    <row r="380">
      <c r="A380" s="76"/>
      <c r="B380" s="74"/>
      <c r="AM380" s="39"/>
    </row>
    <row r="381">
      <c r="A381" s="76"/>
      <c r="B381" s="74"/>
      <c r="AM381" s="39"/>
    </row>
    <row r="382">
      <c r="A382" s="76"/>
      <c r="B382" s="74"/>
      <c r="AM382" s="39"/>
    </row>
    <row r="383">
      <c r="A383" s="76"/>
      <c r="B383" s="74"/>
      <c r="AM383" s="39"/>
    </row>
    <row r="384">
      <c r="A384" s="76"/>
      <c r="B384" s="74"/>
      <c r="AM384" s="39"/>
    </row>
    <row r="385">
      <c r="A385" s="76"/>
      <c r="B385" s="74"/>
      <c r="AM385" s="39"/>
    </row>
    <row r="386">
      <c r="A386" s="76"/>
      <c r="B386" s="74"/>
      <c r="AM386" s="39"/>
    </row>
    <row r="387">
      <c r="A387" s="76"/>
      <c r="B387" s="74"/>
      <c r="AM387" s="39"/>
    </row>
    <row r="388">
      <c r="A388" s="76"/>
      <c r="B388" s="74"/>
      <c r="AM388" s="39"/>
    </row>
    <row r="389">
      <c r="A389" s="76"/>
      <c r="B389" s="74"/>
      <c r="AM389" s="39"/>
    </row>
    <row r="390">
      <c r="A390" s="76"/>
      <c r="B390" s="74"/>
      <c r="AM390" s="39"/>
    </row>
    <row r="391">
      <c r="A391" s="76"/>
      <c r="B391" s="74"/>
      <c r="AM391" s="39"/>
    </row>
    <row r="392">
      <c r="A392" s="76"/>
      <c r="B392" s="74"/>
      <c r="AM392" s="39"/>
    </row>
    <row r="393">
      <c r="A393" s="76"/>
      <c r="B393" s="74"/>
      <c r="AM393" s="39"/>
    </row>
    <row r="394">
      <c r="A394" s="76"/>
      <c r="B394" s="74"/>
      <c r="AM394" s="39"/>
    </row>
    <row r="395">
      <c r="A395" s="76"/>
      <c r="B395" s="74"/>
      <c r="AM395" s="39"/>
    </row>
    <row r="396">
      <c r="A396" s="76"/>
      <c r="B396" s="74"/>
      <c r="AM396" s="39"/>
    </row>
    <row r="397">
      <c r="A397" s="76"/>
      <c r="B397" s="74"/>
      <c r="AM397" s="39"/>
    </row>
    <row r="398">
      <c r="A398" s="76"/>
      <c r="B398" s="74"/>
      <c r="AM398" s="39"/>
    </row>
    <row r="399">
      <c r="A399" s="76"/>
      <c r="B399" s="74"/>
      <c r="AM399" s="39"/>
    </row>
    <row r="400">
      <c r="A400" s="76"/>
      <c r="B400" s="74"/>
      <c r="AM400" s="39"/>
    </row>
    <row r="401">
      <c r="A401" s="76"/>
      <c r="B401" s="74"/>
      <c r="AM401" s="39"/>
    </row>
    <row r="402">
      <c r="A402" s="76"/>
      <c r="B402" s="74"/>
      <c r="AM402" s="39"/>
    </row>
    <row r="403">
      <c r="A403" s="76"/>
      <c r="B403" s="74"/>
      <c r="AM403" s="39"/>
    </row>
    <row r="404">
      <c r="A404" s="76"/>
      <c r="B404" s="74"/>
      <c r="AM404" s="39"/>
    </row>
    <row r="405">
      <c r="A405" s="76"/>
      <c r="B405" s="74"/>
      <c r="AM405" s="39"/>
    </row>
    <row r="406">
      <c r="A406" s="76"/>
      <c r="B406" s="74"/>
      <c r="AM406" s="39"/>
    </row>
    <row r="407">
      <c r="A407" s="76"/>
      <c r="B407" s="74"/>
      <c r="AM407" s="39"/>
    </row>
    <row r="408">
      <c r="A408" s="76"/>
      <c r="B408" s="74"/>
      <c r="AM408" s="39"/>
    </row>
    <row r="409">
      <c r="A409" s="76"/>
      <c r="B409" s="74"/>
      <c r="AM409" s="39"/>
    </row>
    <row r="410">
      <c r="A410" s="76"/>
      <c r="B410" s="74"/>
      <c r="AM410" s="39"/>
    </row>
    <row r="411">
      <c r="A411" s="76"/>
      <c r="B411" s="74"/>
      <c r="AM411" s="39"/>
    </row>
    <row r="412">
      <c r="A412" s="76"/>
      <c r="B412" s="74"/>
      <c r="AM412" s="39"/>
    </row>
    <row r="413">
      <c r="A413" s="76"/>
      <c r="B413" s="74"/>
      <c r="AM413" s="39"/>
    </row>
    <row r="414">
      <c r="A414" s="76"/>
      <c r="B414" s="74"/>
      <c r="AM414" s="39"/>
    </row>
    <row r="415">
      <c r="A415" s="76"/>
      <c r="B415" s="74"/>
      <c r="AM415" s="39"/>
    </row>
    <row r="416">
      <c r="A416" s="76"/>
      <c r="B416" s="74"/>
      <c r="AM416" s="39"/>
    </row>
    <row r="417">
      <c r="A417" s="76"/>
      <c r="B417" s="74"/>
      <c r="AM417" s="39"/>
    </row>
    <row r="418">
      <c r="A418" s="76"/>
      <c r="B418" s="74"/>
      <c r="AM418" s="39"/>
    </row>
    <row r="419">
      <c r="A419" s="76"/>
      <c r="B419" s="74"/>
      <c r="AM419" s="39"/>
    </row>
    <row r="420">
      <c r="A420" s="76"/>
      <c r="B420" s="74"/>
      <c r="AM420" s="39"/>
    </row>
    <row r="421">
      <c r="A421" s="76"/>
      <c r="B421" s="74"/>
      <c r="AM421" s="39"/>
    </row>
    <row r="422">
      <c r="A422" s="76"/>
      <c r="B422" s="74"/>
      <c r="AM422" s="39"/>
    </row>
    <row r="423">
      <c r="A423" s="76"/>
      <c r="B423" s="74"/>
      <c r="AM423" s="39"/>
    </row>
    <row r="424">
      <c r="A424" s="76"/>
      <c r="B424" s="74"/>
      <c r="AM424" s="39"/>
    </row>
    <row r="425">
      <c r="A425" s="76"/>
      <c r="B425" s="74"/>
      <c r="AM425" s="39"/>
    </row>
    <row r="426">
      <c r="A426" s="76"/>
      <c r="B426" s="74"/>
      <c r="AM426" s="39"/>
    </row>
    <row r="427">
      <c r="A427" s="76"/>
      <c r="B427" s="74"/>
      <c r="AM427" s="39"/>
    </row>
    <row r="428">
      <c r="A428" s="76"/>
      <c r="B428" s="74"/>
      <c r="AM428" s="39"/>
    </row>
    <row r="429">
      <c r="A429" s="76"/>
      <c r="B429" s="74"/>
      <c r="AM429" s="39"/>
    </row>
    <row r="430">
      <c r="A430" s="76"/>
      <c r="B430" s="74"/>
      <c r="AM430" s="39"/>
    </row>
    <row r="431">
      <c r="A431" s="76"/>
      <c r="B431" s="74"/>
      <c r="AM431" s="39"/>
    </row>
    <row r="432">
      <c r="A432" s="76"/>
      <c r="B432" s="74"/>
      <c r="AM432" s="39"/>
    </row>
    <row r="433">
      <c r="A433" s="76"/>
      <c r="B433" s="74"/>
      <c r="AM433" s="39"/>
    </row>
    <row r="434">
      <c r="A434" s="76"/>
      <c r="B434" s="74"/>
      <c r="AM434" s="39"/>
    </row>
    <row r="435">
      <c r="A435" s="76"/>
      <c r="B435" s="74"/>
      <c r="AM435" s="39"/>
    </row>
    <row r="436">
      <c r="A436" s="76"/>
      <c r="B436" s="74"/>
      <c r="AM436" s="39"/>
    </row>
    <row r="437">
      <c r="A437" s="76"/>
      <c r="B437" s="74"/>
      <c r="AM437" s="39"/>
    </row>
    <row r="438">
      <c r="A438" s="76"/>
      <c r="B438" s="74"/>
      <c r="AM438" s="39"/>
    </row>
    <row r="439">
      <c r="A439" s="76"/>
      <c r="B439" s="74"/>
      <c r="AM439" s="39"/>
    </row>
    <row r="440">
      <c r="A440" s="76"/>
      <c r="B440" s="74"/>
      <c r="AM440" s="39"/>
    </row>
    <row r="441">
      <c r="A441" s="76"/>
      <c r="B441" s="74"/>
      <c r="AM441" s="39"/>
    </row>
    <row r="442">
      <c r="A442" s="76"/>
      <c r="B442" s="74"/>
      <c r="AM442" s="39"/>
    </row>
    <row r="443">
      <c r="A443" s="76"/>
      <c r="B443" s="74"/>
      <c r="AM443" s="39"/>
    </row>
    <row r="444">
      <c r="A444" s="76"/>
      <c r="B444" s="74"/>
      <c r="AM444" s="39"/>
    </row>
    <row r="445">
      <c r="A445" s="76"/>
      <c r="B445" s="74"/>
      <c r="AM445" s="39"/>
    </row>
    <row r="446">
      <c r="A446" s="76"/>
      <c r="B446" s="74"/>
      <c r="AM446" s="39"/>
    </row>
    <row r="447">
      <c r="A447" s="76"/>
      <c r="B447" s="74"/>
      <c r="AM447" s="39"/>
    </row>
    <row r="448">
      <c r="A448" s="76"/>
      <c r="B448" s="74"/>
      <c r="AM448" s="39"/>
    </row>
    <row r="449">
      <c r="A449" s="76"/>
      <c r="B449" s="74"/>
      <c r="AM449" s="39"/>
    </row>
    <row r="450">
      <c r="A450" s="76"/>
      <c r="B450" s="74"/>
      <c r="AM450" s="39"/>
    </row>
    <row r="451">
      <c r="A451" s="76"/>
      <c r="B451" s="74"/>
      <c r="AM451" s="39"/>
    </row>
    <row r="452">
      <c r="A452" s="76"/>
      <c r="B452" s="74"/>
      <c r="AM452" s="39"/>
    </row>
    <row r="453">
      <c r="A453" s="76"/>
      <c r="B453" s="74"/>
      <c r="AM453" s="39"/>
    </row>
    <row r="454">
      <c r="A454" s="76"/>
      <c r="B454" s="74"/>
      <c r="AM454" s="39"/>
    </row>
    <row r="455">
      <c r="A455" s="76"/>
      <c r="B455" s="74"/>
      <c r="AM455" s="39"/>
    </row>
    <row r="456">
      <c r="A456" s="76"/>
      <c r="B456" s="74"/>
      <c r="AM456" s="39"/>
    </row>
    <row r="457">
      <c r="A457" s="76"/>
      <c r="B457" s="74"/>
      <c r="AM457" s="39"/>
    </row>
    <row r="458">
      <c r="A458" s="76"/>
      <c r="B458" s="74"/>
      <c r="AM458" s="39"/>
    </row>
    <row r="459">
      <c r="A459" s="76"/>
      <c r="B459" s="74"/>
      <c r="AM459" s="39"/>
    </row>
    <row r="460">
      <c r="A460" s="76"/>
      <c r="B460" s="74"/>
      <c r="AM460" s="39"/>
    </row>
    <row r="461">
      <c r="A461" s="76"/>
      <c r="B461" s="74"/>
      <c r="AM461" s="39"/>
    </row>
    <row r="462">
      <c r="A462" s="76"/>
      <c r="B462" s="74"/>
      <c r="AM462" s="39"/>
    </row>
    <row r="463">
      <c r="A463" s="76"/>
      <c r="B463" s="74"/>
      <c r="AM463" s="39"/>
    </row>
    <row r="464">
      <c r="A464" s="76"/>
      <c r="B464" s="74"/>
      <c r="AM464" s="39"/>
    </row>
    <row r="465">
      <c r="A465" s="76"/>
      <c r="B465" s="74"/>
      <c r="AM465" s="39"/>
    </row>
    <row r="466">
      <c r="A466" s="76"/>
      <c r="B466" s="74"/>
      <c r="AM466" s="39"/>
    </row>
    <row r="467">
      <c r="A467" s="76"/>
      <c r="B467" s="74"/>
      <c r="AM467" s="39"/>
    </row>
    <row r="468">
      <c r="A468" s="76"/>
      <c r="B468" s="74"/>
      <c r="AM468" s="39"/>
    </row>
    <row r="469">
      <c r="A469" s="76"/>
      <c r="B469" s="74"/>
      <c r="AM469" s="39"/>
    </row>
    <row r="470">
      <c r="A470" s="76"/>
      <c r="B470" s="74"/>
      <c r="AM470" s="39"/>
    </row>
    <row r="471">
      <c r="A471" s="76"/>
      <c r="B471" s="74"/>
      <c r="AM471" s="39"/>
    </row>
    <row r="472">
      <c r="A472" s="76"/>
      <c r="B472" s="74"/>
      <c r="AM472" s="39"/>
    </row>
    <row r="473">
      <c r="A473" s="76"/>
      <c r="B473" s="74"/>
      <c r="AM473" s="39"/>
    </row>
    <row r="474">
      <c r="A474" s="76"/>
      <c r="B474" s="74"/>
      <c r="AM474" s="39"/>
    </row>
    <row r="475">
      <c r="A475" s="76"/>
      <c r="B475" s="74"/>
      <c r="AM475" s="39"/>
    </row>
    <row r="476">
      <c r="A476" s="76"/>
      <c r="B476" s="74"/>
      <c r="AM476" s="39"/>
    </row>
    <row r="477">
      <c r="A477" s="76"/>
      <c r="B477" s="74"/>
      <c r="AM477" s="39"/>
    </row>
    <row r="478">
      <c r="A478" s="76"/>
      <c r="B478" s="74"/>
      <c r="AM478" s="39"/>
    </row>
    <row r="479">
      <c r="A479" s="76"/>
      <c r="B479" s="74"/>
      <c r="AM479" s="39"/>
    </row>
    <row r="480">
      <c r="A480" s="76"/>
      <c r="B480" s="74"/>
      <c r="AM480" s="39"/>
    </row>
    <row r="481">
      <c r="A481" s="76"/>
      <c r="B481" s="74"/>
      <c r="AM481" s="39"/>
    </row>
    <row r="482">
      <c r="A482" s="76"/>
      <c r="B482" s="74"/>
      <c r="AM482" s="39"/>
    </row>
    <row r="483">
      <c r="A483" s="76"/>
      <c r="B483" s="74"/>
      <c r="AM483" s="39"/>
    </row>
    <row r="484">
      <c r="A484" s="76"/>
      <c r="B484" s="74"/>
      <c r="AM484" s="39"/>
    </row>
    <row r="485">
      <c r="A485" s="76"/>
      <c r="B485" s="74"/>
      <c r="AM485" s="39"/>
    </row>
    <row r="486">
      <c r="A486" s="76"/>
      <c r="B486" s="74"/>
      <c r="AM486" s="39"/>
    </row>
    <row r="487">
      <c r="A487" s="76"/>
      <c r="B487" s="74"/>
      <c r="AM487" s="39"/>
    </row>
    <row r="488">
      <c r="A488" s="76"/>
      <c r="B488" s="74"/>
      <c r="AM488" s="39"/>
    </row>
    <row r="489">
      <c r="A489" s="76"/>
      <c r="B489" s="74"/>
      <c r="AM489" s="39"/>
    </row>
    <row r="490">
      <c r="A490" s="76"/>
      <c r="B490" s="74"/>
      <c r="AM490" s="39"/>
    </row>
    <row r="491">
      <c r="A491" s="76"/>
      <c r="B491" s="74"/>
      <c r="AM491" s="39"/>
    </row>
    <row r="492">
      <c r="A492" s="76"/>
      <c r="B492" s="74"/>
      <c r="AM492" s="39"/>
    </row>
    <row r="493">
      <c r="A493" s="76"/>
      <c r="B493" s="74"/>
      <c r="AM493" s="39"/>
    </row>
    <row r="494">
      <c r="A494" s="76"/>
      <c r="B494" s="74"/>
      <c r="AM494" s="39"/>
    </row>
    <row r="495">
      <c r="A495" s="76"/>
      <c r="B495" s="74"/>
      <c r="AM495" s="39"/>
    </row>
    <row r="496">
      <c r="A496" s="76"/>
      <c r="B496" s="74"/>
      <c r="AM496" s="39"/>
    </row>
    <row r="497">
      <c r="A497" s="76"/>
      <c r="B497" s="74"/>
      <c r="AM497" s="39"/>
    </row>
    <row r="498">
      <c r="A498" s="76"/>
      <c r="B498" s="74"/>
      <c r="AM498" s="39"/>
    </row>
    <row r="499">
      <c r="A499" s="76"/>
      <c r="B499" s="74"/>
      <c r="AM499" s="39"/>
    </row>
    <row r="500">
      <c r="A500" s="76"/>
      <c r="B500" s="74"/>
      <c r="AM500" s="39"/>
    </row>
    <row r="501">
      <c r="A501" s="76"/>
      <c r="B501" s="74"/>
      <c r="AM501" s="39"/>
    </row>
    <row r="502">
      <c r="A502" s="76"/>
      <c r="B502" s="74"/>
      <c r="AM502" s="39"/>
    </row>
    <row r="503">
      <c r="A503" s="76"/>
      <c r="B503" s="74"/>
      <c r="AM503" s="39"/>
    </row>
    <row r="504">
      <c r="A504" s="76"/>
      <c r="B504" s="74"/>
      <c r="AM504" s="39"/>
    </row>
    <row r="505">
      <c r="A505" s="76"/>
      <c r="B505" s="74"/>
      <c r="AM505" s="39"/>
    </row>
    <row r="506">
      <c r="A506" s="76"/>
      <c r="B506" s="74"/>
      <c r="AM506" s="39"/>
    </row>
    <row r="507">
      <c r="A507" s="76"/>
      <c r="B507" s="74"/>
      <c r="AM507" s="39"/>
    </row>
    <row r="508">
      <c r="A508" s="76"/>
      <c r="B508" s="74"/>
      <c r="AM508" s="39"/>
    </row>
    <row r="509">
      <c r="A509" s="76"/>
      <c r="B509" s="74"/>
      <c r="AM509" s="39"/>
    </row>
    <row r="510">
      <c r="A510" s="76"/>
      <c r="B510" s="74"/>
      <c r="AM510" s="39"/>
    </row>
    <row r="511">
      <c r="A511" s="76"/>
      <c r="B511" s="74"/>
      <c r="AM511" s="39"/>
    </row>
    <row r="512">
      <c r="A512" s="76"/>
      <c r="B512" s="74"/>
      <c r="AM512" s="39"/>
    </row>
    <row r="513">
      <c r="A513" s="76"/>
      <c r="B513" s="74"/>
      <c r="AM513" s="39"/>
    </row>
    <row r="514">
      <c r="A514" s="76"/>
      <c r="B514" s="74"/>
      <c r="AM514" s="39"/>
    </row>
    <row r="515">
      <c r="A515" s="76"/>
      <c r="B515" s="74"/>
      <c r="AM515" s="39"/>
    </row>
    <row r="516">
      <c r="A516" s="76"/>
      <c r="B516" s="74"/>
      <c r="AM516" s="39"/>
    </row>
    <row r="517">
      <c r="A517" s="76"/>
      <c r="B517" s="74"/>
      <c r="AM517" s="39"/>
    </row>
    <row r="518">
      <c r="A518" s="76"/>
      <c r="B518" s="74"/>
      <c r="AM518" s="39"/>
    </row>
    <row r="519">
      <c r="A519" s="76"/>
      <c r="B519" s="74"/>
      <c r="AM519" s="39"/>
    </row>
    <row r="520">
      <c r="A520" s="76"/>
      <c r="B520" s="74"/>
      <c r="AM520" s="39"/>
    </row>
    <row r="521">
      <c r="A521" s="76"/>
      <c r="B521" s="74"/>
      <c r="AM521" s="39"/>
    </row>
    <row r="522">
      <c r="A522" s="76"/>
      <c r="B522" s="74"/>
      <c r="AM522" s="39"/>
    </row>
    <row r="523">
      <c r="A523" s="76"/>
      <c r="B523" s="74"/>
      <c r="AM523" s="39"/>
    </row>
    <row r="524">
      <c r="A524" s="76"/>
      <c r="B524" s="74"/>
      <c r="AM524" s="39"/>
    </row>
    <row r="525">
      <c r="A525" s="76"/>
      <c r="B525" s="74"/>
      <c r="AM525" s="39"/>
    </row>
    <row r="526">
      <c r="A526" s="76"/>
      <c r="B526" s="74"/>
      <c r="AM526" s="39"/>
    </row>
    <row r="527">
      <c r="A527" s="76"/>
      <c r="B527" s="74"/>
      <c r="AM527" s="39"/>
    </row>
    <row r="528">
      <c r="A528" s="76"/>
      <c r="B528" s="74"/>
      <c r="AM528" s="39"/>
    </row>
    <row r="529">
      <c r="A529" s="76"/>
      <c r="B529" s="74"/>
      <c r="AM529" s="39"/>
    </row>
    <row r="530">
      <c r="A530" s="76"/>
      <c r="B530" s="74"/>
      <c r="AM530" s="39"/>
    </row>
    <row r="531">
      <c r="A531" s="76"/>
      <c r="B531" s="74"/>
      <c r="AM531" s="39"/>
    </row>
    <row r="532">
      <c r="A532" s="76"/>
      <c r="B532" s="74"/>
      <c r="AM532" s="39"/>
    </row>
    <row r="533">
      <c r="A533" s="76"/>
      <c r="B533" s="74"/>
      <c r="AM533" s="39"/>
    </row>
    <row r="534">
      <c r="A534" s="76"/>
      <c r="B534" s="74"/>
      <c r="AM534" s="39"/>
    </row>
    <row r="535">
      <c r="A535" s="76"/>
      <c r="B535" s="74"/>
      <c r="AM535" s="39"/>
    </row>
    <row r="536">
      <c r="A536" s="76"/>
      <c r="B536" s="74"/>
      <c r="AM536" s="39"/>
    </row>
    <row r="537">
      <c r="A537" s="76"/>
      <c r="B537" s="74"/>
      <c r="AM537" s="39"/>
    </row>
    <row r="538">
      <c r="A538" s="76"/>
      <c r="B538" s="74"/>
      <c r="AM538" s="39"/>
    </row>
    <row r="539">
      <c r="A539" s="76"/>
      <c r="B539" s="74"/>
      <c r="AM539" s="39"/>
    </row>
    <row r="540">
      <c r="A540" s="76"/>
      <c r="B540" s="74"/>
      <c r="AM540" s="39"/>
    </row>
    <row r="541">
      <c r="A541" s="76"/>
      <c r="B541" s="74"/>
      <c r="AM541" s="39"/>
    </row>
    <row r="542">
      <c r="A542" s="76"/>
      <c r="B542" s="74"/>
      <c r="AM542" s="39"/>
    </row>
    <row r="543">
      <c r="A543" s="76"/>
      <c r="B543" s="74"/>
      <c r="AM543" s="39"/>
    </row>
    <row r="544">
      <c r="A544" s="76"/>
      <c r="B544" s="74"/>
      <c r="AM544" s="39"/>
    </row>
    <row r="545">
      <c r="A545" s="76"/>
      <c r="B545" s="74"/>
      <c r="AM545" s="39"/>
    </row>
    <row r="546">
      <c r="A546" s="76"/>
      <c r="B546" s="74"/>
      <c r="AM546" s="39"/>
    </row>
    <row r="547">
      <c r="A547" s="76"/>
      <c r="B547" s="74"/>
      <c r="AM547" s="39"/>
    </row>
    <row r="548">
      <c r="A548" s="76"/>
      <c r="B548" s="74"/>
      <c r="AM548" s="39"/>
    </row>
    <row r="549">
      <c r="A549" s="76"/>
      <c r="B549" s="74"/>
      <c r="AM549" s="39"/>
    </row>
    <row r="550">
      <c r="A550" s="76"/>
      <c r="B550" s="74"/>
      <c r="AM550" s="39"/>
    </row>
    <row r="551">
      <c r="A551" s="76"/>
      <c r="B551" s="74"/>
      <c r="AM551" s="39"/>
    </row>
    <row r="552">
      <c r="A552" s="76"/>
      <c r="B552" s="74"/>
      <c r="AM552" s="39"/>
    </row>
    <row r="553">
      <c r="A553" s="76"/>
      <c r="B553" s="74"/>
      <c r="AM553" s="39"/>
    </row>
    <row r="554">
      <c r="A554" s="76"/>
      <c r="B554" s="74"/>
      <c r="AM554" s="39"/>
    </row>
    <row r="555">
      <c r="A555" s="76"/>
      <c r="B555" s="74"/>
      <c r="AM555" s="39"/>
    </row>
    <row r="556">
      <c r="A556" s="76"/>
      <c r="B556" s="74"/>
      <c r="AM556" s="39"/>
    </row>
    <row r="557">
      <c r="A557" s="76"/>
      <c r="B557" s="74"/>
      <c r="AM557" s="39"/>
    </row>
    <row r="558">
      <c r="A558" s="76"/>
      <c r="B558" s="74"/>
      <c r="AM558" s="39"/>
    </row>
    <row r="559">
      <c r="A559" s="76"/>
      <c r="B559" s="74"/>
      <c r="AM559" s="39"/>
    </row>
    <row r="560">
      <c r="A560" s="76"/>
      <c r="B560" s="74"/>
      <c r="AM560" s="39"/>
    </row>
    <row r="561">
      <c r="A561" s="76"/>
      <c r="B561" s="74"/>
      <c r="AM561" s="39"/>
    </row>
    <row r="562">
      <c r="A562" s="76"/>
      <c r="B562" s="74"/>
      <c r="AM562" s="39"/>
    </row>
    <row r="563">
      <c r="A563" s="76"/>
      <c r="B563" s="74"/>
      <c r="AM563" s="39"/>
    </row>
    <row r="564">
      <c r="A564" s="76"/>
      <c r="B564" s="74"/>
      <c r="AM564" s="39"/>
    </row>
    <row r="565">
      <c r="A565" s="76"/>
      <c r="B565" s="74"/>
      <c r="AM565" s="39"/>
    </row>
    <row r="566">
      <c r="A566" s="76"/>
      <c r="B566" s="74"/>
      <c r="AM566" s="39"/>
    </row>
    <row r="567">
      <c r="A567" s="76"/>
      <c r="B567" s="74"/>
      <c r="AM567" s="39"/>
    </row>
    <row r="568">
      <c r="A568" s="76"/>
      <c r="B568" s="74"/>
      <c r="AM568" s="39"/>
    </row>
    <row r="569">
      <c r="A569" s="76"/>
      <c r="B569" s="74"/>
      <c r="AM569" s="39"/>
    </row>
    <row r="570">
      <c r="A570" s="76"/>
      <c r="B570" s="74"/>
      <c r="AM570" s="39"/>
    </row>
    <row r="571">
      <c r="A571" s="76"/>
      <c r="B571" s="74"/>
      <c r="AM571" s="39"/>
    </row>
    <row r="572">
      <c r="A572" s="76"/>
      <c r="B572" s="74"/>
      <c r="AM572" s="39"/>
    </row>
    <row r="573">
      <c r="A573" s="76"/>
      <c r="B573" s="74"/>
      <c r="AM573" s="39"/>
    </row>
    <row r="574">
      <c r="A574" s="76"/>
      <c r="B574" s="74"/>
      <c r="AM574" s="39"/>
    </row>
    <row r="575">
      <c r="A575" s="76"/>
      <c r="B575" s="74"/>
      <c r="AM575" s="39"/>
    </row>
    <row r="576">
      <c r="A576" s="76"/>
      <c r="B576" s="74"/>
      <c r="AM576" s="39"/>
    </row>
    <row r="577">
      <c r="A577" s="76"/>
      <c r="B577" s="74"/>
      <c r="AM577" s="39"/>
    </row>
    <row r="578">
      <c r="A578" s="76"/>
      <c r="B578" s="74"/>
      <c r="AM578" s="39"/>
    </row>
    <row r="579">
      <c r="A579" s="76"/>
      <c r="B579" s="74"/>
      <c r="AM579" s="39"/>
    </row>
    <row r="580">
      <c r="A580" s="76"/>
      <c r="B580" s="74"/>
      <c r="AM580" s="39"/>
    </row>
    <row r="581">
      <c r="A581" s="76"/>
      <c r="B581" s="74"/>
      <c r="AM581" s="39"/>
    </row>
    <row r="582">
      <c r="A582" s="76"/>
      <c r="B582" s="74"/>
      <c r="AM582" s="39"/>
    </row>
    <row r="583">
      <c r="A583" s="76"/>
      <c r="B583" s="74"/>
      <c r="AM583" s="39"/>
    </row>
    <row r="584">
      <c r="A584" s="76"/>
      <c r="B584" s="74"/>
      <c r="AM584" s="39"/>
    </row>
    <row r="585">
      <c r="A585" s="76"/>
      <c r="B585" s="74"/>
      <c r="AM585" s="39"/>
    </row>
    <row r="586">
      <c r="A586" s="76"/>
      <c r="B586" s="74"/>
      <c r="AM586" s="39"/>
    </row>
    <row r="587">
      <c r="A587" s="76"/>
      <c r="B587" s="74"/>
      <c r="AM587" s="39"/>
    </row>
    <row r="588">
      <c r="A588" s="76"/>
      <c r="B588" s="74"/>
      <c r="AM588" s="39"/>
    </row>
    <row r="589">
      <c r="A589" s="76"/>
      <c r="B589" s="74"/>
      <c r="AM589" s="39"/>
    </row>
    <row r="590">
      <c r="A590" s="76"/>
      <c r="B590" s="74"/>
      <c r="AM590" s="39"/>
    </row>
    <row r="591">
      <c r="A591" s="76"/>
      <c r="B591" s="74"/>
      <c r="AM591" s="39"/>
    </row>
    <row r="592">
      <c r="A592" s="76"/>
      <c r="B592" s="74"/>
      <c r="AM592" s="39"/>
    </row>
    <row r="593">
      <c r="A593" s="76"/>
      <c r="B593" s="74"/>
      <c r="AM593" s="39"/>
    </row>
    <row r="594">
      <c r="A594" s="76"/>
      <c r="B594" s="74"/>
      <c r="AM594" s="39"/>
    </row>
    <row r="595">
      <c r="A595" s="76"/>
      <c r="B595" s="74"/>
      <c r="AM595" s="39"/>
    </row>
    <row r="596">
      <c r="A596" s="76"/>
      <c r="B596" s="74"/>
      <c r="AM596" s="39"/>
    </row>
    <row r="597">
      <c r="A597" s="76"/>
      <c r="B597" s="74"/>
      <c r="AM597" s="39"/>
    </row>
    <row r="598">
      <c r="A598" s="76"/>
      <c r="B598" s="74"/>
      <c r="AM598" s="39"/>
    </row>
    <row r="599">
      <c r="A599" s="76"/>
      <c r="B599" s="74"/>
      <c r="AM599" s="39"/>
    </row>
    <row r="600">
      <c r="A600" s="76"/>
      <c r="B600" s="74"/>
      <c r="AM600" s="39"/>
    </row>
    <row r="601">
      <c r="A601" s="76"/>
      <c r="B601" s="74"/>
      <c r="AM601" s="39"/>
    </row>
    <row r="602">
      <c r="A602" s="76"/>
      <c r="B602" s="74"/>
      <c r="AM602" s="39"/>
    </row>
    <row r="603">
      <c r="A603" s="76"/>
      <c r="B603" s="74"/>
      <c r="AM603" s="39"/>
    </row>
    <row r="604">
      <c r="A604" s="76"/>
      <c r="B604" s="74"/>
      <c r="AM604" s="39"/>
    </row>
    <row r="605">
      <c r="A605" s="76"/>
      <c r="B605" s="74"/>
      <c r="AM605" s="39"/>
    </row>
    <row r="606">
      <c r="A606" s="76"/>
      <c r="B606" s="74"/>
      <c r="AM606" s="39"/>
    </row>
    <row r="607">
      <c r="A607" s="76"/>
      <c r="B607" s="74"/>
      <c r="AM607" s="39"/>
    </row>
    <row r="608">
      <c r="A608" s="76"/>
      <c r="B608" s="74"/>
      <c r="AM608" s="39"/>
    </row>
    <row r="609">
      <c r="A609" s="76"/>
      <c r="B609" s="74"/>
      <c r="AM609" s="39"/>
    </row>
    <row r="610">
      <c r="A610" s="76"/>
      <c r="B610" s="74"/>
      <c r="AM610" s="39"/>
    </row>
    <row r="611">
      <c r="A611" s="76"/>
      <c r="B611" s="74"/>
      <c r="AM611" s="39"/>
    </row>
    <row r="612">
      <c r="A612" s="76"/>
      <c r="B612" s="74"/>
      <c r="AM612" s="39"/>
    </row>
    <row r="613">
      <c r="A613" s="76"/>
      <c r="B613" s="74"/>
      <c r="AM613" s="39"/>
    </row>
    <row r="614">
      <c r="A614" s="76"/>
      <c r="B614" s="74"/>
      <c r="AM614" s="39"/>
    </row>
    <row r="615">
      <c r="A615" s="76"/>
      <c r="B615" s="74"/>
      <c r="AM615" s="39"/>
    </row>
    <row r="616">
      <c r="A616" s="76"/>
      <c r="B616" s="74"/>
      <c r="AM616" s="39"/>
    </row>
    <row r="617">
      <c r="A617" s="76"/>
      <c r="B617" s="74"/>
      <c r="AM617" s="39"/>
    </row>
    <row r="618">
      <c r="A618" s="76"/>
      <c r="B618" s="74"/>
      <c r="AM618" s="39"/>
    </row>
    <row r="619">
      <c r="A619" s="76"/>
      <c r="B619" s="74"/>
      <c r="AM619" s="39"/>
    </row>
    <row r="620">
      <c r="A620" s="76"/>
      <c r="B620" s="74"/>
      <c r="AM620" s="39"/>
    </row>
    <row r="621">
      <c r="A621" s="76"/>
      <c r="B621" s="74"/>
      <c r="AM621" s="39"/>
    </row>
    <row r="622">
      <c r="A622" s="76"/>
      <c r="B622" s="74"/>
      <c r="AM622" s="39"/>
    </row>
    <row r="623">
      <c r="A623" s="76"/>
      <c r="B623" s="74"/>
      <c r="AM623" s="39"/>
    </row>
    <row r="624">
      <c r="A624" s="76"/>
      <c r="B624" s="74"/>
      <c r="AM624" s="39"/>
    </row>
    <row r="625">
      <c r="A625" s="76"/>
      <c r="B625" s="74"/>
      <c r="AM625" s="39"/>
    </row>
    <row r="626">
      <c r="A626" s="76"/>
      <c r="B626" s="74"/>
      <c r="AM626" s="39"/>
    </row>
    <row r="627">
      <c r="A627" s="76"/>
      <c r="B627" s="74"/>
      <c r="AM627" s="39"/>
    </row>
    <row r="628">
      <c r="A628" s="76"/>
      <c r="B628" s="74"/>
      <c r="AM628" s="39"/>
    </row>
    <row r="629">
      <c r="A629" s="76"/>
      <c r="B629" s="74"/>
      <c r="AM629" s="39"/>
    </row>
    <row r="630">
      <c r="A630" s="76"/>
      <c r="B630" s="74"/>
      <c r="AM630" s="39"/>
    </row>
    <row r="631">
      <c r="A631" s="76"/>
      <c r="B631" s="74"/>
      <c r="AM631" s="39"/>
    </row>
    <row r="632">
      <c r="A632" s="76"/>
      <c r="B632" s="74"/>
      <c r="AM632" s="39"/>
    </row>
    <row r="633">
      <c r="A633" s="76"/>
      <c r="B633" s="74"/>
      <c r="AM633" s="39"/>
    </row>
    <row r="634">
      <c r="A634" s="76"/>
      <c r="B634" s="74"/>
      <c r="AM634" s="39"/>
    </row>
    <row r="635">
      <c r="A635" s="76"/>
      <c r="B635" s="74"/>
      <c r="AM635" s="39"/>
    </row>
    <row r="636">
      <c r="A636" s="76"/>
      <c r="B636" s="74"/>
      <c r="AM636" s="39"/>
    </row>
    <row r="637">
      <c r="A637" s="76"/>
      <c r="B637" s="74"/>
      <c r="AM637" s="39"/>
    </row>
    <row r="638">
      <c r="A638" s="76"/>
      <c r="B638" s="74"/>
      <c r="AM638" s="39"/>
    </row>
    <row r="639">
      <c r="A639" s="76"/>
      <c r="B639" s="74"/>
      <c r="AM639" s="39"/>
    </row>
    <row r="640">
      <c r="A640" s="76"/>
      <c r="B640" s="74"/>
      <c r="AM640" s="39"/>
    </row>
    <row r="641">
      <c r="A641" s="76"/>
      <c r="B641" s="74"/>
      <c r="AM641" s="39"/>
    </row>
    <row r="642">
      <c r="A642" s="76"/>
      <c r="B642" s="74"/>
      <c r="AM642" s="39"/>
    </row>
    <row r="643">
      <c r="A643" s="76"/>
      <c r="B643" s="74"/>
      <c r="AM643" s="39"/>
    </row>
    <row r="644">
      <c r="A644" s="76"/>
      <c r="B644" s="74"/>
      <c r="AM644" s="39"/>
    </row>
    <row r="645">
      <c r="A645" s="76"/>
      <c r="B645" s="74"/>
      <c r="AM645" s="39"/>
    </row>
    <row r="646">
      <c r="A646" s="76"/>
      <c r="B646" s="74"/>
      <c r="AM646" s="39"/>
    </row>
    <row r="647">
      <c r="A647" s="76"/>
      <c r="B647" s="74"/>
      <c r="AM647" s="39"/>
    </row>
    <row r="648">
      <c r="A648" s="76"/>
      <c r="B648" s="74"/>
      <c r="AM648" s="39"/>
    </row>
    <row r="649">
      <c r="A649" s="76"/>
      <c r="B649" s="74"/>
      <c r="AM649" s="39"/>
    </row>
    <row r="650">
      <c r="A650" s="76"/>
      <c r="B650" s="74"/>
      <c r="AM650" s="39"/>
    </row>
    <row r="651">
      <c r="A651" s="76"/>
      <c r="B651" s="74"/>
      <c r="AM651" s="39"/>
    </row>
    <row r="652">
      <c r="A652" s="76"/>
      <c r="B652" s="74"/>
      <c r="AM652" s="39"/>
    </row>
    <row r="653">
      <c r="A653" s="76"/>
      <c r="B653" s="74"/>
      <c r="AM653" s="39"/>
    </row>
    <row r="654">
      <c r="A654" s="76"/>
      <c r="B654" s="74"/>
      <c r="AM654" s="39"/>
    </row>
    <row r="655">
      <c r="A655" s="76"/>
      <c r="B655" s="74"/>
      <c r="AM655" s="39"/>
    </row>
    <row r="656">
      <c r="A656" s="76"/>
      <c r="B656" s="74"/>
      <c r="AM656" s="39"/>
    </row>
    <row r="657">
      <c r="A657" s="76"/>
      <c r="B657" s="74"/>
      <c r="AM657" s="39"/>
    </row>
    <row r="658">
      <c r="A658" s="76"/>
      <c r="B658" s="74"/>
      <c r="AM658" s="39"/>
    </row>
    <row r="659">
      <c r="A659" s="76"/>
      <c r="B659" s="74"/>
      <c r="AM659" s="39"/>
    </row>
    <row r="660">
      <c r="A660" s="76"/>
      <c r="B660" s="74"/>
      <c r="AM660" s="39"/>
    </row>
    <row r="661">
      <c r="A661" s="76"/>
      <c r="B661" s="74"/>
      <c r="AM661" s="39"/>
    </row>
    <row r="662">
      <c r="A662" s="76"/>
      <c r="B662" s="74"/>
      <c r="AM662" s="39"/>
    </row>
    <row r="663">
      <c r="A663" s="76"/>
      <c r="B663" s="74"/>
      <c r="AM663" s="39"/>
    </row>
    <row r="664">
      <c r="A664" s="76"/>
      <c r="B664" s="74"/>
      <c r="AM664" s="39"/>
    </row>
    <row r="665">
      <c r="A665" s="76"/>
      <c r="B665" s="74"/>
      <c r="AM665" s="39"/>
    </row>
    <row r="666">
      <c r="A666" s="76"/>
      <c r="B666" s="74"/>
      <c r="AM666" s="39"/>
    </row>
    <row r="667">
      <c r="A667" s="76"/>
      <c r="B667" s="74"/>
      <c r="AM667" s="39"/>
    </row>
    <row r="668">
      <c r="A668" s="76"/>
      <c r="B668" s="74"/>
      <c r="AM668" s="39"/>
    </row>
    <row r="669">
      <c r="A669" s="76"/>
      <c r="B669" s="74"/>
      <c r="AM669" s="39"/>
    </row>
    <row r="670">
      <c r="A670" s="76"/>
      <c r="B670" s="74"/>
      <c r="AM670" s="39"/>
    </row>
    <row r="671">
      <c r="A671" s="76"/>
      <c r="B671" s="74"/>
      <c r="AM671" s="39"/>
    </row>
    <row r="672">
      <c r="A672" s="76"/>
      <c r="B672" s="74"/>
      <c r="AM672" s="39"/>
    </row>
    <row r="673">
      <c r="A673" s="76"/>
      <c r="B673" s="74"/>
      <c r="AM673" s="39"/>
    </row>
    <row r="674">
      <c r="A674" s="76"/>
      <c r="B674" s="74"/>
      <c r="AM674" s="39"/>
    </row>
    <row r="675">
      <c r="A675" s="76"/>
      <c r="B675" s="74"/>
      <c r="AM675" s="39"/>
    </row>
    <row r="676">
      <c r="A676" s="76"/>
      <c r="B676" s="74"/>
      <c r="AM676" s="39"/>
    </row>
    <row r="677">
      <c r="A677" s="76"/>
      <c r="B677" s="74"/>
      <c r="AM677" s="39"/>
    </row>
    <row r="678">
      <c r="A678" s="76"/>
      <c r="B678" s="74"/>
      <c r="AM678" s="39"/>
    </row>
    <row r="679">
      <c r="A679" s="76"/>
      <c r="B679" s="74"/>
      <c r="AM679" s="39"/>
    </row>
    <row r="680">
      <c r="A680" s="76"/>
      <c r="B680" s="74"/>
      <c r="AM680" s="39"/>
    </row>
    <row r="681">
      <c r="A681" s="76"/>
      <c r="B681" s="74"/>
      <c r="AM681" s="39"/>
    </row>
    <row r="682">
      <c r="A682" s="76"/>
      <c r="B682" s="74"/>
      <c r="AM682" s="39"/>
    </row>
    <row r="683">
      <c r="A683" s="76"/>
      <c r="B683" s="74"/>
      <c r="AM683" s="39"/>
    </row>
    <row r="684">
      <c r="A684" s="76"/>
      <c r="B684" s="74"/>
      <c r="AM684" s="39"/>
    </row>
    <row r="685">
      <c r="A685" s="76"/>
      <c r="B685" s="74"/>
      <c r="AM685" s="39"/>
    </row>
    <row r="686">
      <c r="A686" s="76"/>
      <c r="B686" s="74"/>
      <c r="AM686" s="39"/>
    </row>
    <row r="687">
      <c r="A687" s="76"/>
      <c r="B687" s="74"/>
      <c r="AM687" s="39"/>
    </row>
    <row r="688">
      <c r="A688" s="76"/>
      <c r="B688" s="74"/>
      <c r="AM688" s="39"/>
    </row>
    <row r="689">
      <c r="A689" s="76"/>
      <c r="B689" s="74"/>
      <c r="AM689" s="39"/>
    </row>
    <row r="690">
      <c r="A690" s="76"/>
      <c r="B690" s="74"/>
      <c r="AM690" s="39"/>
    </row>
    <row r="691">
      <c r="A691" s="76"/>
      <c r="B691" s="74"/>
      <c r="AM691" s="39"/>
    </row>
    <row r="692">
      <c r="A692" s="76"/>
      <c r="B692" s="74"/>
      <c r="AM692" s="39"/>
    </row>
    <row r="693">
      <c r="A693" s="76"/>
      <c r="B693" s="74"/>
      <c r="AM693" s="39"/>
    </row>
    <row r="694">
      <c r="A694" s="76"/>
      <c r="B694" s="74"/>
      <c r="AM694" s="39"/>
    </row>
    <row r="695">
      <c r="A695" s="76"/>
      <c r="B695" s="74"/>
      <c r="AM695" s="39"/>
    </row>
    <row r="696">
      <c r="A696" s="76"/>
      <c r="B696" s="74"/>
      <c r="AM696" s="39"/>
    </row>
    <row r="697">
      <c r="A697" s="76"/>
      <c r="B697" s="74"/>
      <c r="AM697" s="39"/>
    </row>
    <row r="698">
      <c r="A698" s="76"/>
      <c r="B698" s="74"/>
      <c r="AM698" s="39"/>
    </row>
    <row r="699">
      <c r="A699" s="76"/>
      <c r="B699" s="74"/>
      <c r="AM699" s="39"/>
    </row>
    <row r="700">
      <c r="A700" s="76"/>
      <c r="B700" s="74"/>
      <c r="AM700" s="39"/>
    </row>
    <row r="701">
      <c r="A701" s="76"/>
      <c r="B701" s="74"/>
      <c r="AM701" s="39"/>
    </row>
    <row r="702">
      <c r="A702" s="76"/>
      <c r="B702" s="74"/>
      <c r="AM702" s="39"/>
    </row>
    <row r="703">
      <c r="A703" s="76"/>
      <c r="B703" s="74"/>
      <c r="AM703" s="39"/>
    </row>
    <row r="704">
      <c r="A704" s="76"/>
      <c r="B704" s="74"/>
      <c r="AM704" s="39"/>
    </row>
    <row r="705">
      <c r="A705" s="76"/>
      <c r="B705" s="74"/>
      <c r="AM705" s="39"/>
    </row>
    <row r="706">
      <c r="A706" s="76"/>
      <c r="B706" s="74"/>
      <c r="AM706" s="39"/>
    </row>
    <row r="707">
      <c r="A707" s="76"/>
      <c r="B707" s="74"/>
      <c r="AM707" s="39"/>
    </row>
    <row r="708">
      <c r="A708" s="76"/>
      <c r="B708" s="74"/>
      <c r="AM708" s="39"/>
    </row>
    <row r="709">
      <c r="A709" s="76"/>
      <c r="B709" s="74"/>
      <c r="AM709" s="39"/>
    </row>
    <row r="710">
      <c r="A710" s="76"/>
      <c r="B710" s="74"/>
      <c r="AM710" s="39"/>
    </row>
    <row r="711">
      <c r="A711" s="76"/>
      <c r="B711" s="74"/>
      <c r="AM711" s="39"/>
    </row>
    <row r="712">
      <c r="A712" s="76"/>
      <c r="B712" s="74"/>
      <c r="AM712" s="39"/>
    </row>
    <row r="713">
      <c r="A713" s="76"/>
      <c r="B713" s="74"/>
      <c r="AM713" s="39"/>
    </row>
    <row r="714">
      <c r="A714" s="76"/>
      <c r="B714" s="74"/>
      <c r="AM714" s="39"/>
    </row>
    <row r="715">
      <c r="A715" s="76"/>
      <c r="B715" s="74"/>
      <c r="AM715" s="39"/>
    </row>
    <row r="716">
      <c r="A716" s="76"/>
      <c r="B716" s="74"/>
      <c r="AM716" s="39"/>
    </row>
    <row r="717">
      <c r="A717" s="76"/>
      <c r="B717" s="74"/>
      <c r="AM717" s="39"/>
    </row>
    <row r="718">
      <c r="A718" s="76"/>
      <c r="B718" s="74"/>
      <c r="AM718" s="39"/>
    </row>
    <row r="719">
      <c r="A719" s="76"/>
      <c r="B719" s="74"/>
      <c r="AM719" s="39"/>
    </row>
    <row r="720">
      <c r="A720" s="76"/>
      <c r="B720" s="74"/>
      <c r="AM720" s="39"/>
    </row>
    <row r="721">
      <c r="A721" s="76"/>
      <c r="B721" s="74"/>
      <c r="AM721" s="39"/>
    </row>
    <row r="722">
      <c r="A722" s="76"/>
      <c r="B722" s="74"/>
      <c r="AM722" s="39"/>
    </row>
    <row r="723">
      <c r="A723" s="76"/>
      <c r="B723" s="74"/>
      <c r="AM723" s="39"/>
    </row>
    <row r="724">
      <c r="A724" s="76"/>
      <c r="B724" s="74"/>
      <c r="AM724" s="39"/>
    </row>
    <row r="725">
      <c r="A725" s="76"/>
      <c r="B725" s="74"/>
      <c r="AM725" s="39"/>
    </row>
    <row r="726">
      <c r="A726" s="76"/>
      <c r="B726" s="74"/>
      <c r="AM726" s="39"/>
    </row>
    <row r="727">
      <c r="A727" s="76"/>
      <c r="B727" s="74"/>
      <c r="AM727" s="39"/>
    </row>
    <row r="728">
      <c r="A728" s="76"/>
      <c r="B728" s="74"/>
      <c r="AM728" s="39"/>
    </row>
    <row r="729">
      <c r="A729" s="76"/>
      <c r="B729" s="74"/>
      <c r="AM729" s="39"/>
    </row>
    <row r="730">
      <c r="A730" s="76"/>
      <c r="B730" s="74"/>
      <c r="AM730" s="39"/>
    </row>
    <row r="731">
      <c r="A731" s="76"/>
      <c r="B731" s="74"/>
      <c r="AM731" s="39"/>
    </row>
    <row r="732">
      <c r="A732" s="76"/>
      <c r="B732" s="74"/>
      <c r="AM732" s="39"/>
    </row>
    <row r="733">
      <c r="A733" s="76"/>
      <c r="B733" s="74"/>
      <c r="AM733" s="39"/>
    </row>
    <row r="734">
      <c r="A734" s="76"/>
      <c r="B734" s="74"/>
      <c r="AM734" s="39"/>
    </row>
    <row r="735">
      <c r="A735" s="76"/>
      <c r="B735" s="74"/>
      <c r="AM735" s="39"/>
    </row>
    <row r="736">
      <c r="A736" s="76"/>
      <c r="B736" s="74"/>
      <c r="AM736" s="39"/>
    </row>
    <row r="737">
      <c r="A737" s="76"/>
      <c r="B737" s="74"/>
      <c r="AM737" s="39"/>
    </row>
    <row r="738">
      <c r="A738" s="76"/>
      <c r="B738" s="74"/>
      <c r="AM738" s="39"/>
    </row>
    <row r="739">
      <c r="A739" s="76"/>
      <c r="B739" s="74"/>
      <c r="AM739" s="39"/>
    </row>
    <row r="740">
      <c r="A740" s="76"/>
      <c r="B740" s="74"/>
      <c r="AM740" s="39"/>
    </row>
    <row r="741">
      <c r="A741" s="76"/>
      <c r="B741" s="74"/>
      <c r="AM741" s="39"/>
    </row>
    <row r="742">
      <c r="A742" s="76"/>
      <c r="B742" s="74"/>
      <c r="AM742" s="39"/>
    </row>
    <row r="743">
      <c r="A743" s="76"/>
      <c r="B743" s="74"/>
      <c r="AM743" s="39"/>
    </row>
    <row r="744">
      <c r="A744" s="76"/>
      <c r="B744" s="74"/>
      <c r="AM744" s="39"/>
    </row>
    <row r="745">
      <c r="A745" s="76"/>
      <c r="B745" s="74"/>
      <c r="AM745" s="39"/>
    </row>
    <row r="746">
      <c r="A746" s="76"/>
      <c r="B746" s="74"/>
      <c r="AM746" s="39"/>
    </row>
    <row r="747">
      <c r="A747" s="76"/>
      <c r="B747" s="74"/>
      <c r="AM747" s="39"/>
    </row>
    <row r="748">
      <c r="A748" s="76"/>
      <c r="B748" s="74"/>
      <c r="AM748" s="39"/>
    </row>
    <row r="749">
      <c r="A749" s="76"/>
      <c r="B749" s="74"/>
      <c r="AM749" s="39"/>
    </row>
    <row r="750">
      <c r="A750" s="76"/>
      <c r="B750" s="74"/>
      <c r="AM750" s="39"/>
    </row>
    <row r="751">
      <c r="A751" s="76"/>
      <c r="B751" s="74"/>
      <c r="AM751" s="39"/>
    </row>
    <row r="752">
      <c r="A752" s="76"/>
      <c r="B752" s="74"/>
      <c r="AM752" s="39"/>
    </row>
    <row r="753">
      <c r="A753" s="76"/>
      <c r="B753" s="74"/>
      <c r="AM753" s="39"/>
    </row>
    <row r="754">
      <c r="A754" s="76"/>
      <c r="B754" s="74"/>
      <c r="AM754" s="39"/>
    </row>
    <row r="755">
      <c r="A755" s="76"/>
      <c r="B755" s="74"/>
      <c r="AM755" s="39"/>
    </row>
    <row r="756">
      <c r="A756" s="76"/>
      <c r="B756" s="74"/>
      <c r="AM756" s="39"/>
    </row>
    <row r="757">
      <c r="A757" s="76"/>
      <c r="B757" s="74"/>
      <c r="AM757" s="39"/>
    </row>
    <row r="758">
      <c r="A758" s="76"/>
      <c r="B758" s="74"/>
      <c r="AM758" s="39"/>
    </row>
    <row r="759">
      <c r="A759" s="76"/>
      <c r="B759" s="74"/>
      <c r="AM759" s="39"/>
    </row>
    <row r="760">
      <c r="A760" s="76"/>
      <c r="B760" s="74"/>
      <c r="AM760" s="39"/>
    </row>
    <row r="761">
      <c r="A761" s="76"/>
      <c r="B761" s="74"/>
      <c r="AM761" s="39"/>
    </row>
    <row r="762">
      <c r="A762" s="76"/>
      <c r="B762" s="74"/>
      <c r="AM762" s="39"/>
    </row>
    <row r="763">
      <c r="A763" s="76"/>
      <c r="B763" s="74"/>
      <c r="AM763" s="39"/>
    </row>
    <row r="764">
      <c r="A764" s="76"/>
      <c r="B764" s="74"/>
      <c r="AM764" s="39"/>
    </row>
    <row r="765">
      <c r="A765" s="76"/>
      <c r="B765" s="74"/>
      <c r="AM765" s="39"/>
    </row>
    <row r="766">
      <c r="A766" s="76"/>
      <c r="B766" s="74"/>
      <c r="AM766" s="39"/>
    </row>
    <row r="767">
      <c r="A767" s="76"/>
      <c r="B767" s="74"/>
      <c r="AM767" s="39"/>
    </row>
    <row r="768">
      <c r="A768" s="76"/>
      <c r="B768" s="74"/>
      <c r="AM768" s="39"/>
    </row>
    <row r="769">
      <c r="A769" s="76"/>
      <c r="B769" s="74"/>
      <c r="AM769" s="39"/>
    </row>
    <row r="770">
      <c r="A770" s="76"/>
      <c r="B770" s="74"/>
      <c r="AM770" s="39"/>
    </row>
    <row r="771">
      <c r="A771" s="76"/>
      <c r="B771" s="74"/>
      <c r="AM771" s="39"/>
    </row>
    <row r="772">
      <c r="A772" s="76"/>
      <c r="B772" s="74"/>
      <c r="AM772" s="39"/>
    </row>
    <row r="773">
      <c r="A773" s="76"/>
      <c r="B773" s="74"/>
      <c r="AM773" s="39"/>
    </row>
    <row r="774">
      <c r="A774" s="76"/>
      <c r="B774" s="74"/>
      <c r="AM774" s="39"/>
    </row>
    <row r="775">
      <c r="A775" s="76"/>
      <c r="B775" s="74"/>
      <c r="AM775" s="39"/>
    </row>
    <row r="776">
      <c r="A776" s="76"/>
      <c r="B776" s="74"/>
      <c r="AM776" s="39"/>
    </row>
    <row r="777">
      <c r="A777" s="76"/>
      <c r="B777" s="74"/>
      <c r="AM777" s="39"/>
    </row>
    <row r="778">
      <c r="A778" s="76"/>
      <c r="B778" s="74"/>
      <c r="AM778" s="39"/>
    </row>
    <row r="779">
      <c r="A779" s="76"/>
      <c r="B779" s="74"/>
      <c r="AM779" s="39"/>
    </row>
    <row r="780">
      <c r="A780" s="76"/>
      <c r="B780" s="74"/>
      <c r="AM780" s="39"/>
    </row>
    <row r="781">
      <c r="A781" s="76"/>
      <c r="B781" s="74"/>
      <c r="AM781" s="39"/>
    </row>
    <row r="782">
      <c r="A782" s="76"/>
      <c r="B782" s="74"/>
      <c r="AM782" s="39"/>
    </row>
    <row r="783">
      <c r="A783" s="76"/>
      <c r="B783" s="74"/>
      <c r="AM783" s="39"/>
    </row>
    <row r="784">
      <c r="A784" s="76"/>
      <c r="B784" s="74"/>
      <c r="AM784" s="39"/>
    </row>
    <row r="785">
      <c r="A785" s="76"/>
      <c r="B785" s="74"/>
      <c r="AM785" s="39"/>
    </row>
    <row r="786">
      <c r="A786" s="76"/>
      <c r="B786" s="74"/>
      <c r="AM786" s="39"/>
    </row>
    <row r="787">
      <c r="A787" s="76"/>
      <c r="B787" s="74"/>
      <c r="AM787" s="39"/>
    </row>
    <row r="788">
      <c r="A788" s="76"/>
      <c r="B788" s="74"/>
      <c r="AM788" s="39"/>
    </row>
    <row r="789">
      <c r="A789" s="76"/>
      <c r="B789" s="74"/>
      <c r="AM789" s="39"/>
    </row>
    <row r="790">
      <c r="A790" s="76"/>
      <c r="B790" s="74"/>
      <c r="AM790" s="39"/>
    </row>
    <row r="791">
      <c r="A791" s="76"/>
      <c r="B791" s="74"/>
      <c r="AM791" s="39"/>
    </row>
    <row r="792">
      <c r="A792" s="76"/>
      <c r="B792" s="74"/>
      <c r="AM792" s="39"/>
    </row>
    <row r="793">
      <c r="A793" s="76"/>
      <c r="B793" s="74"/>
      <c r="AM793" s="39"/>
    </row>
    <row r="794">
      <c r="A794" s="76"/>
      <c r="B794" s="74"/>
      <c r="AM794" s="39"/>
    </row>
    <row r="795">
      <c r="A795" s="76"/>
      <c r="B795" s="74"/>
      <c r="AM795" s="39"/>
    </row>
    <row r="796">
      <c r="A796" s="76"/>
      <c r="B796" s="74"/>
      <c r="AM796" s="39"/>
    </row>
    <row r="797">
      <c r="A797" s="76"/>
      <c r="B797" s="74"/>
      <c r="AM797" s="39"/>
    </row>
    <row r="798">
      <c r="A798" s="76"/>
      <c r="B798" s="74"/>
      <c r="AM798" s="39"/>
    </row>
    <row r="799">
      <c r="A799" s="76"/>
      <c r="B799" s="74"/>
      <c r="AM799" s="39"/>
    </row>
    <row r="800">
      <c r="A800" s="76"/>
      <c r="B800" s="74"/>
      <c r="AM800" s="39"/>
    </row>
    <row r="801">
      <c r="A801" s="76"/>
      <c r="B801" s="74"/>
      <c r="AM801" s="39"/>
    </row>
    <row r="802">
      <c r="A802" s="76"/>
      <c r="B802" s="74"/>
      <c r="AM802" s="39"/>
    </row>
    <row r="803">
      <c r="A803" s="76"/>
      <c r="B803" s="74"/>
      <c r="AM803" s="39"/>
    </row>
    <row r="804">
      <c r="A804" s="76"/>
      <c r="B804" s="74"/>
      <c r="AM804" s="39"/>
    </row>
    <row r="805">
      <c r="A805" s="76"/>
      <c r="B805" s="74"/>
      <c r="AM805" s="39"/>
    </row>
    <row r="806">
      <c r="A806" s="76"/>
      <c r="B806" s="74"/>
      <c r="AM806" s="39"/>
    </row>
    <row r="807">
      <c r="A807" s="76"/>
      <c r="B807" s="74"/>
      <c r="AM807" s="39"/>
    </row>
    <row r="808">
      <c r="A808" s="76"/>
      <c r="B808" s="74"/>
      <c r="AM808" s="39"/>
    </row>
    <row r="809">
      <c r="A809" s="76"/>
      <c r="B809" s="74"/>
      <c r="AM809" s="39"/>
    </row>
    <row r="810">
      <c r="A810" s="76"/>
      <c r="B810" s="74"/>
      <c r="AM810" s="39"/>
    </row>
    <row r="811">
      <c r="A811" s="76"/>
      <c r="B811" s="74"/>
      <c r="AM811" s="39"/>
    </row>
    <row r="812">
      <c r="A812" s="76"/>
      <c r="B812" s="74"/>
      <c r="AM812" s="39"/>
    </row>
    <row r="813">
      <c r="A813" s="76"/>
      <c r="B813" s="74"/>
      <c r="AM813" s="39"/>
    </row>
    <row r="814">
      <c r="A814" s="76"/>
      <c r="B814" s="74"/>
      <c r="AM814" s="39"/>
    </row>
    <row r="815">
      <c r="A815" s="76"/>
      <c r="B815" s="74"/>
      <c r="AM815" s="39"/>
    </row>
    <row r="816">
      <c r="A816" s="76"/>
      <c r="B816" s="74"/>
      <c r="AM816" s="39"/>
    </row>
    <row r="817">
      <c r="A817" s="76"/>
      <c r="B817" s="74"/>
      <c r="AM817" s="39"/>
    </row>
    <row r="818">
      <c r="A818" s="76"/>
      <c r="B818" s="74"/>
      <c r="AM818" s="39"/>
    </row>
    <row r="819">
      <c r="A819" s="76"/>
      <c r="B819" s="74"/>
      <c r="AM819" s="39"/>
    </row>
    <row r="820">
      <c r="A820" s="76"/>
      <c r="B820" s="74"/>
      <c r="AM820" s="39"/>
    </row>
    <row r="821">
      <c r="A821" s="76"/>
      <c r="B821" s="74"/>
      <c r="AM821" s="39"/>
    </row>
    <row r="822">
      <c r="A822" s="76"/>
      <c r="B822" s="74"/>
      <c r="AM822" s="39"/>
    </row>
    <row r="823">
      <c r="A823" s="76"/>
      <c r="B823" s="74"/>
      <c r="AM823" s="39"/>
    </row>
    <row r="824">
      <c r="A824" s="76"/>
      <c r="B824" s="74"/>
      <c r="AM824" s="39"/>
    </row>
    <row r="825">
      <c r="A825" s="76"/>
      <c r="B825" s="74"/>
      <c r="AM825" s="39"/>
    </row>
    <row r="826">
      <c r="A826" s="76"/>
      <c r="B826" s="74"/>
      <c r="AM826" s="39"/>
    </row>
    <row r="827">
      <c r="A827" s="76"/>
      <c r="B827" s="74"/>
      <c r="AM827" s="39"/>
    </row>
    <row r="828">
      <c r="A828" s="76"/>
      <c r="B828" s="74"/>
      <c r="AM828" s="39"/>
    </row>
    <row r="829">
      <c r="A829" s="76"/>
      <c r="B829" s="74"/>
      <c r="AM829" s="39"/>
    </row>
    <row r="830">
      <c r="A830" s="76"/>
      <c r="B830" s="74"/>
      <c r="AM830" s="39"/>
    </row>
    <row r="831">
      <c r="A831" s="76"/>
      <c r="B831" s="74"/>
      <c r="AM831" s="39"/>
    </row>
    <row r="832">
      <c r="A832" s="76"/>
      <c r="B832" s="74"/>
      <c r="AM832" s="39"/>
    </row>
    <row r="833">
      <c r="A833" s="76"/>
      <c r="B833" s="74"/>
      <c r="AM833" s="39"/>
    </row>
    <row r="834">
      <c r="A834" s="76"/>
      <c r="B834" s="74"/>
      <c r="AM834" s="39"/>
    </row>
    <row r="835">
      <c r="A835" s="76"/>
      <c r="B835" s="74"/>
      <c r="AM835" s="39"/>
    </row>
    <row r="836">
      <c r="A836" s="76"/>
      <c r="B836" s="74"/>
      <c r="AM836" s="39"/>
    </row>
    <row r="837">
      <c r="A837" s="76"/>
      <c r="B837" s="74"/>
      <c r="AM837" s="39"/>
    </row>
    <row r="838">
      <c r="A838" s="76"/>
      <c r="B838" s="74"/>
      <c r="AM838" s="39"/>
    </row>
    <row r="839">
      <c r="A839" s="76"/>
      <c r="B839" s="74"/>
      <c r="AM839" s="39"/>
    </row>
    <row r="840">
      <c r="A840" s="76"/>
      <c r="B840" s="74"/>
      <c r="AM840" s="39"/>
    </row>
    <row r="841">
      <c r="A841" s="76"/>
      <c r="B841" s="74"/>
      <c r="AM841" s="39"/>
    </row>
    <row r="842">
      <c r="A842" s="76"/>
      <c r="B842" s="74"/>
      <c r="AM842" s="39"/>
    </row>
    <row r="843">
      <c r="A843" s="76"/>
      <c r="B843" s="74"/>
      <c r="AM843" s="39"/>
    </row>
    <row r="844">
      <c r="A844" s="76"/>
      <c r="B844" s="74"/>
      <c r="AM844" s="39"/>
    </row>
    <row r="845">
      <c r="A845" s="76"/>
      <c r="B845" s="74"/>
      <c r="AM845" s="39"/>
    </row>
    <row r="846">
      <c r="A846" s="76"/>
      <c r="B846" s="74"/>
      <c r="AM846" s="39"/>
    </row>
    <row r="847">
      <c r="A847" s="76"/>
      <c r="B847" s="74"/>
      <c r="AM847" s="39"/>
    </row>
    <row r="848">
      <c r="A848" s="76"/>
      <c r="B848" s="74"/>
      <c r="AM848" s="39"/>
    </row>
    <row r="849">
      <c r="A849" s="76"/>
      <c r="B849" s="74"/>
      <c r="AM849" s="39"/>
    </row>
    <row r="850">
      <c r="A850" s="76"/>
      <c r="B850" s="74"/>
      <c r="AM850" s="39"/>
    </row>
    <row r="851">
      <c r="A851" s="76"/>
      <c r="B851" s="74"/>
      <c r="AM851" s="39"/>
    </row>
    <row r="852">
      <c r="A852" s="76"/>
      <c r="B852" s="74"/>
      <c r="AM852" s="39"/>
    </row>
    <row r="853">
      <c r="A853" s="76"/>
      <c r="B853" s="74"/>
      <c r="AM853" s="39"/>
    </row>
    <row r="854">
      <c r="A854" s="76"/>
      <c r="B854" s="74"/>
      <c r="AM854" s="39"/>
    </row>
    <row r="855">
      <c r="A855" s="76"/>
      <c r="B855" s="74"/>
      <c r="AM855" s="39"/>
    </row>
    <row r="856">
      <c r="A856" s="76"/>
      <c r="B856" s="74"/>
      <c r="AM856" s="39"/>
    </row>
    <row r="857">
      <c r="A857" s="76"/>
      <c r="B857" s="74"/>
      <c r="AM857" s="39"/>
    </row>
    <row r="858">
      <c r="A858" s="76"/>
      <c r="B858" s="74"/>
      <c r="AM858" s="39"/>
    </row>
    <row r="859">
      <c r="A859" s="76"/>
      <c r="B859" s="74"/>
      <c r="AM859" s="39"/>
    </row>
    <row r="860">
      <c r="A860" s="76"/>
      <c r="B860" s="74"/>
      <c r="AM860" s="39"/>
    </row>
    <row r="861">
      <c r="A861" s="76"/>
      <c r="B861" s="74"/>
      <c r="AM861" s="39"/>
    </row>
    <row r="862">
      <c r="A862" s="76"/>
      <c r="B862" s="74"/>
      <c r="AM862" s="39"/>
    </row>
    <row r="863">
      <c r="A863" s="76"/>
      <c r="B863" s="74"/>
      <c r="AM863" s="39"/>
    </row>
    <row r="864">
      <c r="A864" s="76"/>
      <c r="B864" s="74"/>
      <c r="AM864" s="39"/>
    </row>
    <row r="865">
      <c r="A865" s="76"/>
      <c r="B865" s="74"/>
      <c r="AM865" s="39"/>
    </row>
    <row r="866">
      <c r="A866" s="76"/>
      <c r="B866" s="74"/>
      <c r="AM866" s="39"/>
    </row>
    <row r="867">
      <c r="A867" s="76"/>
      <c r="B867" s="74"/>
      <c r="AM867" s="39"/>
    </row>
    <row r="868">
      <c r="A868" s="76"/>
      <c r="B868" s="74"/>
      <c r="AM868" s="39"/>
    </row>
    <row r="869">
      <c r="A869" s="76"/>
      <c r="B869" s="74"/>
      <c r="AM869" s="39"/>
    </row>
    <row r="870">
      <c r="A870" s="76"/>
      <c r="B870" s="74"/>
      <c r="AM870" s="39"/>
    </row>
    <row r="871">
      <c r="A871" s="76"/>
      <c r="B871" s="74"/>
      <c r="AM871" s="39"/>
    </row>
    <row r="872">
      <c r="A872" s="76"/>
      <c r="B872" s="74"/>
      <c r="AM872" s="39"/>
    </row>
    <row r="873">
      <c r="A873" s="76"/>
      <c r="B873" s="74"/>
      <c r="AM873" s="39"/>
    </row>
    <row r="874">
      <c r="A874" s="76"/>
      <c r="B874" s="74"/>
      <c r="AM874" s="39"/>
    </row>
    <row r="875">
      <c r="A875" s="76"/>
      <c r="B875" s="74"/>
      <c r="AM875" s="39"/>
    </row>
    <row r="876">
      <c r="A876" s="76"/>
      <c r="B876" s="74"/>
      <c r="AM876" s="39"/>
    </row>
    <row r="877">
      <c r="A877" s="76"/>
      <c r="B877" s="74"/>
      <c r="AM877" s="39"/>
    </row>
    <row r="878">
      <c r="A878" s="76"/>
      <c r="B878" s="74"/>
      <c r="AM878" s="39"/>
    </row>
    <row r="879">
      <c r="A879" s="76"/>
      <c r="B879" s="74"/>
      <c r="AM879" s="39"/>
    </row>
    <row r="880">
      <c r="A880" s="76"/>
      <c r="B880" s="74"/>
      <c r="AM880" s="39"/>
    </row>
    <row r="881">
      <c r="A881" s="76"/>
      <c r="B881" s="74"/>
      <c r="AM881" s="39"/>
    </row>
    <row r="882">
      <c r="A882" s="76"/>
      <c r="B882" s="74"/>
      <c r="AM882" s="39"/>
    </row>
    <row r="883">
      <c r="A883" s="76"/>
      <c r="B883" s="74"/>
      <c r="AM883" s="39"/>
    </row>
    <row r="884">
      <c r="A884" s="76"/>
      <c r="B884" s="74"/>
      <c r="AM884" s="39"/>
    </row>
    <row r="885">
      <c r="A885" s="76"/>
      <c r="B885" s="74"/>
      <c r="AM885" s="39"/>
    </row>
    <row r="886">
      <c r="A886" s="76"/>
      <c r="B886" s="74"/>
      <c r="AM886" s="39"/>
    </row>
    <row r="887">
      <c r="A887" s="76"/>
      <c r="B887" s="74"/>
      <c r="AM887" s="39"/>
    </row>
    <row r="888">
      <c r="A888" s="76"/>
      <c r="B888" s="74"/>
      <c r="AM888" s="39"/>
    </row>
    <row r="889">
      <c r="A889" s="76"/>
      <c r="B889" s="74"/>
      <c r="AM889" s="39"/>
    </row>
    <row r="890">
      <c r="A890" s="76"/>
      <c r="B890" s="74"/>
      <c r="AM890" s="39"/>
    </row>
    <row r="891">
      <c r="A891" s="76"/>
      <c r="B891" s="74"/>
      <c r="AM891" s="39"/>
    </row>
    <row r="892">
      <c r="A892" s="76"/>
      <c r="B892" s="74"/>
      <c r="AM892" s="39"/>
    </row>
    <row r="893">
      <c r="A893" s="76"/>
      <c r="B893" s="74"/>
      <c r="AM893" s="39"/>
    </row>
    <row r="894">
      <c r="A894" s="76"/>
      <c r="B894" s="74"/>
      <c r="AM894" s="39"/>
    </row>
    <row r="895">
      <c r="A895" s="76"/>
      <c r="B895" s="74"/>
      <c r="AM895" s="39"/>
    </row>
    <row r="896">
      <c r="A896" s="76"/>
      <c r="B896" s="74"/>
      <c r="AM896" s="39"/>
    </row>
    <row r="897">
      <c r="A897" s="76"/>
      <c r="B897" s="74"/>
      <c r="AM897" s="39"/>
    </row>
    <row r="898">
      <c r="A898" s="76"/>
      <c r="B898" s="74"/>
      <c r="AM898" s="39"/>
    </row>
    <row r="899">
      <c r="A899" s="76"/>
      <c r="B899" s="74"/>
      <c r="AM899" s="39"/>
    </row>
    <row r="900">
      <c r="A900" s="76"/>
      <c r="B900" s="74"/>
      <c r="AM900" s="39"/>
    </row>
    <row r="901">
      <c r="A901" s="76"/>
      <c r="B901" s="74"/>
      <c r="AM901" s="39"/>
    </row>
    <row r="902">
      <c r="A902" s="76"/>
      <c r="B902" s="74"/>
      <c r="AM902" s="39"/>
    </row>
    <row r="903">
      <c r="A903" s="76"/>
      <c r="B903" s="74"/>
      <c r="AM903" s="39"/>
    </row>
    <row r="904">
      <c r="A904" s="76"/>
      <c r="B904" s="74"/>
      <c r="AM904" s="39"/>
    </row>
    <row r="905">
      <c r="A905" s="76"/>
      <c r="B905" s="74"/>
      <c r="AM905" s="39"/>
    </row>
    <row r="906">
      <c r="A906" s="76"/>
      <c r="B906" s="74"/>
      <c r="AM906" s="39"/>
    </row>
    <row r="907">
      <c r="A907" s="76"/>
      <c r="B907" s="74"/>
      <c r="AM907" s="39"/>
    </row>
    <row r="908">
      <c r="A908" s="76"/>
      <c r="B908" s="74"/>
      <c r="AM908" s="39"/>
    </row>
    <row r="909">
      <c r="A909" s="76"/>
      <c r="B909" s="74"/>
      <c r="AM909" s="39"/>
    </row>
    <row r="910">
      <c r="A910" s="76"/>
      <c r="B910" s="74"/>
      <c r="AM910" s="39"/>
    </row>
    <row r="911">
      <c r="A911" s="76"/>
      <c r="B911" s="74"/>
      <c r="AM911" s="39"/>
    </row>
    <row r="912">
      <c r="A912" s="76"/>
      <c r="B912" s="74"/>
      <c r="AM912" s="39"/>
    </row>
    <row r="913">
      <c r="A913" s="76"/>
      <c r="B913" s="74"/>
      <c r="AM913" s="39"/>
    </row>
    <row r="914">
      <c r="A914" s="76"/>
      <c r="B914" s="74"/>
      <c r="AM914" s="39"/>
    </row>
    <row r="915">
      <c r="A915" s="76"/>
      <c r="B915" s="74"/>
      <c r="AM915" s="39"/>
    </row>
    <row r="916">
      <c r="A916" s="76"/>
      <c r="B916" s="74"/>
      <c r="AM916" s="39"/>
    </row>
    <row r="917">
      <c r="A917" s="76"/>
      <c r="B917" s="74"/>
      <c r="AM917" s="39"/>
    </row>
    <row r="918">
      <c r="A918" s="76"/>
      <c r="B918" s="74"/>
      <c r="AM918" s="39"/>
    </row>
    <row r="919">
      <c r="A919" s="76"/>
      <c r="B919" s="74"/>
      <c r="AM919" s="39"/>
    </row>
    <row r="920">
      <c r="A920" s="76"/>
      <c r="B920" s="74"/>
      <c r="AM920" s="39"/>
    </row>
    <row r="921">
      <c r="A921" s="76"/>
      <c r="B921" s="74"/>
      <c r="AM921" s="39"/>
    </row>
    <row r="922">
      <c r="A922" s="76"/>
      <c r="B922" s="74"/>
      <c r="AM922" s="39"/>
    </row>
    <row r="923">
      <c r="A923" s="76"/>
      <c r="B923" s="74"/>
      <c r="AM923" s="39"/>
    </row>
    <row r="924">
      <c r="A924" s="76"/>
      <c r="B924" s="74"/>
      <c r="AM924" s="39"/>
    </row>
    <row r="925">
      <c r="A925" s="76"/>
      <c r="B925" s="74"/>
      <c r="AM925" s="39"/>
    </row>
    <row r="926">
      <c r="A926" s="76"/>
      <c r="B926" s="74"/>
      <c r="AM926" s="39"/>
    </row>
    <row r="927">
      <c r="A927" s="76"/>
      <c r="B927" s="74"/>
      <c r="AM927" s="39"/>
    </row>
    <row r="928">
      <c r="A928" s="76"/>
      <c r="B928" s="74"/>
      <c r="AM928" s="39"/>
    </row>
    <row r="929">
      <c r="A929" s="76"/>
      <c r="B929" s="74"/>
      <c r="AM929" s="39"/>
    </row>
    <row r="930">
      <c r="A930" s="76"/>
      <c r="B930" s="74"/>
      <c r="AM930" s="39"/>
    </row>
    <row r="931">
      <c r="A931" s="76"/>
      <c r="B931" s="74"/>
      <c r="AM931" s="39"/>
    </row>
    <row r="932">
      <c r="A932" s="76"/>
      <c r="B932" s="74"/>
      <c r="AM932" s="39"/>
    </row>
    <row r="933">
      <c r="A933" s="76"/>
      <c r="B933" s="74"/>
      <c r="AM933" s="39"/>
    </row>
    <row r="934">
      <c r="A934" s="76"/>
      <c r="B934" s="74"/>
      <c r="AM934" s="39"/>
    </row>
    <row r="935">
      <c r="A935" s="76"/>
      <c r="B935" s="74"/>
      <c r="AM935" s="39"/>
    </row>
    <row r="936">
      <c r="A936" s="76"/>
      <c r="B936" s="74"/>
      <c r="AM936" s="39"/>
    </row>
    <row r="937">
      <c r="A937" s="76"/>
      <c r="B937" s="74"/>
      <c r="AM937" s="39"/>
    </row>
    <row r="938">
      <c r="A938" s="76"/>
      <c r="B938" s="74"/>
      <c r="AM938" s="39"/>
    </row>
    <row r="939">
      <c r="A939" s="76"/>
      <c r="B939" s="74"/>
      <c r="AM939" s="39"/>
    </row>
    <row r="940">
      <c r="A940" s="76"/>
      <c r="B940" s="74"/>
      <c r="AM940" s="39"/>
    </row>
    <row r="941">
      <c r="A941" s="76"/>
      <c r="B941" s="74"/>
      <c r="AM941" s="39"/>
    </row>
    <row r="942">
      <c r="A942" s="76"/>
      <c r="B942" s="74"/>
      <c r="AM942" s="39"/>
    </row>
    <row r="943">
      <c r="A943" s="76"/>
      <c r="B943" s="74"/>
      <c r="AM943" s="39"/>
    </row>
    <row r="944">
      <c r="A944" s="76"/>
      <c r="B944" s="74"/>
      <c r="AM944" s="39"/>
    </row>
    <row r="945">
      <c r="A945" s="76"/>
      <c r="B945" s="74"/>
      <c r="AM945" s="39"/>
    </row>
    <row r="946">
      <c r="A946" s="76"/>
      <c r="B946" s="74"/>
      <c r="AM946" s="39"/>
    </row>
    <row r="947">
      <c r="A947" s="76"/>
      <c r="B947" s="74"/>
      <c r="AM947" s="39"/>
    </row>
    <row r="948">
      <c r="A948" s="76"/>
      <c r="B948" s="74"/>
      <c r="AM948" s="39"/>
    </row>
    <row r="949">
      <c r="A949" s="76"/>
      <c r="B949" s="74"/>
      <c r="AM949" s="39"/>
    </row>
    <row r="950">
      <c r="A950" s="76"/>
      <c r="B950" s="74"/>
      <c r="AM950" s="39"/>
    </row>
    <row r="951">
      <c r="A951" s="76"/>
      <c r="B951" s="74"/>
      <c r="AM951" s="39"/>
    </row>
    <row r="952">
      <c r="A952" s="76"/>
      <c r="B952" s="74"/>
      <c r="AM952" s="39"/>
    </row>
    <row r="953">
      <c r="A953" s="76"/>
      <c r="B953" s="74"/>
      <c r="AM953" s="39"/>
    </row>
    <row r="954">
      <c r="A954" s="76"/>
      <c r="B954" s="74"/>
      <c r="AM954" s="39"/>
    </row>
    <row r="955">
      <c r="A955" s="76"/>
      <c r="B955" s="74"/>
      <c r="AM955" s="39"/>
    </row>
    <row r="956">
      <c r="A956" s="76"/>
      <c r="B956" s="74"/>
      <c r="AM956" s="39"/>
    </row>
    <row r="957">
      <c r="A957" s="76"/>
      <c r="B957" s="74"/>
      <c r="AM957" s="39"/>
    </row>
    <row r="958">
      <c r="A958" s="76"/>
      <c r="B958" s="74"/>
      <c r="AM958" s="39"/>
    </row>
    <row r="959">
      <c r="A959" s="76"/>
      <c r="B959" s="74"/>
      <c r="AM959" s="39"/>
    </row>
    <row r="960">
      <c r="A960" s="76"/>
      <c r="B960" s="74"/>
      <c r="AM960" s="39"/>
    </row>
    <row r="961">
      <c r="A961" s="76"/>
      <c r="B961" s="74"/>
      <c r="AM961" s="39"/>
    </row>
    <row r="962">
      <c r="A962" s="76"/>
      <c r="B962" s="74"/>
      <c r="AM962" s="39"/>
    </row>
    <row r="963">
      <c r="A963" s="76"/>
      <c r="B963" s="74"/>
      <c r="AM963" s="39"/>
    </row>
    <row r="964">
      <c r="A964" s="76"/>
      <c r="B964" s="74"/>
      <c r="AM964" s="39"/>
    </row>
    <row r="965">
      <c r="A965" s="76"/>
      <c r="B965" s="74"/>
      <c r="AM965" s="39"/>
    </row>
    <row r="966">
      <c r="A966" s="76"/>
      <c r="B966" s="74"/>
      <c r="AM966" s="39"/>
    </row>
    <row r="967">
      <c r="A967" s="76"/>
      <c r="B967" s="74"/>
      <c r="AM967" s="39"/>
    </row>
    <row r="968">
      <c r="A968" s="76"/>
      <c r="B968" s="74"/>
      <c r="AM968" s="39"/>
    </row>
    <row r="969">
      <c r="A969" s="76"/>
      <c r="B969" s="74"/>
      <c r="AM969" s="39"/>
    </row>
    <row r="970">
      <c r="A970" s="76"/>
      <c r="B970" s="74"/>
      <c r="AM970" s="39"/>
    </row>
    <row r="971">
      <c r="A971" s="76"/>
      <c r="B971" s="74"/>
      <c r="AM971" s="39"/>
    </row>
    <row r="972">
      <c r="A972" s="76"/>
      <c r="B972" s="74"/>
      <c r="AM972" s="39"/>
    </row>
    <row r="973">
      <c r="A973" s="76"/>
      <c r="B973" s="74"/>
      <c r="AM973" s="39"/>
    </row>
    <row r="974">
      <c r="A974" s="76"/>
      <c r="B974" s="74"/>
      <c r="AM974" s="39"/>
    </row>
    <row r="975">
      <c r="A975" s="76"/>
      <c r="B975" s="74"/>
      <c r="AM975" s="39"/>
    </row>
    <row r="976">
      <c r="A976" s="76"/>
      <c r="B976" s="74"/>
      <c r="AM976" s="39"/>
    </row>
    <row r="977">
      <c r="A977" s="76"/>
      <c r="B977" s="74"/>
      <c r="AM977" s="39"/>
    </row>
    <row r="978">
      <c r="A978" s="76"/>
      <c r="B978" s="74"/>
      <c r="AM978" s="39"/>
    </row>
    <row r="979">
      <c r="A979" s="76"/>
      <c r="B979" s="74"/>
      <c r="AM979" s="39"/>
    </row>
    <row r="980">
      <c r="A980" s="76"/>
      <c r="B980" s="74"/>
      <c r="AM980" s="39"/>
    </row>
    <row r="981">
      <c r="A981" s="76"/>
      <c r="B981" s="74"/>
      <c r="AM981" s="39"/>
    </row>
    <row r="982">
      <c r="A982" s="76"/>
      <c r="B982" s="74"/>
      <c r="AM982" s="39"/>
    </row>
    <row r="983">
      <c r="A983" s="76"/>
      <c r="B983" s="74"/>
      <c r="AM983" s="39"/>
    </row>
    <row r="984">
      <c r="A984" s="76"/>
      <c r="B984" s="74"/>
      <c r="AM984" s="39"/>
    </row>
    <row r="985">
      <c r="A985" s="76"/>
      <c r="B985" s="74"/>
      <c r="AM985" s="39"/>
    </row>
    <row r="986">
      <c r="A986" s="76"/>
      <c r="B986" s="74"/>
      <c r="AM986" s="39"/>
    </row>
    <row r="987">
      <c r="A987" s="76"/>
      <c r="B987" s="74"/>
      <c r="AM987" s="39"/>
    </row>
    <row r="988">
      <c r="A988" s="76"/>
      <c r="B988" s="74"/>
      <c r="AM988" s="39"/>
    </row>
    <row r="989">
      <c r="A989" s="76"/>
      <c r="B989" s="74"/>
      <c r="AM989" s="39"/>
    </row>
    <row r="990">
      <c r="A990" s="76"/>
      <c r="B990" s="74"/>
      <c r="AM990" s="39"/>
    </row>
    <row r="991">
      <c r="A991" s="76"/>
      <c r="B991" s="74"/>
      <c r="AM991" s="39"/>
    </row>
    <row r="992">
      <c r="A992" s="76"/>
      <c r="B992" s="74"/>
      <c r="AM992" s="39"/>
    </row>
    <row r="993">
      <c r="A993" s="76"/>
      <c r="B993" s="74"/>
      <c r="AM993" s="39"/>
    </row>
    <row r="994">
      <c r="A994" s="76"/>
      <c r="B994" s="74"/>
      <c r="AM994" s="39"/>
    </row>
    <row r="995">
      <c r="A995" s="76"/>
      <c r="B995" s="74"/>
      <c r="AM995" s="39"/>
    </row>
    <row r="996">
      <c r="A996" s="76"/>
      <c r="B996" s="74"/>
      <c r="AM996" s="39"/>
    </row>
    <row r="997">
      <c r="A997" s="76"/>
      <c r="B997" s="74"/>
      <c r="AM997" s="39"/>
    </row>
    <row r="998">
      <c r="A998" s="76"/>
      <c r="B998" s="74"/>
      <c r="AM998" s="39"/>
    </row>
    <row r="999">
      <c r="A999" s="76"/>
      <c r="B999" s="74"/>
      <c r="AM999" s="39"/>
    </row>
    <row r="1000">
      <c r="A1000" s="76"/>
      <c r="B1000" s="74"/>
      <c r="AM1000" s="39"/>
    </row>
    <row r="1001">
      <c r="A1001" s="76"/>
      <c r="B1001" s="74"/>
      <c r="AM1001" s="39"/>
    </row>
    <row r="1002">
      <c r="A1002" s="76"/>
      <c r="B1002" s="74"/>
      <c r="AM1002" s="39"/>
    </row>
    <row r="1003">
      <c r="A1003" s="76"/>
      <c r="B1003" s="74"/>
      <c r="AM1003" s="39"/>
    </row>
    <row r="1004">
      <c r="A1004" s="76"/>
      <c r="B1004" s="74"/>
      <c r="AM1004" s="39"/>
    </row>
    <row r="1005">
      <c r="A1005" s="76"/>
      <c r="B1005" s="74"/>
      <c r="AM1005" s="39"/>
    </row>
    <row r="1006">
      <c r="A1006" s="76"/>
      <c r="B1006" s="74"/>
      <c r="AM1006" s="39"/>
    </row>
    <row r="1007">
      <c r="A1007" s="76"/>
      <c r="B1007" s="74"/>
      <c r="AM1007" s="39"/>
    </row>
    <row r="1008">
      <c r="A1008" s="76"/>
      <c r="B1008" s="74"/>
      <c r="AM1008" s="39"/>
    </row>
    <row r="1009">
      <c r="A1009" s="76"/>
      <c r="B1009" s="74"/>
      <c r="AM1009" s="39"/>
    </row>
    <row r="1010">
      <c r="A1010" s="76"/>
      <c r="B1010" s="74"/>
      <c r="AM1010" s="39"/>
    </row>
    <row r="1011">
      <c r="A1011" s="76"/>
      <c r="B1011" s="74"/>
      <c r="AM1011" s="39"/>
    </row>
    <row r="1012">
      <c r="A1012" s="76"/>
      <c r="B1012" s="74"/>
      <c r="AM1012" s="39"/>
    </row>
    <row r="1013">
      <c r="A1013" s="76"/>
      <c r="B1013" s="74"/>
      <c r="AM1013" s="39"/>
    </row>
    <row r="1014">
      <c r="A1014" s="76"/>
      <c r="B1014" s="74"/>
      <c r="AM1014" s="39"/>
    </row>
    <row r="1015">
      <c r="A1015" s="76"/>
      <c r="B1015" s="74"/>
      <c r="AM1015" s="39"/>
    </row>
  </sheetData>
  <conditionalFormatting sqref="AM1:AM101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P2:P1015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Q2:Y100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Z2:Z100">
    <cfRule type="colorScale" priority="4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Q2:Y100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3" max="23" width="15.0"/>
  </cols>
  <sheetData>
    <row r="1">
      <c r="A1" s="65" t="s">
        <v>231</v>
      </c>
      <c r="C1" s="7"/>
      <c r="D1" s="7"/>
      <c r="E1" s="7"/>
      <c r="I1" s="22" t="s">
        <v>33</v>
      </c>
      <c r="J1" s="7"/>
      <c r="K1" s="7"/>
      <c r="L1" s="7"/>
      <c r="P1" s="22" t="s">
        <v>232</v>
      </c>
      <c r="W1" s="22" t="s">
        <v>233</v>
      </c>
    </row>
    <row r="2">
      <c r="A2" s="40" t="s">
        <v>234</v>
      </c>
      <c r="C2" s="7" t="s">
        <v>235</v>
      </c>
      <c r="D2" s="7" t="s">
        <v>15</v>
      </c>
      <c r="E2" s="7" t="s">
        <v>236</v>
      </c>
      <c r="I2" s="7" t="s">
        <v>237</v>
      </c>
      <c r="J2" s="7" t="s">
        <v>235</v>
      </c>
      <c r="K2" s="7" t="s">
        <v>15</v>
      </c>
      <c r="L2" s="7" t="s">
        <v>236</v>
      </c>
      <c r="P2" s="7" t="s">
        <v>234</v>
      </c>
      <c r="Q2" s="7" t="s">
        <v>235</v>
      </c>
      <c r="R2" s="7" t="s">
        <v>15</v>
      </c>
      <c r="S2" s="7" t="s">
        <v>236</v>
      </c>
      <c r="W2" s="7" t="s">
        <v>234</v>
      </c>
      <c r="X2" s="7" t="s">
        <v>235</v>
      </c>
      <c r="Y2" s="7" t="s">
        <v>15</v>
      </c>
      <c r="Z2" s="7" t="s">
        <v>236</v>
      </c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>
      <c r="A3" s="40">
        <v>5.7787681004E10</v>
      </c>
      <c r="C3" s="7" t="s">
        <v>238</v>
      </c>
      <c r="D3" s="25">
        <v>0.0</v>
      </c>
      <c r="E3" s="25" t="s">
        <v>239</v>
      </c>
      <c r="F3" s="25">
        <v>0.0</v>
      </c>
      <c r="I3" s="7">
        <v>7.5070112755E10</v>
      </c>
      <c r="J3" s="7" t="s">
        <v>238</v>
      </c>
      <c r="K3" s="25">
        <v>0.0</v>
      </c>
      <c r="L3" s="25" t="s">
        <v>239</v>
      </c>
      <c r="M3" s="25">
        <v>0.0</v>
      </c>
      <c r="P3" s="7">
        <v>3.42270239999E11</v>
      </c>
      <c r="Q3" s="7" t="s">
        <v>238</v>
      </c>
      <c r="R3" s="25">
        <v>0.0</v>
      </c>
      <c r="S3" s="25" t="s">
        <v>239</v>
      </c>
      <c r="T3" s="25">
        <v>0.0</v>
      </c>
      <c r="W3" s="40">
        <v>7.40119798399E11</v>
      </c>
      <c r="X3" s="7" t="s">
        <v>238</v>
      </c>
      <c r="Y3" s="25">
        <v>0.0</v>
      </c>
      <c r="Z3" s="25" t="s">
        <v>239</v>
      </c>
      <c r="AA3" s="25">
        <v>0.0</v>
      </c>
    </row>
    <row r="4">
      <c r="C4" s="7" t="s">
        <v>240</v>
      </c>
      <c r="D4" s="25">
        <v>0.0</v>
      </c>
      <c r="E4" s="7" t="s">
        <v>241</v>
      </c>
      <c r="F4" s="25">
        <v>11.0</v>
      </c>
      <c r="G4" s="25">
        <v>11.0</v>
      </c>
      <c r="J4" s="7" t="s">
        <v>242</v>
      </c>
      <c r="K4" s="25">
        <v>0.0</v>
      </c>
      <c r="L4" s="7" t="s">
        <v>241</v>
      </c>
      <c r="M4" s="25">
        <v>12.0</v>
      </c>
      <c r="N4" s="25">
        <v>12.0</v>
      </c>
      <c r="Q4" s="7" t="s">
        <v>242</v>
      </c>
      <c r="R4" s="25">
        <v>0.0</v>
      </c>
      <c r="S4" s="7" t="s">
        <v>241</v>
      </c>
      <c r="T4" s="25">
        <v>12.0</v>
      </c>
      <c r="U4" s="25">
        <v>12.0</v>
      </c>
      <c r="W4" s="25">
        <f>W3/A3</f>
        <v>12.8075705</v>
      </c>
      <c r="X4" s="7" t="s">
        <v>242</v>
      </c>
      <c r="Y4" s="25">
        <v>0.0</v>
      </c>
      <c r="Z4" s="7" t="s">
        <v>241</v>
      </c>
      <c r="AA4" s="25">
        <v>12.0</v>
      </c>
      <c r="AB4" s="25">
        <v>12.0</v>
      </c>
    </row>
    <row r="5">
      <c r="C5" s="7" t="s">
        <v>243</v>
      </c>
      <c r="D5" s="25">
        <v>1.0</v>
      </c>
      <c r="E5" s="25" t="s">
        <v>239</v>
      </c>
      <c r="F5" s="25">
        <v>11.0</v>
      </c>
      <c r="G5" s="25">
        <v>0.0</v>
      </c>
      <c r="J5" s="7" t="s">
        <v>244</v>
      </c>
      <c r="K5" s="25">
        <v>1.0</v>
      </c>
      <c r="L5" s="25" t="s">
        <v>239</v>
      </c>
      <c r="M5" s="25">
        <v>12.0</v>
      </c>
      <c r="N5" s="25">
        <v>0.0</v>
      </c>
      <c r="Q5" s="7" t="s">
        <v>244</v>
      </c>
      <c r="R5" s="25">
        <v>1.0</v>
      </c>
      <c r="S5" s="25" t="s">
        <v>239</v>
      </c>
      <c r="T5" s="25">
        <v>12.0</v>
      </c>
      <c r="U5" s="25">
        <v>0.0</v>
      </c>
      <c r="X5" s="7" t="s">
        <v>244</v>
      </c>
      <c r="Y5" s="25">
        <v>1.0</v>
      </c>
      <c r="Z5" s="25" t="s">
        <v>239</v>
      </c>
      <c r="AA5" s="25">
        <v>12.0</v>
      </c>
      <c r="AB5" s="25">
        <v>0.0</v>
      </c>
    </row>
    <row r="6">
      <c r="C6" s="7" t="s">
        <v>245</v>
      </c>
      <c r="D6" s="25">
        <v>1.0</v>
      </c>
      <c r="E6" s="7" t="s">
        <v>241</v>
      </c>
      <c r="F6" s="25">
        <v>24.0</v>
      </c>
      <c r="G6" s="25">
        <v>13.0</v>
      </c>
      <c r="J6" s="7" t="s">
        <v>246</v>
      </c>
      <c r="K6" s="25">
        <v>1.0</v>
      </c>
      <c r="L6" s="7" t="s">
        <v>241</v>
      </c>
      <c r="M6" s="25">
        <v>22.0</v>
      </c>
      <c r="N6" s="25">
        <v>10.0</v>
      </c>
      <c r="Q6" s="7" t="s">
        <v>245</v>
      </c>
      <c r="R6" s="25">
        <v>1.0</v>
      </c>
      <c r="S6" s="7" t="s">
        <v>241</v>
      </c>
      <c r="T6" s="25">
        <v>24.0</v>
      </c>
      <c r="U6" s="25">
        <v>12.0</v>
      </c>
      <c r="X6" s="7" t="s">
        <v>245</v>
      </c>
      <c r="Y6" s="25">
        <v>1.0</v>
      </c>
      <c r="Z6" s="7" t="s">
        <v>241</v>
      </c>
      <c r="AA6" s="25">
        <v>24.0</v>
      </c>
      <c r="AB6" s="25">
        <v>12.0</v>
      </c>
    </row>
    <row r="7">
      <c r="C7" s="7" t="s">
        <v>247</v>
      </c>
      <c r="D7" s="25">
        <v>2.0</v>
      </c>
      <c r="E7" s="25" t="s">
        <v>239</v>
      </c>
      <c r="F7" s="25">
        <v>24.0</v>
      </c>
      <c r="G7" s="25">
        <v>0.0</v>
      </c>
      <c r="J7" s="7" t="s">
        <v>248</v>
      </c>
      <c r="K7" s="25">
        <v>2.0</v>
      </c>
      <c r="L7" s="25" t="s">
        <v>239</v>
      </c>
      <c r="M7" s="25">
        <v>22.0</v>
      </c>
      <c r="N7" s="25">
        <v>0.0</v>
      </c>
      <c r="Q7" s="7" t="s">
        <v>247</v>
      </c>
      <c r="R7" s="25">
        <v>2.0</v>
      </c>
      <c r="S7" s="25" t="s">
        <v>239</v>
      </c>
      <c r="T7" s="25">
        <v>24.0</v>
      </c>
      <c r="U7" s="25">
        <v>0.0</v>
      </c>
      <c r="X7" s="7" t="s">
        <v>247</v>
      </c>
      <c r="Y7" s="25">
        <v>2.0</v>
      </c>
      <c r="Z7" s="25" t="s">
        <v>239</v>
      </c>
      <c r="AA7" s="25">
        <v>24.0</v>
      </c>
      <c r="AB7" s="25">
        <v>0.0</v>
      </c>
    </row>
    <row r="8">
      <c r="A8" s="4"/>
      <c r="C8" s="7" t="s">
        <v>249</v>
      </c>
      <c r="D8" s="25">
        <v>2.0</v>
      </c>
      <c r="E8" s="7" t="s">
        <v>241</v>
      </c>
      <c r="F8" s="25">
        <v>36.0</v>
      </c>
      <c r="G8" s="25">
        <v>12.0</v>
      </c>
      <c r="J8" s="7" t="s">
        <v>250</v>
      </c>
      <c r="K8" s="25">
        <v>2.0</v>
      </c>
      <c r="L8" s="7" t="s">
        <v>241</v>
      </c>
      <c r="M8" s="25">
        <v>33.0</v>
      </c>
      <c r="N8" s="25">
        <v>11.0</v>
      </c>
      <c r="Q8" s="7" t="s">
        <v>249</v>
      </c>
      <c r="R8" s="25">
        <v>2.0</v>
      </c>
      <c r="S8" s="7" t="s">
        <v>241</v>
      </c>
      <c r="T8" s="25">
        <v>36.0</v>
      </c>
      <c r="U8" s="25">
        <v>12.0</v>
      </c>
      <c r="X8" s="7" t="s">
        <v>249</v>
      </c>
      <c r="Y8" s="25">
        <v>2.0</v>
      </c>
      <c r="Z8" s="7" t="s">
        <v>241</v>
      </c>
      <c r="AA8" s="25">
        <v>36.0</v>
      </c>
      <c r="AB8" s="25">
        <v>12.0</v>
      </c>
    </row>
    <row r="9">
      <c r="A9" s="40"/>
      <c r="C9" s="7" t="s">
        <v>251</v>
      </c>
      <c r="D9" s="25">
        <v>3.0</v>
      </c>
      <c r="E9" s="25" t="s">
        <v>239</v>
      </c>
      <c r="F9" s="25">
        <v>36.0</v>
      </c>
      <c r="G9" s="25">
        <v>0.0</v>
      </c>
      <c r="J9" s="7" t="s">
        <v>252</v>
      </c>
      <c r="K9" s="25">
        <v>3.0</v>
      </c>
      <c r="L9" s="25" t="s">
        <v>239</v>
      </c>
      <c r="M9" s="25">
        <v>33.0</v>
      </c>
      <c r="N9" s="25">
        <v>0.0</v>
      </c>
      <c r="Q9" s="7" t="s">
        <v>251</v>
      </c>
      <c r="R9" s="25">
        <v>3.0</v>
      </c>
      <c r="S9" s="25" t="s">
        <v>239</v>
      </c>
      <c r="T9" s="25">
        <v>36.0</v>
      </c>
      <c r="U9" s="25">
        <v>0.0</v>
      </c>
      <c r="X9" s="7" t="s">
        <v>251</v>
      </c>
      <c r="Y9" s="25">
        <v>3.0</v>
      </c>
      <c r="Z9" s="25" t="s">
        <v>239</v>
      </c>
      <c r="AA9" s="25">
        <v>36.0</v>
      </c>
      <c r="AB9" s="25">
        <v>0.0</v>
      </c>
    </row>
    <row r="10">
      <c r="A10" s="40"/>
      <c r="C10" s="7" t="s">
        <v>253</v>
      </c>
      <c r="D10" s="25">
        <v>3.0</v>
      </c>
      <c r="E10" s="7" t="s">
        <v>241</v>
      </c>
      <c r="F10" s="25">
        <v>48.0</v>
      </c>
      <c r="G10" s="25">
        <v>12.0</v>
      </c>
      <c r="J10" s="7" t="s">
        <v>254</v>
      </c>
      <c r="K10" s="25">
        <v>3.0</v>
      </c>
      <c r="L10" s="7" t="s">
        <v>241</v>
      </c>
      <c r="M10" s="25">
        <v>44.0</v>
      </c>
      <c r="N10" s="25">
        <v>11.0</v>
      </c>
      <c r="Q10" s="7" t="s">
        <v>253</v>
      </c>
      <c r="R10" s="25">
        <v>3.0</v>
      </c>
      <c r="S10" s="7" t="s">
        <v>241</v>
      </c>
      <c r="T10" s="25">
        <v>48.0</v>
      </c>
      <c r="U10" s="25">
        <v>12.0</v>
      </c>
      <c r="X10" s="7" t="s">
        <v>255</v>
      </c>
      <c r="Y10" s="25">
        <v>3.0</v>
      </c>
      <c r="Z10" s="7" t="s">
        <v>241</v>
      </c>
      <c r="AA10" s="25">
        <v>49.0</v>
      </c>
      <c r="AB10" s="25">
        <v>13.0</v>
      </c>
    </row>
    <row r="11">
      <c r="A11" s="77"/>
      <c r="C11" s="7" t="s">
        <v>256</v>
      </c>
      <c r="D11" s="25">
        <v>4.0</v>
      </c>
      <c r="E11" s="25" t="s">
        <v>239</v>
      </c>
      <c r="F11" s="25">
        <v>48.0</v>
      </c>
      <c r="G11" s="25">
        <v>0.0</v>
      </c>
      <c r="J11" s="7" t="s">
        <v>257</v>
      </c>
      <c r="K11" s="25">
        <v>4.0</v>
      </c>
      <c r="L11" s="25" t="s">
        <v>239</v>
      </c>
      <c r="M11" s="25">
        <v>44.0</v>
      </c>
      <c r="N11" s="25">
        <v>0.0</v>
      </c>
      <c r="Q11" s="7" t="s">
        <v>256</v>
      </c>
      <c r="R11" s="25">
        <v>4.0</v>
      </c>
      <c r="S11" s="25" t="s">
        <v>239</v>
      </c>
      <c r="T11" s="25">
        <v>48.0</v>
      </c>
      <c r="U11" s="25">
        <v>0.0</v>
      </c>
      <c r="X11" s="7" t="s">
        <v>258</v>
      </c>
      <c r="Y11" s="25">
        <v>4.0</v>
      </c>
      <c r="Z11" s="25" t="s">
        <v>239</v>
      </c>
      <c r="AA11" s="25">
        <v>49.0</v>
      </c>
      <c r="AB11" s="25">
        <v>0.0</v>
      </c>
    </row>
    <row r="12">
      <c r="A12" s="4"/>
      <c r="C12" s="7" t="s">
        <v>259</v>
      </c>
      <c r="D12" s="25">
        <v>4.0</v>
      </c>
      <c r="E12" s="7" t="s">
        <v>241</v>
      </c>
      <c r="F12" s="25">
        <v>59.0</v>
      </c>
      <c r="G12" s="25">
        <v>11.0</v>
      </c>
      <c r="J12" s="7" t="s">
        <v>260</v>
      </c>
      <c r="K12" s="25">
        <v>4.0</v>
      </c>
      <c r="L12" s="7" t="s">
        <v>241</v>
      </c>
      <c r="M12" s="25">
        <v>56.0</v>
      </c>
      <c r="N12" s="25">
        <v>12.0</v>
      </c>
      <c r="Q12" s="7" t="s">
        <v>261</v>
      </c>
      <c r="R12" s="25">
        <v>4.0</v>
      </c>
      <c r="S12" s="7" t="s">
        <v>241</v>
      </c>
      <c r="T12" s="25">
        <v>61.0</v>
      </c>
      <c r="U12" s="25">
        <v>13.0</v>
      </c>
      <c r="X12" s="7" t="s">
        <v>261</v>
      </c>
      <c r="Y12" s="25">
        <v>4.0</v>
      </c>
      <c r="Z12" s="7" t="s">
        <v>241</v>
      </c>
      <c r="AA12" s="25">
        <v>61.0</v>
      </c>
      <c r="AB12" s="25">
        <v>12.0</v>
      </c>
    </row>
    <row r="13">
      <c r="A13" s="4"/>
      <c r="C13" s="7" t="s">
        <v>262</v>
      </c>
      <c r="D13" s="25">
        <v>5.0</v>
      </c>
      <c r="E13" s="25" t="s">
        <v>239</v>
      </c>
      <c r="F13" s="25">
        <v>59.0</v>
      </c>
      <c r="G13" s="25">
        <v>0.0</v>
      </c>
      <c r="J13" s="7" t="s">
        <v>263</v>
      </c>
      <c r="K13" s="25">
        <v>5.0</v>
      </c>
      <c r="L13" s="25" t="s">
        <v>239</v>
      </c>
      <c r="M13" s="25">
        <v>56.0</v>
      </c>
      <c r="N13" s="25">
        <v>0.0</v>
      </c>
      <c r="Q13" s="7" t="s">
        <v>264</v>
      </c>
      <c r="R13" s="25">
        <v>5.0</v>
      </c>
      <c r="S13" s="25" t="s">
        <v>239</v>
      </c>
      <c r="T13" s="25">
        <v>61.0</v>
      </c>
      <c r="U13" s="25">
        <v>0.0</v>
      </c>
      <c r="X13" s="7" t="s">
        <v>264</v>
      </c>
      <c r="Y13" s="25">
        <v>5.0</v>
      </c>
      <c r="Z13" s="25" t="s">
        <v>239</v>
      </c>
      <c r="AA13" s="25">
        <v>61.0</v>
      </c>
      <c r="AB13" s="25">
        <v>0.0</v>
      </c>
    </row>
    <row r="14">
      <c r="A14" s="4"/>
      <c r="C14" s="7" t="s">
        <v>265</v>
      </c>
      <c r="D14" s="25">
        <v>5.0</v>
      </c>
      <c r="E14" s="7" t="s">
        <v>241</v>
      </c>
      <c r="F14" s="25">
        <v>71.0</v>
      </c>
      <c r="G14" s="25">
        <v>12.0</v>
      </c>
      <c r="J14" s="7" t="s">
        <v>266</v>
      </c>
      <c r="K14" s="25">
        <v>5.0</v>
      </c>
      <c r="L14" s="7" t="s">
        <v>241</v>
      </c>
      <c r="M14" s="25">
        <v>68.0</v>
      </c>
      <c r="N14" s="25">
        <v>12.0</v>
      </c>
      <c r="Q14" s="7" t="s">
        <v>267</v>
      </c>
      <c r="R14" s="25">
        <v>5.0</v>
      </c>
      <c r="S14" s="7" t="s">
        <v>241</v>
      </c>
      <c r="T14" s="25">
        <v>73.0</v>
      </c>
      <c r="U14" s="25">
        <v>12.0</v>
      </c>
      <c r="X14" s="7" t="s">
        <v>267</v>
      </c>
      <c r="Y14" s="25">
        <v>5.0</v>
      </c>
      <c r="Z14" s="7" t="s">
        <v>241</v>
      </c>
      <c r="AA14" s="25">
        <v>73.0</v>
      </c>
      <c r="AB14" s="25">
        <v>12.0</v>
      </c>
    </row>
    <row r="15">
      <c r="A15" s="4"/>
      <c r="C15" s="7" t="s">
        <v>268</v>
      </c>
      <c r="D15" s="25">
        <v>6.0</v>
      </c>
      <c r="E15" s="25" t="s">
        <v>239</v>
      </c>
      <c r="F15" s="25">
        <v>72.0</v>
      </c>
      <c r="G15" s="25">
        <v>1.0</v>
      </c>
      <c r="J15" s="7" t="s">
        <v>269</v>
      </c>
      <c r="K15" s="25">
        <v>6.0</v>
      </c>
      <c r="L15" s="25" t="s">
        <v>239</v>
      </c>
      <c r="M15" s="25">
        <v>68.0</v>
      </c>
      <c r="N15" s="25">
        <v>0.0</v>
      </c>
      <c r="Q15" s="7" t="s">
        <v>270</v>
      </c>
      <c r="R15" s="25">
        <v>6.0</v>
      </c>
      <c r="S15" s="25" t="s">
        <v>239</v>
      </c>
      <c r="T15" s="25">
        <v>73.0</v>
      </c>
      <c r="U15" s="25">
        <v>0.0</v>
      </c>
      <c r="X15" s="7" t="s">
        <v>270</v>
      </c>
      <c r="Y15" s="25">
        <v>6.0</v>
      </c>
      <c r="Z15" s="25" t="s">
        <v>239</v>
      </c>
      <c r="AA15" s="25">
        <v>73.0</v>
      </c>
      <c r="AB15" s="25">
        <v>0.0</v>
      </c>
    </row>
    <row r="16">
      <c r="A16" s="4"/>
      <c r="C16" s="7" t="s">
        <v>271</v>
      </c>
      <c r="D16" s="25">
        <v>6.0</v>
      </c>
      <c r="E16" s="7" t="s">
        <v>241</v>
      </c>
      <c r="F16" s="25">
        <v>84.0</v>
      </c>
      <c r="G16" s="25">
        <v>12.0</v>
      </c>
      <c r="J16" s="7" t="s">
        <v>272</v>
      </c>
      <c r="K16" s="25">
        <v>6.0</v>
      </c>
      <c r="L16" s="7" t="s">
        <v>241</v>
      </c>
      <c r="M16" s="25">
        <v>80.0</v>
      </c>
      <c r="N16" s="25">
        <v>12.0</v>
      </c>
      <c r="Q16" s="7" t="s">
        <v>273</v>
      </c>
      <c r="R16" s="25">
        <v>6.0</v>
      </c>
      <c r="S16" s="7" t="s">
        <v>241</v>
      </c>
      <c r="T16" s="25">
        <v>85.0</v>
      </c>
      <c r="U16" s="25">
        <v>12.0</v>
      </c>
      <c r="X16" s="7" t="s">
        <v>271</v>
      </c>
      <c r="Y16" s="25">
        <v>6.0</v>
      </c>
      <c r="Z16" s="7" t="s">
        <v>241</v>
      </c>
      <c r="AA16" s="25">
        <v>84.0</v>
      </c>
      <c r="AB16" s="25">
        <v>11.0</v>
      </c>
    </row>
    <row r="17">
      <c r="A17" s="4"/>
      <c r="C17" s="7" t="s">
        <v>274</v>
      </c>
      <c r="D17" s="25">
        <v>7.0</v>
      </c>
      <c r="E17" s="25" t="s">
        <v>239</v>
      </c>
      <c r="F17" s="25">
        <v>84.0</v>
      </c>
      <c r="G17" s="25">
        <v>0.0</v>
      </c>
      <c r="J17" s="7" t="s">
        <v>275</v>
      </c>
      <c r="K17" s="25">
        <v>7.0</v>
      </c>
      <c r="L17" s="25" t="s">
        <v>239</v>
      </c>
      <c r="M17" s="25">
        <v>80.0</v>
      </c>
      <c r="N17" s="25">
        <v>0.0</v>
      </c>
      <c r="Q17" s="7" t="s">
        <v>276</v>
      </c>
      <c r="R17" s="25">
        <v>7.0</v>
      </c>
      <c r="S17" s="25" t="s">
        <v>239</v>
      </c>
      <c r="T17" s="25">
        <v>85.0</v>
      </c>
      <c r="U17" s="25">
        <v>0.0</v>
      </c>
      <c r="X17" s="7" t="s">
        <v>274</v>
      </c>
      <c r="Y17" s="25">
        <v>7.0</v>
      </c>
      <c r="Z17" s="25" t="s">
        <v>239</v>
      </c>
      <c r="AA17" s="25">
        <v>84.0</v>
      </c>
      <c r="AB17" s="25">
        <v>0.0</v>
      </c>
    </row>
    <row r="18">
      <c r="A18" s="4"/>
      <c r="C18" s="7" t="s">
        <v>277</v>
      </c>
      <c r="D18" s="25">
        <v>7.0</v>
      </c>
      <c r="E18" s="7" t="s">
        <v>241</v>
      </c>
      <c r="F18" s="25">
        <v>94.0</v>
      </c>
      <c r="G18" s="25">
        <v>10.0</v>
      </c>
      <c r="J18" s="7" t="s">
        <v>278</v>
      </c>
      <c r="K18" s="25">
        <v>7.0</v>
      </c>
      <c r="L18" s="7" t="s">
        <v>241</v>
      </c>
      <c r="M18" s="25">
        <v>93.0</v>
      </c>
      <c r="N18" s="25">
        <v>13.0</v>
      </c>
      <c r="Q18" s="7" t="s">
        <v>279</v>
      </c>
      <c r="R18" s="25">
        <v>7.0</v>
      </c>
      <c r="S18" s="7" t="s">
        <v>241</v>
      </c>
      <c r="T18" s="25">
        <v>98.0</v>
      </c>
      <c r="U18" s="25">
        <v>13.0</v>
      </c>
      <c r="X18" s="7" t="s">
        <v>280</v>
      </c>
      <c r="Y18" s="25">
        <v>7.0</v>
      </c>
      <c r="Z18" s="7" t="s">
        <v>241</v>
      </c>
      <c r="AA18" s="25">
        <v>96.0</v>
      </c>
      <c r="AB18" s="25">
        <v>12.0</v>
      </c>
    </row>
    <row r="19">
      <c r="A19" s="4"/>
      <c r="C19" s="7" t="s">
        <v>281</v>
      </c>
      <c r="D19" s="25">
        <v>8.0</v>
      </c>
      <c r="E19" s="25" t="s">
        <v>239</v>
      </c>
      <c r="F19" s="25">
        <v>95.0</v>
      </c>
      <c r="G19" s="25">
        <v>1.0</v>
      </c>
      <c r="J19" s="7" t="s">
        <v>282</v>
      </c>
      <c r="K19" s="25">
        <v>8.0</v>
      </c>
      <c r="L19" s="25" t="s">
        <v>239</v>
      </c>
      <c r="M19" s="25">
        <v>93.0</v>
      </c>
      <c r="N19" s="25">
        <v>0.0</v>
      </c>
      <c r="Q19" s="7" t="s">
        <v>283</v>
      </c>
      <c r="R19" s="25">
        <v>8.0</v>
      </c>
      <c r="S19" s="25" t="s">
        <v>239</v>
      </c>
      <c r="T19" s="25">
        <v>98.0</v>
      </c>
      <c r="U19" s="25">
        <v>0.0</v>
      </c>
      <c r="X19" s="7" t="s">
        <v>284</v>
      </c>
      <c r="Y19" s="25">
        <v>8.0</v>
      </c>
      <c r="Z19" s="25" t="s">
        <v>239</v>
      </c>
      <c r="AA19" s="25">
        <v>96.0</v>
      </c>
      <c r="AB19" s="25">
        <v>0.0</v>
      </c>
    </row>
    <row r="20">
      <c r="A20" s="4"/>
      <c r="C20" s="7" t="s">
        <v>285</v>
      </c>
      <c r="D20" s="25">
        <v>8.0</v>
      </c>
      <c r="E20" s="7" t="s">
        <v>241</v>
      </c>
      <c r="F20" s="25">
        <v>105.0</v>
      </c>
      <c r="G20" s="25">
        <v>10.0</v>
      </c>
      <c r="J20" s="7" t="s">
        <v>286</v>
      </c>
      <c r="K20" s="25">
        <v>8.0</v>
      </c>
      <c r="L20" s="7" t="s">
        <v>241</v>
      </c>
      <c r="M20" s="25">
        <v>104.0</v>
      </c>
      <c r="N20" s="25">
        <v>11.0</v>
      </c>
      <c r="Q20" s="7" t="s">
        <v>287</v>
      </c>
      <c r="R20" s="25">
        <v>8.0</v>
      </c>
      <c r="S20" s="7" t="s">
        <v>241</v>
      </c>
      <c r="T20" s="25">
        <v>109.0</v>
      </c>
      <c r="U20" s="25">
        <v>11.0</v>
      </c>
      <c r="X20" s="7" t="s">
        <v>288</v>
      </c>
      <c r="Y20" s="25">
        <v>8.0</v>
      </c>
      <c r="Z20" s="7" t="s">
        <v>241</v>
      </c>
      <c r="AA20" s="25">
        <v>108.0</v>
      </c>
      <c r="AB20" s="25">
        <v>12.0</v>
      </c>
    </row>
    <row r="21">
      <c r="A21" s="4"/>
      <c r="C21" s="7" t="s">
        <v>289</v>
      </c>
      <c r="D21" s="25">
        <v>9.0</v>
      </c>
      <c r="E21" s="25" t="s">
        <v>239</v>
      </c>
      <c r="F21" s="25">
        <v>105.0</v>
      </c>
      <c r="G21" s="25">
        <v>0.0</v>
      </c>
      <c r="J21" s="7" t="s">
        <v>290</v>
      </c>
      <c r="K21" s="25">
        <v>9.0</v>
      </c>
      <c r="L21" s="25" t="s">
        <v>239</v>
      </c>
      <c r="M21" s="25">
        <v>104.0</v>
      </c>
      <c r="N21" s="25">
        <v>0.0</v>
      </c>
      <c r="Q21" s="7" t="s">
        <v>291</v>
      </c>
      <c r="R21" s="25">
        <v>9.0</v>
      </c>
      <c r="S21" s="25" t="s">
        <v>239</v>
      </c>
      <c r="T21" s="25">
        <v>109.0</v>
      </c>
      <c r="U21" s="25">
        <v>0.0</v>
      </c>
      <c r="X21" s="7" t="s">
        <v>292</v>
      </c>
      <c r="Y21" s="25">
        <v>9.0</v>
      </c>
      <c r="Z21" s="25" t="s">
        <v>239</v>
      </c>
      <c r="AA21" s="25">
        <v>108.0</v>
      </c>
      <c r="AB21" s="25">
        <v>0.0</v>
      </c>
    </row>
    <row r="22">
      <c r="A22" s="4"/>
      <c r="C22" s="7" t="s">
        <v>293</v>
      </c>
      <c r="D22" s="25">
        <v>9.0</v>
      </c>
      <c r="E22" s="7" t="s">
        <v>241</v>
      </c>
      <c r="F22" s="25">
        <v>117.0</v>
      </c>
      <c r="G22" s="25">
        <v>12.0</v>
      </c>
      <c r="J22" s="7" t="s">
        <v>294</v>
      </c>
      <c r="K22" s="25">
        <v>9.0</v>
      </c>
      <c r="L22" s="7" t="s">
        <v>241</v>
      </c>
      <c r="M22" s="25">
        <v>114.0</v>
      </c>
      <c r="N22" s="25">
        <v>10.0</v>
      </c>
      <c r="Q22" s="7" t="s">
        <v>295</v>
      </c>
      <c r="R22" s="25">
        <v>9.0</v>
      </c>
      <c r="S22" s="7" t="s">
        <v>241</v>
      </c>
      <c r="T22" s="25">
        <v>120.0</v>
      </c>
      <c r="U22" s="25">
        <v>11.0</v>
      </c>
      <c r="X22" s="7" t="s">
        <v>295</v>
      </c>
      <c r="Y22" s="25">
        <v>9.0</v>
      </c>
      <c r="Z22" s="7" t="s">
        <v>241</v>
      </c>
      <c r="AA22" s="25">
        <v>120.0</v>
      </c>
      <c r="AB22" s="25">
        <v>12.0</v>
      </c>
    </row>
    <row r="23">
      <c r="A23" s="4"/>
      <c r="C23" s="7" t="s">
        <v>296</v>
      </c>
      <c r="D23" s="25">
        <v>10.0</v>
      </c>
      <c r="E23" s="25" t="s">
        <v>239</v>
      </c>
      <c r="F23" s="25">
        <v>117.0</v>
      </c>
      <c r="G23" s="25">
        <v>0.0</v>
      </c>
      <c r="J23" s="7" t="s">
        <v>297</v>
      </c>
      <c r="K23" s="25">
        <v>10.0</v>
      </c>
      <c r="L23" s="25" t="s">
        <v>239</v>
      </c>
      <c r="M23" s="25">
        <v>114.0</v>
      </c>
      <c r="N23" s="25">
        <v>0.0</v>
      </c>
      <c r="Q23" s="7" t="s">
        <v>298</v>
      </c>
      <c r="R23" s="25">
        <v>10.0</v>
      </c>
      <c r="S23" s="25" t="s">
        <v>239</v>
      </c>
      <c r="T23" s="25">
        <v>120.0</v>
      </c>
      <c r="U23" s="25">
        <v>0.0</v>
      </c>
      <c r="X23" s="7" t="s">
        <v>299</v>
      </c>
      <c r="Y23" s="25">
        <v>10.0</v>
      </c>
      <c r="Z23" s="25" t="s">
        <v>239</v>
      </c>
      <c r="AA23" s="25">
        <v>121.0</v>
      </c>
      <c r="AB23" s="25">
        <v>1.0</v>
      </c>
    </row>
    <row r="24">
      <c r="A24" s="4"/>
      <c r="C24" s="7" t="s">
        <v>300</v>
      </c>
      <c r="D24" s="25">
        <v>10.0</v>
      </c>
      <c r="E24" s="7" t="s">
        <v>241</v>
      </c>
      <c r="F24" s="25">
        <v>129.0</v>
      </c>
      <c r="G24" s="25">
        <v>12.0</v>
      </c>
      <c r="J24" s="7" t="s">
        <v>301</v>
      </c>
      <c r="K24" s="25">
        <v>10.0</v>
      </c>
      <c r="L24" s="7" t="s">
        <v>241</v>
      </c>
      <c r="M24" s="25">
        <v>126.0</v>
      </c>
      <c r="N24" s="25">
        <v>12.0</v>
      </c>
      <c r="Q24" s="7" t="s">
        <v>302</v>
      </c>
      <c r="R24" s="25">
        <v>10.0</v>
      </c>
      <c r="S24" s="7" t="s">
        <v>241</v>
      </c>
      <c r="T24" s="25">
        <v>133.0</v>
      </c>
      <c r="U24" s="25">
        <v>13.0</v>
      </c>
      <c r="X24" s="7" t="s">
        <v>303</v>
      </c>
      <c r="Y24" s="25">
        <v>10.0</v>
      </c>
      <c r="Z24" s="7" t="s">
        <v>241</v>
      </c>
      <c r="AA24" s="25">
        <v>132.0</v>
      </c>
      <c r="AB24" s="25">
        <v>11.0</v>
      </c>
    </row>
    <row r="25">
      <c r="A25" s="4"/>
      <c r="C25" s="7" t="s">
        <v>304</v>
      </c>
      <c r="D25" s="25">
        <v>11.0</v>
      </c>
      <c r="E25" s="25" t="s">
        <v>239</v>
      </c>
      <c r="F25" s="25">
        <v>129.0</v>
      </c>
      <c r="G25" s="25">
        <v>0.0</v>
      </c>
      <c r="J25" s="7" t="s">
        <v>305</v>
      </c>
      <c r="K25" s="25">
        <v>11.0</v>
      </c>
      <c r="L25" s="25" t="s">
        <v>239</v>
      </c>
      <c r="M25" s="25">
        <v>126.0</v>
      </c>
      <c r="N25" s="25">
        <v>0.0</v>
      </c>
      <c r="Q25" s="7" t="s">
        <v>306</v>
      </c>
      <c r="R25" s="25">
        <v>11.0</v>
      </c>
      <c r="S25" s="25" t="s">
        <v>239</v>
      </c>
      <c r="T25" s="25">
        <v>134.0</v>
      </c>
      <c r="U25" s="25">
        <v>1.0</v>
      </c>
      <c r="X25" s="7" t="s">
        <v>307</v>
      </c>
      <c r="Y25" s="25">
        <v>11.0</v>
      </c>
      <c r="Z25" s="25" t="s">
        <v>239</v>
      </c>
      <c r="AA25" s="25">
        <v>132.0</v>
      </c>
      <c r="AB25" s="25">
        <v>0.0</v>
      </c>
    </row>
    <row r="26">
      <c r="A26" s="4"/>
      <c r="C26" s="7" t="s">
        <v>308</v>
      </c>
      <c r="D26" s="25">
        <v>11.0</v>
      </c>
      <c r="E26" s="7" t="s">
        <v>241</v>
      </c>
      <c r="F26" s="25">
        <v>142.0</v>
      </c>
      <c r="G26" s="25">
        <v>13.0</v>
      </c>
      <c r="J26" s="7" t="s">
        <v>309</v>
      </c>
      <c r="K26" s="25">
        <v>11.0</v>
      </c>
      <c r="L26" s="7" t="s">
        <v>241</v>
      </c>
      <c r="M26" s="25">
        <v>139.0</v>
      </c>
      <c r="N26" s="25">
        <v>13.0</v>
      </c>
      <c r="Q26" s="7" t="s">
        <v>310</v>
      </c>
      <c r="R26" s="25">
        <v>11.0</v>
      </c>
      <c r="S26" s="7" t="s">
        <v>241</v>
      </c>
      <c r="T26" s="25">
        <v>147.0</v>
      </c>
      <c r="U26" s="25">
        <v>13.0</v>
      </c>
      <c r="X26" s="7" t="s">
        <v>308</v>
      </c>
      <c r="Y26" s="25">
        <v>11.0</v>
      </c>
      <c r="Z26" s="7" t="s">
        <v>241</v>
      </c>
      <c r="AA26" s="25">
        <v>142.0</v>
      </c>
      <c r="AB26" s="25">
        <v>10.0</v>
      </c>
    </row>
    <row r="27">
      <c r="A27" s="4"/>
      <c r="C27" s="7" t="s">
        <v>311</v>
      </c>
      <c r="D27" s="25">
        <v>12.0</v>
      </c>
      <c r="E27" s="25" t="s">
        <v>239</v>
      </c>
      <c r="F27" s="25">
        <v>142.0</v>
      </c>
      <c r="G27" s="25">
        <v>0.0</v>
      </c>
      <c r="J27" s="7" t="s">
        <v>312</v>
      </c>
      <c r="K27" s="25">
        <v>12.0</v>
      </c>
      <c r="L27" s="25" t="s">
        <v>239</v>
      </c>
      <c r="M27" s="25">
        <v>139.0</v>
      </c>
      <c r="N27" s="25">
        <v>0.0</v>
      </c>
      <c r="Q27" s="7" t="s">
        <v>313</v>
      </c>
      <c r="R27" s="25">
        <v>12.0</v>
      </c>
      <c r="S27" s="25" t="s">
        <v>239</v>
      </c>
      <c r="T27" s="25">
        <v>148.0</v>
      </c>
      <c r="U27" s="25">
        <v>1.0</v>
      </c>
      <c r="X27" s="7" t="s">
        <v>314</v>
      </c>
      <c r="Y27" s="25">
        <v>12.0</v>
      </c>
      <c r="Z27" s="25" t="s">
        <v>239</v>
      </c>
      <c r="AA27" s="25">
        <v>143.0</v>
      </c>
      <c r="AB27" s="25">
        <v>1.0</v>
      </c>
    </row>
    <row r="28">
      <c r="A28" s="4"/>
      <c r="C28" s="7" t="s">
        <v>315</v>
      </c>
      <c r="D28" s="25">
        <v>12.0</v>
      </c>
      <c r="E28" s="7" t="s">
        <v>241</v>
      </c>
      <c r="F28" s="25">
        <v>154.0</v>
      </c>
      <c r="G28" s="25">
        <v>12.0</v>
      </c>
      <c r="J28" s="7" t="s">
        <v>316</v>
      </c>
      <c r="K28" s="25">
        <v>12.0</v>
      </c>
      <c r="L28" s="7" t="s">
        <v>241</v>
      </c>
      <c r="M28" s="25">
        <v>151.0</v>
      </c>
      <c r="N28" s="25">
        <v>12.0</v>
      </c>
      <c r="Q28" s="7" t="s">
        <v>317</v>
      </c>
      <c r="R28" s="25">
        <v>12.0</v>
      </c>
      <c r="S28" s="7" t="s">
        <v>241</v>
      </c>
      <c r="T28" s="25">
        <v>160.0</v>
      </c>
      <c r="U28" s="25">
        <v>12.0</v>
      </c>
      <c r="X28" s="7" t="s">
        <v>315</v>
      </c>
      <c r="Y28" s="25">
        <v>12.0</v>
      </c>
      <c r="Z28" s="7" t="s">
        <v>241</v>
      </c>
      <c r="AA28" s="25">
        <v>154.0</v>
      </c>
      <c r="AB28" s="25">
        <v>11.0</v>
      </c>
    </row>
    <row r="29">
      <c r="A29" s="4"/>
      <c r="C29" s="7" t="s">
        <v>318</v>
      </c>
      <c r="D29" s="25">
        <v>13.0</v>
      </c>
      <c r="E29" s="25" t="s">
        <v>239</v>
      </c>
      <c r="F29" s="25">
        <v>154.0</v>
      </c>
      <c r="G29" s="25">
        <v>0.0</v>
      </c>
      <c r="J29" s="7" t="s">
        <v>319</v>
      </c>
      <c r="K29" s="25">
        <v>13.0</v>
      </c>
      <c r="L29" s="25" t="s">
        <v>239</v>
      </c>
      <c r="M29" s="25">
        <v>151.0</v>
      </c>
      <c r="N29" s="25">
        <v>0.0</v>
      </c>
      <c r="Q29" s="7" t="s">
        <v>320</v>
      </c>
      <c r="R29" s="25">
        <v>13.0</v>
      </c>
      <c r="S29" s="25" t="s">
        <v>239</v>
      </c>
      <c r="T29" s="25">
        <v>160.0</v>
      </c>
      <c r="U29" s="25">
        <v>0.0</v>
      </c>
      <c r="X29" s="7" t="s">
        <v>318</v>
      </c>
      <c r="Y29" s="25">
        <v>13.0</v>
      </c>
      <c r="Z29" s="25" t="s">
        <v>239</v>
      </c>
      <c r="AA29" s="25">
        <v>154.0</v>
      </c>
      <c r="AB29" s="25">
        <v>0.0</v>
      </c>
    </row>
    <row r="30">
      <c r="A30" s="4"/>
      <c r="C30" s="7" t="s">
        <v>321</v>
      </c>
      <c r="D30" s="25">
        <v>13.0</v>
      </c>
      <c r="E30" s="7" t="s">
        <v>241</v>
      </c>
      <c r="F30" s="25">
        <v>166.0</v>
      </c>
      <c r="G30" s="25">
        <v>12.0</v>
      </c>
      <c r="J30" s="7" t="s">
        <v>322</v>
      </c>
      <c r="K30" s="25">
        <v>13.0</v>
      </c>
      <c r="L30" s="7" t="s">
        <v>241</v>
      </c>
      <c r="M30" s="25">
        <v>164.0</v>
      </c>
      <c r="N30" s="25">
        <v>13.0</v>
      </c>
      <c r="Q30" s="7" t="s">
        <v>323</v>
      </c>
      <c r="R30" s="25">
        <v>13.0</v>
      </c>
      <c r="S30" s="7" t="s">
        <v>241</v>
      </c>
      <c r="T30" s="25">
        <v>171.0</v>
      </c>
      <c r="U30" s="25">
        <v>11.0</v>
      </c>
      <c r="X30" s="7" t="s">
        <v>324</v>
      </c>
      <c r="Y30" s="25">
        <v>13.0</v>
      </c>
      <c r="Z30" s="7" t="s">
        <v>241</v>
      </c>
      <c r="AA30" s="25">
        <v>165.0</v>
      </c>
      <c r="AB30" s="25">
        <v>11.0</v>
      </c>
    </row>
    <row r="31">
      <c r="A31" s="4"/>
      <c r="C31" s="7" t="s">
        <v>325</v>
      </c>
      <c r="D31" s="25">
        <v>14.0</v>
      </c>
      <c r="E31" s="25" t="s">
        <v>239</v>
      </c>
      <c r="F31" s="25">
        <v>166.0</v>
      </c>
      <c r="G31" s="25">
        <v>0.0</v>
      </c>
      <c r="J31" s="7" t="s">
        <v>326</v>
      </c>
      <c r="K31" s="25">
        <v>14.0</v>
      </c>
      <c r="L31" s="25" t="s">
        <v>239</v>
      </c>
      <c r="M31" s="25">
        <v>164.0</v>
      </c>
      <c r="N31" s="25">
        <v>0.0</v>
      </c>
      <c r="Q31" s="7" t="s">
        <v>327</v>
      </c>
      <c r="R31" s="25">
        <v>14.0</v>
      </c>
      <c r="S31" s="25" t="s">
        <v>239</v>
      </c>
      <c r="T31" s="25">
        <v>171.0</v>
      </c>
      <c r="U31" s="25">
        <v>0.0</v>
      </c>
      <c r="X31" s="7" t="s">
        <v>328</v>
      </c>
      <c r="Y31" s="25">
        <v>14.0</v>
      </c>
      <c r="Z31" s="25" t="s">
        <v>239</v>
      </c>
      <c r="AA31" s="25">
        <v>165.0</v>
      </c>
      <c r="AB31" s="25">
        <v>0.0</v>
      </c>
    </row>
    <row r="32">
      <c r="A32" s="4"/>
      <c r="C32" s="7" t="s">
        <v>329</v>
      </c>
      <c r="D32" s="25">
        <v>14.0</v>
      </c>
      <c r="E32" s="7" t="s">
        <v>241</v>
      </c>
      <c r="F32" s="25">
        <v>179.0</v>
      </c>
      <c r="G32" s="25">
        <v>13.0</v>
      </c>
      <c r="J32" s="7" t="s">
        <v>330</v>
      </c>
      <c r="K32" s="25">
        <v>14.0</v>
      </c>
      <c r="L32" s="7" t="s">
        <v>241</v>
      </c>
      <c r="M32" s="25">
        <v>175.0</v>
      </c>
      <c r="N32" s="25">
        <v>11.0</v>
      </c>
      <c r="Q32" s="7" t="s">
        <v>331</v>
      </c>
      <c r="R32" s="25">
        <v>14.0</v>
      </c>
      <c r="S32" s="7" t="s">
        <v>241</v>
      </c>
      <c r="T32" s="25">
        <v>184.0</v>
      </c>
      <c r="U32" s="25">
        <v>13.0</v>
      </c>
      <c r="X32" s="7" t="s">
        <v>332</v>
      </c>
      <c r="Y32" s="25">
        <v>14.0</v>
      </c>
      <c r="Z32" s="7" t="s">
        <v>241</v>
      </c>
      <c r="AA32" s="25">
        <v>178.0</v>
      </c>
      <c r="AB32" s="25">
        <v>13.0</v>
      </c>
    </row>
    <row r="33">
      <c r="A33" s="4"/>
      <c r="C33" s="7" t="s">
        <v>333</v>
      </c>
      <c r="D33" s="25">
        <v>15.0</v>
      </c>
      <c r="E33" s="25" t="s">
        <v>239</v>
      </c>
      <c r="F33" s="25">
        <v>179.0</v>
      </c>
      <c r="G33" s="25">
        <v>0.0</v>
      </c>
      <c r="J33" s="7" t="s">
        <v>334</v>
      </c>
      <c r="K33" s="25">
        <v>15.0</v>
      </c>
      <c r="L33" s="25" t="s">
        <v>239</v>
      </c>
      <c r="M33" s="25">
        <v>175.0</v>
      </c>
      <c r="N33" s="25">
        <v>0.0</v>
      </c>
      <c r="Q33" s="7" t="s">
        <v>335</v>
      </c>
      <c r="R33" s="25">
        <v>15.0</v>
      </c>
      <c r="S33" s="25" t="s">
        <v>239</v>
      </c>
      <c r="T33" s="25">
        <v>184.0</v>
      </c>
      <c r="U33" s="25">
        <v>0.0</v>
      </c>
      <c r="X33" s="7" t="s">
        <v>336</v>
      </c>
      <c r="Y33" s="25">
        <v>15.0</v>
      </c>
      <c r="Z33" s="25" t="s">
        <v>239</v>
      </c>
      <c r="AA33" s="25">
        <v>178.0</v>
      </c>
      <c r="AB33" s="25">
        <v>0.0</v>
      </c>
    </row>
    <row r="34">
      <c r="A34" s="4"/>
      <c r="C34" s="7" t="s">
        <v>337</v>
      </c>
      <c r="D34" s="25">
        <v>15.0</v>
      </c>
      <c r="E34" s="7" t="s">
        <v>241</v>
      </c>
      <c r="F34" s="25">
        <v>189.0</v>
      </c>
      <c r="G34" s="25">
        <v>10.0</v>
      </c>
      <c r="J34" s="7" t="s">
        <v>338</v>
      </c>
      <c r="K34" s="25">
        <v>15.0</v>
      </c>
      <c r="L34" s="7" t="s">
        <v>241</v>
      </c>
      <c r="M34" s="25">
        <v>186.0</v>
      </c>
      <c r="N34" s="25">
        <v>11.0</v>
      </c>
      <c r="Q34" s="7" t="s">
        <v>339</v>
      </c>
      <c r="R34" s="25">
        <v>15.0</v>
      </c>
      <c r="S34" s="7" t="s">
        <v>241</v>
      </c>
      <c r="T34" s="25">
        <v>196.0</v>
      </c>
      <c r="U34" s="25">
        <v>12.0</v>
      </c>
      <c r="X34" s="7" t="s">
        <v>340</v>
      </c>
      <c r="Y34" s="25">
        <v>15.0</v>
      </c>
      <c r="Z34" s="7" t="s">
        <v>241</v>
      </c>
      <c r="AA34" s="25">
        <v>190.0</v>
      </c>
      <c r="AB34" s="25">
        <v>12.0</v>
      </c>
    </row>
    <row r="35">
      <c r="A35" s="4"/>
      <c r="C35" s="7" t="s">
        <v>341</v>
      </c>
      <c r="D35" s="25">
        <v>16.0</v>
      </c>
      <c r="E35" s="25" t="s">
        <v>239</v>
      </c>
      <c r="F35" s="25">
        <v>189.0</v>
      </c>
      <c r="G35" s="25">
        <v>0.0</v>
      </c>
      <c r="J35" s="7" t="s">
        <v>342</v>
      </c>
      <c r="K35" s="25">
        <v>16.0</v>
      </c>
      <c r="L35" s="25" t="s">
        <v>239</v>
      </c>
      <c r="M35" s="25">
        <v>187.0</v>
      </c>
      <c r="N35" s="25">
        <v>1.0</v>
      </c>
      <c r="Q35" s="7" t="s">
        <v>343</v>
      </c>
      <c r="R35" s="25">
        <v>16.0</v>
      </c>
      <c r="S35" s="25" t="s">
        <v>239</v>
      </c>
      <c r="T35" s="25">
        <v>197.0</v>
      </c>
      <c r="U35" s="25">
        <v>1.0</v>
      </c>
      <c r="X35" s="7" t="s">
        <v>344</v>
      </c>
      <c r="Y35" s="25">
        <v>16.0</v>
      </c>
      <c r="Z35" s="25" t="s">
        <v>239</v>
      </c>
      <c r="AA35" s="25">
        <v>190.0</v>
      </c>
      <c r="AB35" s="25">
        <v>0.0</v>
      </c>
    </row>
    <row r="36">
      <c r="A36" s="4"/>
      <c r="C36" s="7" t="s">
        <v>345</v>
      </c>
      <c r="D36" s="25">
        <v>16.0</v>
      </c>
      <c r="E36" s="7" t="s">
        <v>241</v>
      </c>
      <c r="F36" s="25">
        <v>201.0</v>
      </c>
      <c r="G36" s="25">
        <v>12.0</v>
      </c>
      <c r="J36" s="7" t="s">
        <v>346</v>
      </c>
      <c r="K36" s="25">
        <v>16.0</v>
      </c>
      <c r="L36" s="7" t="s">
        <v>241</v>
      </c>
      <c r="M36" s="25">
        <v>198.0</v>
      </c>
      <c r="N36" s="25">
        <v>11.0</v>
      </c>
      <c r="Q36" s="7" t="s">
        <v>347</v>
      </c>
      <c r="R36" s="25">
        <v>16.0</v>
      </c>
      <c r="S36" s="7" t="s">
        <v>241</v>
      </c>
      <c r="T36" s="25">
        <v>209.0</v>
      </c>
      <c r="U36" s="25">
        <v>12.0</v>
      </c>
      <c r="X36" s="7" t="s">
        <v>348</v>
      </c>
      <c r="Y36" s="25">
        <v>16.0</v>
      </c>
      <c r="Z36" s="7" t="s">
        <v>241</v>
      </c>
      <c r="AA36" s="25">
        <v>203.0</v>
      </c>
      <c r="AB36" s="25">
        <v>13.0</v>
      </c>
    </row>
    <row r="37">
      <c r="A37" s="4"/>
      <c r="C37" s="7" t="s">
        <v>349</v>
      </c>
      <c r="D37" s="25">
        <v>17.0</v>
      </c>
      <c r="E37" s="25" t="s">
        <v>239</v>
      </c>
      <c r="F37" s="25">
        <v>201.0</v>
      </c>
      <c r="G37" s="25">
        <v>0.0</v>
      </c>
      <c r="J37" s="7" t="s">
        <v>350</v>
      </c>
      <c r="K37" s="25">
        <v>17.0</v>
      </c>
      <c r="L37" s="25" t="s">
        <v>239</v>
      </c>
      <c r="M37" s="25">
        <v>198.0</v>
      </c>
      <c r="N37" s="25">
        <v>0.0</v>
      </c>
      <c r="Q37" s="7" t="s">
        <v>351</v>
      </c>
      <c r="R37" s="25">
        <v>17.0</v>
      </c>
      <c r="S37" s="25" t="s">
        <v>239</v>
      </c>
      <c r="T37" s="25">
        <v>209.0</v>
      </c>
      <c r="U37" s="25">
        <v>0.0</v>
      </c>
      <c r="X37" s="7" t="s">
        <v>352</v>
      </c>
      <c r="Y37" s="25">
        <v>17.0</v>
      </c>
      <c r="Z37" s="25" t="s">
        <v>239</v>
      </c>
      <c r="AA37" s="25">
        <v>203.0</v>
      </c>
      <c r="AB37" s="25">
        <v>0.0</v>
      </c>
    </row>
    <row r="38">
      <c r="A38" s="4"/>
      <c r="C38" s="7" t="s">
        <v>353</v>
      </c>
      <c r="D38" s="25">
        <v>17.0</v>
      </c>
      <c r="E38" s="7" t="s">
        <v>241</v>
      </c>
      <c r="F38" s="25">
        <v>214.0</v>
      </c>
      <c r="G38" s="25">
        <v>13.0</v>
      </c>
      <c r="J38" s="7" t="s">
        <v>354</v>
      </c>
      <c r="K38" s="25">
        <v>17.0</v>
      </c>
      <c r="L38" s="7" t="s">
        <v>241</v>
      </c>
      <c r="M38" s="25">
        <v>211.0</v>
      </c>
      <c r="N38" s="25">
        <v>13.0</v>
      </c>
      <c r="Q38" s="7" t="s">
        <v>355</v>
      </c>
      <c r="R38" s="25">
        <v>17.0</v>
      </c>
      <c r="S38" s="7" t="s">
        <v>241</v>
      </c>
      <c r="T38" s="25">
        <v>222.0</v>
      </c>
      <c r="U38" s="25">
        <v>13.0</v>
      </c>
      <c r="X38" s="7" t="s">
        <v>356</v>
      </c>
      <c r="Y38" s="25">
        <v>17.0</v>
      </c>
      <c r="Z38" s="7" t="s">
        <v>241</v>
      </c>
      <c r="AA38" s="25">
        <v>215.0</v>
      </c>
      <c r="AB38" s="25">
        <v>12.0</v>
      </c>
    </row>
    <row r="39">
      <c r="A39" s="4"/>
      <c r="C39" s="7" t="s">
        <v>357</v>
      </c>
      <c r="D39" s="25">
        <v>18.0</v>
      </c>
      <c r="E39" s="25" t="s">
        <v>239</v>
      </c>
      <c r="F39" s="25">
        <v>214.0</v>
      </c>
      <c r="G39" s="25">
        <v>0.0</v>
      </c>
      <c r="J39" s="7" t="s">
        <v>358</v>
      </c>
      <c r="K39" s="25">
        <v>18.0</v>
      </c>
      <c r="L39" s="25" t="s">
        <v>239</v>
      </c>
      <c r="M39" s="25">
        <v>211.0</v>
      </c>
      <c r="N39" s="25">
        <v>0.0</v>
      </c>
      <c r="Q39" s="7" t="s">
        <v>359</v>
      </c>
      <c r="R39" s="25">
        <v>18.0</v>
      </c>
      <c r="S39" s="25" t="s">
        <v>239</v>
      </c>
      <c r="T39" s="25">
        <v>222.0</v>
      </c>
      <c r="U39" s="25">
        <v>0.0</v>
      </c>
      <c r="X39" s="7" t="s">
        <v>360</v>
      </c>
      <c r="Y39" s="25">
        <v>18.0</v>
      </c>
      <c r="Z39" s="25" t="s">
        <v>239</v>
      </c>
      <c r="AA39" s="25">
        <v>215.0</v>
      </c>
      <c r="AB39" s="25">
        <v>0.0</v>
      </c>
    </row>
    <row r="40">
      <c r="A40" s="4"/>
      <c r="C40" s="7" t="s">
        <v>361</v>
      </c>
      <c r="D40" s="25">
        <v>18.0</v>
      </c>
      <c r="E40" s="7" t="s">
        <v>241</v>
      </c>
      <c r="F40" s="25">
        <v>226.0</v>
      </c>
      <c r="G40" s="25">
        <v>12.0</v>
      </c>
      <c r="J40" s="7" t="s">
        <v>362</v>
      </c>
      <c r="K40" s="25">
        <v>18.0</v>
      </c>
      <c r="L40" s="7" t="s">
        <v>241</v>
      </c>
      <c r="M40" s="25">
        <v>223.0</v>
      </c>
      <c r="N40" s="25">
        <v>12.0</v>
      </c>
      <c r="Q40" s="7" t="s">
        <v>363</v>
      </c>
      <c r="R40" s="25">
        <v>18.0</v>
      </c>
      <c r="S40" s="7" t="s">
        <v>241</v>
      </c>
      <c r="T40" s="25">
        <v>235.0</v>
      </c>
      <c r="U40" s="25">
        <v>13.0</v>
      </c>
      <c r="X40" s="7" t="s">
        <v>364</v>
      </c>
      <c r="Y40" s="25">
        <v>18.0</v>
      </c>
      <c r="Z40" s="7" t="s">
        <v>241</v>
      </c>
      <c r="AA40" s="25">
        <v>228.0</v>
      </c>
      <c r="AB40" s="25">
        <v>13.0</v>
      </c>
    </row>
    <row r="41">
      <c r="A41" s="4"/>
      <c r="C41" s="7" t="s">
        <v>365</v>
      </c>
      <c r="D41" s="25">
        <v>19.0</v>
      </c>
      <c r="E41" s="25" t="s">
        <v>239</v>
      </c>
      <c r="F41" s="25">
        <v>226.0</v>
      </c>
      <c r="G41" s="25">
        <v>0.0</v>
      </c>
      <c r="J41" s="7" t="s">
        <v>366</v>
      </c>
      <c r="K41" s="25">
        <v>19.0</v>
      </c>
      <c r="L41" s="25" t="s">
        <v>239</v>
      </c>
      <c r="M41" s="25">
        <v>223.0</v>
      </c>
      <c r="N41" s="25">
        <v>0.0</v>
      </c>
      <c r="Q41" s="7" t="s">
        <v>367</v>
      </c>
      <c r="R41" s="25">
        <v>19.0</v>
      </c>
      <c r="S41" s="25" t="s">
        <v>239</v>
      </c>
      <c r="T41" s="25">
        <v>235.0</v>
      </c>
      <c r="U41" s="25">
        <v>0.0</v>
      </c>
      <c r="X41" s="7" t="s">
        <v>368</v>
      </c>
      <c r="Y41" s="25">
        <v>19.0</v>
      </c>
      <c r="Z41" s="25" t="s">
        <v>239</v>
      </c>
      <c r="AA41" s="25">
        <v>228.0</v>
      </c>
    </row>
    <row r="42">
      <c r="A42" s="4"/>
      <c r="C42" s="7" t="s">
        <v>369</v>
      </c>
      <c r="D42" s="25">
        <v>19.0</v>
      </c>
      <c r="E42" s="7" t="s">
        <v>241</v>
      </c>
      <c r="F42" s="25">
        <v>238.0</v>
      </c>
      <c r="G42" s="25">
        <v>12.0</v>
      </c>
      <c r="J42" s="7" t="s">
        <v>370</v>
      </c>
      <c r="K42" s="25">
        <v>19.0</v>
      </c>
      <c r="L42" s="25" t="s">
        <v>371</v>
      </c>
      <c r="M42" s="25">
        <v>235.0</v>
      </c>
      <c r="Q42" s="7" t="s">
        <v>372</v>
      </c>
      <c r="R42" s="25">
        <v>19.0</v>
      </c>
      <c r="S42" s="7" t="s">
        <v>241</v>
      </c>
      <c r="T42" s="25">
        <v>248.0</v>
      </c>
      <c r="U42" s="25">
        <v>13.0</v>
      </c>
      <c r="X42" s="7" t="s">
        <v>373</v>
      </c>
      <c r="Y42" s="25">
        <v>19.0</v>
      </c>
      <c r="Z42" s="25" t="s">
        <v>371</v>
      </c>
      <c r="AA42" s="25">
        <v>241.0</v>
      </c>
    </row>
    <row r="43">
      <c r="A43" s="4"/>
      <c r="C43" s="7" t="s">
        <v>374</v>
      </c>
      <c r="D43" s="25">
        <v>20.0</v>
      </c>
      <c r="E43" s="25" t="s">
        <v>239</v>
      </c>
      <c r="F43" s="25">
        <v>238.0</v>
      </c>
      <c r="G43" s="25">
        <v>0.0</v>
      </c>
      <c r="J43" s="7" t="s">
        <v>375</v>
      </c>
      <c r="K43" s="25">
        <v>19.0</v>
      </c>
      <c r="L43" s="25" t="s">
        <v>241</v>
      </c>
      <c r="M43" s="25">
        <v>248.0</v>
      </c>
      <c r="N43" s="25">
        <v>25.0</v>
      </c>
      <c r="Q43" s="7" t="s">
        <v>376</v>
      </c>
      <c r="R43" s="25">
        <v>20.0</v>
      </c>
      <c r="S43" s="25" t="s">
        <v>239</v>
      </c>
      <c r="T43" s="25">
        <v>248.0</v>
      </c>
      <c r="U43" s="25">
        <v>0.0</v>
      </c>
      <c r="X43" s="7" t="s">
        <v>377</v>
      </c>
      <c r="Y43" s="25">
        <v>19.0</v>
      </c>
      <c r="Z43" s="25" t="s">
        <v>241</v>
      </c>
      <c r="AA43" s="25">
        <v>253.0</v>
      </c>
      <c r="AB43" s="25">
        <v>25.0</v>
      </c>
    </row>
    <row r="44">
      <c r="A44" s="4"/>
      <c r="C44" s="7" t="s">
        <v>378</v>
      </c>
      <c r="D44" s="25">
        <v>20.0</v>
      </c>
      <c r="E44" s="7" t="s">
        <v>241</v>
      </c>
      <c r="F44" s="25">
        <v>251.0</v>
      </c>
      <c r="G44" s="25">
        <v>13.0</v>
      </c>
      <c r="J44" s="7" t="s">
        <v>379</v>
      </c>
      <c r="K44" s="25">
        <v>20.0</v>
      </c>
      <c r="L44" s="25" t="s">
        <v>239</v>
      </c>
      <c r="M44" s="25">
        <v>235.0</v>
      </c>
      <c r="N44" s="25">
        <v>0.0</v>
      </c>
      <c r="Q44" s="7" t="s">
        <v>380</v>
      </c>
      <c r="R44" s="25">
        <v>20.0</v>
      </c>
      <c r="S44" s="7" t="s">
        <v>241</v>
      </c>
      <c r="T44" s="25">
        <v>259.0</v>
      </c>
      <c r="U44" s="25">
        <v>11.0</v>
      </c>
      <c r="X44" s="7" t="s">
        <v>381</v>
      </c>
      <c r="Y44" s="25">
        <v>20.0</v>
      </c>
      <c r="Z44" s="25" t="s">
        <v>239</v>
      </c>
      <c r="AA44" s="25">
        <v>241.0</v>
      </c>
      <c r="AB44" s="25">
        <v>0.0</v>
      </c>
    </row>
    <row r="45">
      <c r="A45" s="4"/>
      <c r="C45" s="7" t="s">
        <v>382</v>
      </c>
      <c r="D45" s="25">
        <v>21.0</v>
      </c>
      <c r="E45" s="25" t="s">
        <v>239</v>
      </c>
      <c r="F45" s="25">
        <v>251.0</v>
      </c>
      <c r="G45" s="25">
        <v>0.0</v>
      </c>
      <c r="J45" s="7" t="s">
        <v>383</v>
      </c>
      <c r="K45" s="25">
        <v>20.0</v>
      </c>
      <c r="L45" s="25" t="s">
        <v>371</v>
      </c>
      <c r="M45" s="25">
        <v>248.0</v>
      </c>
      <c r="N45" s="25">
        <v>0.0</v>
      </c>
      <c r="Q45" s="7" t="s">
        <v>384</v>
      </c>
      <c r="R45" s="25">
        <v>21.0</v>
      </c>
      <c r="S45" s="25" t="s">
        <v>239</v>
      </c>
      <c r="T45" s="25">
        <v>259.0</v>
      </c>
      <c r="U45" s="25">
        <v>0.0</v>
      </c>
      <c r="X45" s="7" t="s">
        <v>385</v>
      </c>
      <c r="Y45" s="25">
        <v>20.0</v>
      </c>
      <c r="Z45" s="25" t="s">
        <v>371</v>
      </c>
      <c r="AA45" s="25">
        <v>253.0</v>
      </c>
      <c r="AB45" s="25">
        <v>0.0</v>
      </c>
    </row>
    <row r="46">
      <c r="A46" s="4"/>
      <c r="C46" s="7" t="s">
        <v>386</v>
      </c>
      <c r="D46" s="25">
        <v>21.0</v>
      </c>
      <c r="E46" s="7" t="s">
        <v>241</v>
      </c>
      <c r="F46" s="25">
        <v>263.0</v>
      </c>
      <c r="G46" s="25">
        <v>12.0</v>
      </c>
      <c r="J46" s="7" t="s">
        <v>387</v>
      </c>
      <c r="K46" s="25">
        <v>20.0</v>
      </c>
      <c r="L46" s="25" t="s">
        <v>241</v>
      </c>
      <c r="M46" s="25">
        <v>260.0</v>
      </c>
      <c r="N46" s="25">
        <v>25.0</v>
      </c>
      <c r="Q46" s="7" t="s">
        <v>388</v>
      </c>
      <c r="R46" s="25">
        <v>21.0</v>
      </c>
      <c r="S46" s="7" t="s">
        <v>241</v>
      </c>
      <c r="T46" s="25">
        <v>272.0</v>
      </c>
      <c r="U46" s="25">
        <v>13.0</v>
      </c>
      <c r="X46" s="7" t="s">
        <v>389</v>
      </c>
      <c r="Y46" s="25">
        <v>20.0</v>
      </c>
      <c r="Z46" s="25" t="s">
        <v>241</v>
      </c>
      <c r="AA46" s="25">
        <v>265.0</v>
      </c>
      <c r="AB46" s="25">
        <v>24.0</v>
      </c>
    </row>
    <row r="47">
      <c r="A47" s="4"/>
      <c r="C47" s="7" t="s">
        <v>390</v>
      </c>
      <c r="D47" s="25">
        <v>22.0</v>
      </c>
      <c r="E47" s="25" t="s">
        <v>239</v>
      </c>
      <c r="F47" s="25">
        <v>263.0</v>
      </c>
      <c r="G47" s="25">
        <v>0.0</v>
      </c>
      <c r="J47" s="7" t="s">
        <v>391</v>
      </c>
      <c r="K47" s="25">
        <v>21.0</v>
      </c>
      <c r="L47" s="25" t="s">
        <v>239</v>
      </c>
      <c r="M47" s="25">
        <v>248.0</v>
      </c>
      <c r="N47" s="25">
        <v>0.0</v>
      </c>
      <c r="Q47" s="7" t="s">
        <v>392</v>
      </c>
      <c r="R47" s="25">
        <v>22.0</v>
      </c>
      <c r="S47" s="25" t="s">
        <v>239</v>
      </c>
      <c r="T47" s="25">
        <v>273.0</v>
      </c>
      <c r="U47" s="25">
        <v>1.0</v>
      </c>
      <c r="X47" s="7" t="s">
        <v>393</v>
      </c>
      <c r="Y47" s="25">
        <v>21.0</v>
      </c>
      <c r="Z47" s="25" t="s">
        <v>239</v>
      </c>
      <c r="AA47" s="25">
        <v>253.0</v>
      </c>
      <c r="AB47" s="25">
        <v>0.0</v>
      </c>
    </row>
    <row r="48">
      <c r="A48" s="4"/>
      <c r="C48" s="7" t="s">
        <v>394</v>
      </c>
      <c r="D48" s="25">
        <v>22.0</v>
      </c>
      <c r="E48" s="7" t="s">
        <v>241</v>
      </c>
      <c r="F48" s="25">
        <v>276.0</v>
      </c>
      <c r="G48" s="25">
        <v>13.0</v>
      </c>
      <c r="J48" s="7" t="s">
        <v>395</v>
      </c>
      <c r="K48" s="25">
        <v>21.0</v>
      </c>
      <c r="L48" s="25" t="s">
        <v>371</v>
      </c>
      <c r="M48" s="25">
        <v>260.0</v>
      </c>
      <c r="N48" s="25">
        <v>0.0</v>
      </c>
      <c r="Q48" s="7" t="s">
        <v>396</v>
      </c>
      <c r="R48" s="25">
        <v>22.0</v>
      </c>
      <c r="S48" s="7" t="s">
        <v>241</v>
      </c>
      <c r="T48" s="25">
        <v>284.0</v>
      </c>
      <c r="U48" s="25">
        <v>11.0</v>
      </c>
      <c r="X48" s="7" t="s">
        <v>397</v>
      </c>
      <c r="Y48" s="25">
        <v>21.0</v>
      </c>
      <c r="Z48" s="25" t="s">
        <v>371</v>
      </c>
      <c r="AA48" s="25">
        <v>265.0</v>
      </c>
      <c r="AB48" s="25">
        <v>0.0</v>
      </c>
    </row>
    <row r="49">
      <c r="A49" s="4"/>
      <c r="C49" s="7" t="s">
        <v>398</v>
      </c>
      <c r="D49" s="25">
        <v>23.0</v>
      </c>
      <c r="E49" s="25" t="s">
        <v>239</v>
      </c>
      <c r="F49" s="25">
        <v>276.0</v>
      </c>
      <c r="G49" s="25">
        <v>0.0</v>
      </c>
      <c r="J49" s="7" t="s">
        <v>399</v>
      </c>
      <c r="K49" s="25">
        <v>21.0</v>
      </c>
      <c r="L49" s="25" t="s">
        <v>241</v>
      </c>
      <c r="M49" s="25">
        <v>273.0</v>
      </c>
      <c r="N49" s="25">
        <v>25.0</v>
      </c>
      <c r="Q49" s="7" t="s">
        <v>400</v>
      </c>
      <c r="R49" s="25">
        <v>23.0</v>
      </c>
      <c r="S49" s="25" t="s">
        <v>239</v>
      </c>
      <c r="T49" s="25">
        <v>284.0</v>
      </c>
      <c r="X49" s="7" t="s">
        <v>401</v>
      </c>
      <c r="Y49" s="25">
        <v>21.0</v>
      </c>
      <c r="Z49" s="25" t="s">
        <v>241</v>
      </c>
      <c r="AA49" s="25">
        <v>278.0</v>
      </c>
      <c r="AB49" s="25">
        <v>25.0</v>
      </c>
    </row>
    <row r="50">
      <c r="A50" s="4"/>
      <c r="C50" s="7" t="s">
        <v>402</v>
      </c>
      <c r="D50" s="25">
        <v>23.0</v>
      </c>
      <c r="E50" s="25" t="s">
        <v>371</v>
      </c>
      <c r="F50" s="25">
        <v>288.0</v>
      </c>
      <c r="G50" s="25">
        <f>F50-F49</f>
        <v>12</v>
      </c>
      <c r="J50" s="7" t="s">
        <v>403</v>
      </c>
      <c r="K50" s="25">
        <v>22.0</v>
      </c>
      <c r="L50" s="25" t="s">
        <v>239</v>
      </c>
      <c r="M50" s="25">
        <v>260.0</v>
      </c>
      <c r="N50" s="25">
        <v>0.0</v>
      </c>
      <c r="Q50" s="7" t="s">
        <v>404</v>
      </c>
      <c r="R50" s="25">
        <v>23.0</v>
      </c>
      <c r="S50" s="25" t="s">
        <v>371</v>
      </c>
      <c r="T50" s="25">
        <v>298.0</v>
      </c>
      <c r="X50" s="7" t="s">
        <v>405</v>
      </c>
      <c r="Y50" s="25">
        <v>22.0</v>
      </c>
      <c r="Z50" s="25" t="s">
        <v>239</v>
      </c>
      <c r="AA50" s="25">
        <v>265.0</v>
      </c>
      <c r="AB50" s="25">
        <v>0.0</v>
      </c>
    </row>
    <row r="51">
      <c r="A51" s="4"/>
      <c r="C51" s="7" t="s">
        <v>406</v>
      </c>
      <c r="D51" s="25">
        <v>23.0</v>
      </c>
      <c r="E51" s="25" t="s">
        <v>241</v>
      </c>
      <c r="F51" s="25">
        <v>299.0</v>
      </c>
      <c r="G51" s="25">
        <v>23.0</v>
      </c>
      <c r="J51" s="7" t="s">
        <v>407</v>
      </c>
      <c r="K51" s="25">
        <v>22.0</v>
      </c>
      <c r="L51" s="25" t="s">
        <v>371</v>
      </c>
      <c r="M51" s="25">
        <v>273.0</v>
      </c>
      <c r="N51" s="25">
        <v>0.0</v>
      </c>
      <c r="Q51" s="7" t="s">
        <v>408</v>
      </c>
      <c r="R51" s="25">
        <v>23.0</v>
      </c>
      <c r="S51" s="25" t="s">
        <v>241</v>
      </c>
      <c r="T51" s="25">
        <v>308.0</v>
      </c>
      <c r="U51" s="25">
        <v>24.0</v>
      </c>
      <c r="X51" s="7" t="s">
        <v>409</v>
      </c>
      <c r="Y51" s="25">
        <v>22.0</v>
      </c>
      <c r="Z51" s="25" t="s">
        <v>371</v>
      </c>
      <c r="AA51" s="25">
        <v>278.0</v>
      </c>
      <c r="AB51" s="25">
        <v>0.0</v>
      </c>
    </row>
    <row r="52">
      <c r="A52" s="4"/>
      <c r="C52" s="7" t="s">
        <v>410</v>
      </c>
      <c r="D52" s="25">
        <v>24.0</v>
      </c>
      <c r="E52" s="25" t="s">
        <v>239</v>
      </c>
      <c r="F52" s="25">
        <v>288.0</v>
      </c>
      <c r="G52" s="25">
        <v>0.0</v>
      </c>
      <c r="J52" s="7" t="s">
        <v>411</v>
      </c>
      <c r="K52" s="25">
        <v>22.0</v>
      </c>
      <c r="L52" s="25" t="s">
        <v>241</v>
      </c>
      <c r="M52" s="25">
        <v>286.0</v>
      </c>
      <c r="N52" s="25">
        <v>26.0</v>
      </c>
      <c r="Q52" s="7" t="s">
        <v>412</v>
      </c>
      <c r="R52" s="25">
        <v>24.0</v>
      </c>
      <c r="S52" s="25" t="s">
        <v>239</v>
      </c>
      <c r="T52" s="25">
        <v>298.0</v>
      </c>
      <c r="U52" s="25">
        <v>0.0</v>
      </c>
      <c r="X52" s="7" t="s">
        <v>413</v>
      </c>
      <c r="Y52" s="25">
        <v>22.0</v>
      </c>
      <c r="Z52" s="25" t="s">
        <v>241</v>
      </c>
      <c r="AA52" s="25">
        <v>288.0</v>
      </c>
      <c r="AB52" s="25">
        <v>23.0</v>
      </c>
    </row>
    <row r="53">
      <c r="A53" s="4"/>
      <c r="C53" s="7" t="s">
        <v>414</v>
      </c>
      <c r="D53" s="25">
        <v>24.0</v>
      </c>
      <c r="E53" s="25" t="s">
        <v>371</v>
      </c>
      <c r="F53" s="25">
        <v>299.0</v>
      </c>
      <c r="G53" s="25">
        <f>F53-F52</f>
        <v>11</v>
      </c>
      <c r="J53" s="7" t="s">
        <v>415</v>
      </c>
      <c r="K53" s="25">
        <v>23.0</v>
      </c>
      <c r="L53" s="25" t="s">
        <v>239</v>
      </c>
      <c r="M53" s="25">
        <v>273.0</v>
      </c>
      <c r="N53" s="25">
        <v>0.0</v>
      </c>
      <c r="Q53" s="7" t="s">
        <v>416</v>
      </c>
      <c r="R53" s="25">
        <v>24.0</v>
      </c>
      <c r="S53" s="25" t="s">
        <v>371</v>
      </c>
      <c r="T53" s="25">
        <v>309.0</v>
      </c>
      <c r="U53" s="25">
        <v>1.0</v>
      </c>
      <c r="X53" s="7" t="s">
        <v>417</v>
      </c>
      <c r="Y53" s="25">
        <v>23.0</v>
      </c>
      <c r="Z53" s="25" t="s">
        <v>239</v>
      </c>
      <c r="AA53" s="25">
        <v>278.0</v>
      </c>
      <c r="AB53" s="25">
        <v>0.0</v>
      </c>
    </row>
    <row r="54">
      <c r="A54" s="4"/>
      <c r="C54" s="7" t="s">
        <v>418</v>
      </c>
      <c r="D54" s="25">
        <v>24.0</v>
      </c>
      <c r="E54" s="25" t="s">
        <v>241</v>
      </c>
      <c r="F54" s="25">
        <v>311.0</v>
      </c>
      <c r="G54" s="25">
        <v>23.0</v>
      </c>
      <c r="J54" s="7" t="s">
        <v>419</v>
      </c>
      <c r="K54" s="25">
        <v>23.0</v>
      </c>
      <c r="L54" s="25" t="s">
        <v>371</v>
      </c>
      <c r="M54" s="25">
        <v>286.0</v>
      </c>
      <c r="N54" s="25">
        <v>0.0</v>
      </c>
      <c r="Q54" s="7" t="s">
        <v>420</v>
      </c>
      <c r="R54" s="25">
        <v>24.0</v>
      </c>
      <c r="S54" s="25" t="s">
        <v>241</v>
      </c>
      <c r="T54" s="25">
        <v>321.0</v>
      </c>
      <c r="U54" s="25">
        <v>23.0</v>
      </c>
      <c r="X54" s="7" t="s">
        <v>421</v>
      </c>
      <c r="Y54" s="25">
        <v>23.0</v>
      </c>
      <c r="Z54" s="25" t="s">
        <v>371</v>
      </c>
      <c r="AA54" s="25">
        <v>289.0</v>
      </c>
      <c r="AB54" s="25">
        <v>1.0</v>
      </c>
    </row>
    <row r="55">
      <c r="A55" s="4"/>
      <c r="C55" s="7" t="s">
        <v>422</v>
      </c>
      <c r="D55" s="25">
        <v>25.0</v>
      </c>
      <c r="E55" s="25" t="s">
        <v>239</v>
      </c>
      <c r="F55" s="25">
        <v>299.0</v>
      </c>
      <c r="G55" s="25">
        <v>0.0</v>
      </c>
      <c r="J55" s="7" t="s">
        <v>423</v>
      </c>
      <c r="K55" s="25">
        <v>23.0</v>
      </c>
      <c r="L55" s="25" t="s">
        <v>241</v>
      </c>
      <c r="M55" s="25">
        <v>297.0</v>
      </c>
      <c r="N55" s="25">
        <v>24.0</v>
      </c>
      <c r="Q55" s="7" t="s">
        <v>424</v>
      </c>
      <c r="R55" s="25">
        <v>25.0</v>
      </c>
      <c r="S55" s="25" t="s">
        <v>239</v>
      </c>
      <c r="T55" s="25">
        <v>309.0</v>
      </c>
      <c r="U55" s="25">
        <v>0.0</v>
      </c>
      <c r="X55" s="7" t="s">
        <v>425</v>
      </c>
      <c r="Y55" s="25">
        <v>23.0</v>
      </c>
      <c r="Z55" s="25" t="s">
        <v>241</v>
      </c>
      <c r="AA55" s="25">
        <v>300.0</v>
      </c>
      <c r="AB55" s="25">
        <v>22.0</v>
      </c>
    </row>
    <row r="56">
      <c r="A56" s="4"/>
      <c r="C56" s="7" t="s">
        <v>426</v>
      </c>
      <c r="D56" s="25">
        <v>25.0</v>
      </c>
      <c r="E56" s="25" t="s">
        <v>371</v>
      </c>
      <c r="F56" s="25">
        <v>311.0</v>
      </c>
      <c r="G56" s="25">
        <f>F56-F55</f>
        <v>12</v>
      </c>
      <c r="J56" s="7" t="s">
        <v>427</v>
      </c>
      <c r="K56" s="25">
        <v>24.0</v>
      </c>
      <c r="L56" s="25" t="s">
        <v>239</v>
      </c>
      <c r="M56" s="25">
        <v>286.0</v>
      </c>
      <c r="N56" s="25">
        <v>0.0</v>
      </c>
      <c r="Q56" s="7" t="s">
        <v>428</v>
      </c>
      <c r="R56" s="25">
        <v>25.0</v>
      </c>
      <c r="S56" s="25" t="s">
        <v>371</v>
      </c>
      <c r="T56" s="25">
        <v>321.0</v>
      </c>
      <c r="U56" s="25">
        <v>0.0</v>
      </c>
      <c r="X56" s="7" t="s">
        <v>429</v>
      </c>
      <c r="Y56" s="25">
        <v>24.0</v>
      </c>
      <c r="Z56" s="25" t="s">
        <v>239</v>
      </c>
      <c r="AA56" s="25">
        <v>289.0</v>
      </c>
      <c r="AB56" s="25">
        <v>0.0</v>
      </c>
    </row>
    <row r="57">
      <c r="A57" s="4"/>
      <c r="C57" s="7" t="s">
        <v>430</v>
      </c>
      <c r="D57" s="25">
        <v>25.0</v>
      </c>
      <c r="E57" s="25" t="s">
        <v>241</v>
      </c>
      <c r="F57" s="25">
        <v>322.0</v>
      </c>
      <c r="G57" s="25">
        <v>23.0</v>
      </c>
      <c r="J57" s="7" t="s">
        <v>431</v>
      </c>
      <c r="K57" s="25">
        <v>24.0</v>
      </c>
      <c r="L57" s="25" t="s">
        <v>371</v>
      </c>
      <c r="M57" s="25">
        <v>297.0</v>
      </c>
      <c r="N57" s="25">
        <v>0.0</v>
      </c>
      <c r="Q57" s="7" t="s">
        <v>432</v>
      </c>
      <c r="R57" s="25">
        <v>25.0</v>
      </c>
      <c r="S57" s="25" t="s">
        <v>241</v>
      </c>
      <c r="T57" s="25">
        <v>334.0</v>
      </c>
      <c r="U57" s="25">
        <v>25.0</v>
      </c>
      <c r="X57" s="7" t="s">
        <v>433</v>
      </c>
      <c r="Y57" s="25">
        <v>24.0</v>
      </c>
      <c r="Z57" s="25" t="s">
        <v>371</v>
      </c>
      <c r="AA57" s="25">
        <v>300.0</v>
      </c>
      <c r="AB57" s="25">
        <v>0.0</v>
      </c>
    </row>
    <row r="58">
      <c r="A58" s="4"/>
      <c r="C58" s="7" t="s">
        <v>434</v>
      </c>
      <c r="D58" s="25">
        <v>26.0</v>
      </c>
      <c r="E58" s="25" t="s">
        <v>239</v>
      </c>
      <c r="F58" s="25">
        <v>311.0</v>
      </c>
      <c r="G58" s="25">
        <v>0.0</v>
      </c>
      <c r="J58" s="7" t="s">
        <v>435</v>
      </c>
      <c r="K58" s="25">
        <v>24.0</v>
      </c>
      <c r="L58" s="25" t="s">
        <v>241</v>
      </c>
      <c r="M58" s="25">
        <v>309.0</v>
      </c>
      <c r="N58" s="25">
        <v>23.0</v>
      </c>
      <c r="Q58" s="7" t="s">
        <v>436</v>
      </c>
      <c r="R58" s="25">
        <v>26.0</v>
      </c>
      <c r="S58" s="25" t="s">
        <v>239</v>
      </c>
      <c r="T58" s="25">
        <v>321.0</v>
      </c>
      <c r="U58" s="25">
        <v>0.0</v>
      </c>
      <c r="X58" s="7" t="s">
        <v>437</v>
      </c>
      <c r="Y58" s="25">
        <v>24.0</v>
      </c>
      <c r="Z58" s="25" t="s">
        <v>241</v>
      </c>
      <c r="AA58" s="25">
        <v>312.0</v>
      </c>
      <c r="AB58" s="25">
        <v>23.0</v>
      </c>
    </row>
    <row r="59">
      <c r="A59" s="4"/>
      <c r="C59" s="7" t="s">
        <v>438</v>
      </c>
      <c r="D59" s="25">
        <v>26.0</v>
      </c>
      <c r="E59" s="25" t="s">
        <v>371</v>
      </c>
      <c r="F59" s="25">
        <v>323.0</v>
      </c>
      <c r="G59" s="25">
        <f>F59-F58</f>
        <v>12</v>
      </c>
      <c r="J59" s="7" t="s">
        <v>439</v>
      </c>
      <c r="K59" s="25">
        <v>25.0</v>
      </c>
      <c r="L59" s="25" t="s">
        <v>239</v>
      </c>
      <c r="M59" s="25">
        <v>297.0</v>
      </c>
      <c r="N59" s="25">
        <v>0.0</v>
      </c>
      <c r="Q59" s="7" t="s">
        <v>440</v>
      </c>
      <c r="R59" s="25">
        <v>26.0</v>
      </c>
      <c r="S59" s="25" t="s">
        <v>371</v>
      </c>
      <c r="T59" s="25">
        <v>334.0</v>
      </c>
      <c r="U59" s="25">
        <v>0.0</v>
      </c>
      <c r="X59" s="7" t="s">
        <v>441</v>
      </c>
      <c r="Y59" s="25">
        <v>25.0</v>
      </c>
      <c r="Z59" s="25" t="s">
        <v>239</v>
      </c>
      <c r="AA59" s="25">
        <v>300.0</v>
      </c>
      <c r="AB59" s="25">
        <v>0.0</v>
      </c>
    </row>
    <row r="60">
      <c r="A60" s="4"/>
      <c r="C60" s="7" t="s">
        <v>442</v>
      </c>
      <c r="D60" s="25">
        <v>26.0</v>
      </c>
      <c r="E60" s="25" t="s">
        <v>241</v>
      </c>
      <c r="F60" s="25">
        <v>335.0</v>
      </c>
      <c r="G60" s="25">
        <v>24.0</v>
      </c>
      <c r="J60" s="7" t="s">
        <v>443</v>
      </c>
      <c r="K60" s="25">
        <v>25.0</v>
      </c>
      <c r="L60" s="25" t="s">
        <v>371</v>
      </c>
      <c r="M60" s="25">
        <v>310.0</v>
      </c>
      <c r="N60" s="25">
        <v>1.0</v>
      </c>
      <c r="Q60" s="7" t="s">
        <v>444</v>
      </c>
      <c r="R60" s="25">
        <v>26.0</v>
      </c>
      <c r="S60" s="25" t="s">
        <v>241</v>
      </c>
      <c r="T60" s="25">
        <v>348.0</v>
      </c>
      <c r="U60" s="25">
        <v>27.0</v>
      </c>
      <c r="X60" s="7" t="s">
        <v>445</v>
      </c>
      <c r="Y60" s="25">
        <v>25.0</v>
      </c>
      <c r="Z60" s="25" t="s">
        <v>371</v>
      </c>
      <c r="AA60" s="25">
        <v>313.0</v>
      </c>
      <c r="AB60" s="25">
        <v>1.0</v>
      </c>
    </row>
    <row r="61">
      <c r="A61" s="4"/>
      <c r="C61" s="7" t="s">
        <v>446</v>
      </c>
      <c r="D61" s="25">
        <v>27.0</v>
      </c>
      <c r="E61" s="25" t="s">
        <v>239</v>
      </c>
      <c r="F61" s="25">
        <v>323.0</v>
      </c>
      <c r="G61" s="25">
        <v>0.0</v>
      </c>
      <c r="J61" s="7" t="s">
        <v>430</v>
      </c>
      <c r="K61" s="25">
        <v>25.0</v>
      </c>
      <c r="L61" s="25" t="s">
        <v>241</v>
      </c>
      <c r="M61" s="25">
        <v>322.0</v>
      </c>
      <c r="N61" s="25">
        <v>25.0</v>
      </c>
      <c r="Q61" s="7" t="s">
        <v>447</v>
      </c>
      <c r="R61" s="25">
        <v>27.0</v>
      </c>
      <c r="S61" s="25" t="s">
        <v>239</v>
      </c>
      <c r="T61" s="25">
        <v>334.0</v>
      </c>
      <c r="U61" s="25">
        <v>0.0</v>
      </c>
      <c r="X61" s="7" t="s">
        <v>448</v>
      </c>
      <c r="Y61" s="25">
        <v>25.0</v>
      </c>
      <c r="Z61" s="25" t="s">
        <v>241</v>
      </c>
      <c r="AA61" s="25">
        <v>325.0</v>
      </c>
      <c r="AB61" s="25">
        <v>25.0</v>
      </c>
    </row>
    <row r="62">
      <c r="A62" s="4"/>
      <c r="C62" s="7" t="s">
        <v>449</v>
      </c>
      <c r="D62" s="25">
        <v>27.0</v>
      </c>
      <c r="E62" s="25" t="s">
        <v>371</v>
      </c>
      <c r="F62" s="25">
        <v>335.0</v>
      </c>
      <c r="G62" s="25">
        <f>F62-F61</f>
        <v>12</v>
      </c>
      <c r="J62" s="7" t="s">
        <v>450</v>
      </c>
      <c r="K62" s="25">
        <v>26.0</v>
      </c>
      <c r="L62" s="25" t="s">
        <v>239</v>
      </c>
      <c r="M62" s="25">
        <v>310.0</v>
      </c>
      <c r="N62" s="25">
        <v>0.0</v>
      </c>
      <c r="Q62" s="7" t="s">
        <v>451</v>
      </c>
      <c r="R62" s="25">
        <v>27.0</v>
      </c>
      <c r="S62" s="25" t="s">
        <v>371</v>
      </c>
      <c r="T62" s="25">
        <v>349.0</v>
      </c>
      <c r="U62" s="25">
        <v>1.0</v>
      </c>
      <c r="X62" s="7" t="s">
        <v>452</v>
      </c>
      <c r="Y62" s="25">
        <v>26.0</v>
      </c>
      <c r="Z62" s="25" t="s">
        <v>239</v>
      </c>
      <c r="AA62" s="25">
        <v>313.0</v>
      </c>
      <c r="AB62" s="25">
        <v>0.0</v>
      </c>
    </row>
    <row r="63">
      <c r="A63" s="4"/>
      <c r="C63" s="7" t="s">
        <v>453</v>
      </c>
      <c r="D63" s="25">
        <v>27.0</v>
      </c>
      <c r="E63" s="25" t="s">
        <v>241</v>
      </c>
      <c r="F63" s="25">
        <v>346.0</v>
      </c>
      <c r="G63" s="25">
        <v>23.0</v>
      </c>
      <c r="J63" s="7" t="s">
        <v>454</v>
      </c>
      <c r="K63" s="25">
        <v>26.0</v>
      </c>
      <c r="L63" s="25" t="s">
        <v>371</v>
      </c>
      <c r="M63" s="25">
        <v>322.0</v>
      </c>
      <c r="N63" s="25">
        <v>0.0</v>
      </c>
      <c r="Q63" s="7" t="s">
        <v>455</v>
      </c>
      <c r="R63" s="25">
        <v>27.0</v>
      </c>
      <c r="S63" s="25" t="s">
        <v>241</v>
      </c>
      <c r="T63" s="25">
        <v>361.0</v>
      </c>
      <c r="U63" s="25">
        <v>27.0</v>
      </c>
      <c r="X63" s="7" t="s">
        <v>456</v>
      </c>
      <c r="Y63" s="25">
        <v>26.0</v>
      </c>
      <c r="Z63" s="25" t="s">
        <v>371</v>
      </c>
      <c r="AA63" s="25">
        <v>326.0</v>
      </c>
      <c r="AB63" s="25">
        <v>1.0</v>
      </c>
    </row>
    <row r="64">
      <c r="A64" s="4"/>
      <c r="C64" s="7" t="s">
        <v>457</v>
      </c>
      <c r="D64" s="25">
        <v>28.0</v>
      </c>
      <c r="E64" s="25" t="s">
        <v>239</v>
      </c>
      <c r="F64" s="25">
        <v>335.0</v>
      </c>
      <c r="G64" s="25">
        <v>0.0</v>
      </c>
      <c r="J64" s="7" t="s">
        <v>442</v>
      </c>
      <c r="K64" s="25">
        <v>26.0</v>
      </c>
      <c r="L64" s="25" t="s">
        <v>241</v>
      </c>
      <c r="M64" s="25">
        <v>335.0</v>
      </c>
      <c r="N64" s="25">
        <v>25.0</v>
      </c>
      <c r="Q64" s="7" t="s">
        <v>458</v>
      </c>
      <c r="R64" s="25">
        <v>28.0</v>
      </c>
      <c r="S64" s="25" t="s">
        <v>239</v>
      </c>
      <c r="T64" s="25">
        <v>349.0</v>
      </c>
      <c r="U64" s="25">
        <v>0.0</v>
      </c>
      <c r="X64" s="7" t="s">
        <v>459</v>
      </c>
      <c r="Y64" s="25">
        <v>26.0</v>
      </c>
      <c r="Z64" s="25" t="s">
        <v>241</v>
      </c>
      <c r="AA64" s="25">
        <v>338.0</v>
      </c>
      <c r="AB64" s="25">
        <v>25.0</v>
      </c>
    </row>
    <row r="65">
      <c r="A65" s="4"/>
      <c r="C65" s="7" t="s">
        <v>460</v>
      </c>
      <c r="D65" s="25">
        <v>28.0</v>
      </c>
      <c r="E65" s="25" t="s">
        <v>371</v>
      </c>
      <c r="F65" s="25">
        <v>346.0</v>
      </c>
      <c r="G65" s="25">
        <f>F65-F64</f>
        <v>11</v>
      </c>
      <c r="J65" s="7" t="s">
        <v>461</v>
      </c>
      <c r="K65" s="25">
        <v>27.0</v>
      </c>
      <c r="L65" s="25" t="s">
        <v>239</v>
      </c>
      <c r="M65" s="25">
        <v>322.0</v>
      </c>
      <c r="N65" s="25">
        <v>0.0</v>
      </c>
      <c r="Q65" s="7" t="s">
        <v>462</v>
      </c>
      <c r="R65" s="25">
        <v>28.0</v>
      </c>
      <c r="S65" s="25" t="s">
        <v>371</v>
      </c>
      <c r="T65" s="25">
        <v>362.0</v>
      </c>
      <c r="U65" s="25">
        <v>1.0</v>
      </c>
      <c r="X65" s="7" t="s">
        <v>463</v>
      </c>
      <c r="Y65" s="25">
        <v>27.0</v>
      </c>
      <c r="Z65" s="25" t="s">
        <v>239</v>
      </c>
      <c r="AA65" s="25">
        <v>326.0</v>
      </c>
      <c r="AB65" s="25">
        <v>0.0</v>
      </c>
    </row>
    <row r="66">
      <c r="A66" s="4"/>
      <c r="C66" s="7" t="s">
        <v>464</v>
      </c>
      <c r="D66" s="25">
        <v>28.0</v>
      </c>
      <c r="E66" s="25" t="s">
        <v>241</v>
      </c>
      <c r="F66" s="25">
        <v>359.0</v>
      </c>
      <c r="G66" s="25">
        <v>24.0</v>
      </c>
      <c r="J66" s="7" t="s">
        <v>449</v>
      </c>
      <c r="K66" s="25">
        <v>27.0</v>
      </c>
      <c r="L66" s="25" t="s">
        <v>371</v>
      </c>
      <c r="M66" s="25">
        <v>335.0</v>
      </c>
      <c r="N66" s="25">
        <v>0.0</v>
      </c>
      <c r="Q66" s="7" t="s">
        <v>465</v>
      </c>
      <c r="R66" s="25">
        <v>28.0</v>
      </c>
      <c r="S66" s="25" t="s">
        <v>241</v>
      </c>
      <c r="T66" s="25">
        <v>373.0</v>
      </c>
      <c r="U66" s="25">
        <v>24.0</v>
      </c>
      <c r="X66" s="7" t="s">
        <v>466</v>
      </c>
      <c r="Y66" s="25">
        <v>27.0</v>
      </c>
      <c r="Z66" s="25" t="s">
        <v>371</v>
      </c>
      <c r="AA66" s="25">
        <v>339.0</v>
      </c>
      <c r="AB66" s="25">
        <v>1.0</v>
      </c>
    </row>
    <row r="67">
      <c r="A67" s="4"/>
      <c r="C67" s="7" t="s">
        <v>467</v>
      </c>
      <c r="D67" s="25">
        <v>29.0</v>
      </c>
      <c r="E67" s="25" t="s">
        <v>239</v>
      </c>
      <c r="F67" s="25">
        <v>346.0</v>
      </c>
      <c r="G67" s="25">
        <v>0.0</v>
      </c>
      <c r="J67" s="7" t="s">
        <v>468</v>
      </c>
      <c r="K67" s="25">
        <v>27.0</v>
      </c>
      <c r="L67" s="25" t="s">
        <v>241</v>
      </c>
      <c r="M67" s="25">
        <v>348.0</v>
      </c>
      <c r="N67" s="25">
        <v>26.0</v>
      </c>
      <c r="Q67" s="7" t="s">
        <v>469</v>
      </c>
      <c r="R67" s="25">
        <v>29.0</v>
      </c>
      <c r="S67" s="25" t="s">
        <v>239</v>
      </c>
      <c r="T67" s="25">
        <v>362.0</v>
      </c>
      <c r="U67" s="25">
        <v>0.0</v>
      </c>
      <c r="X67" s="7" t="s">
        <v>470</v>
      </c>
      <c r="Y67" s="25">
        <v>27.0</v>
      </c>
      <c r="Z67" s="25" t="s">
        <v>241</v>
      </c>
      <c r="AA67" s="25">
        <v>352.0</v>
      </c>
      <c r="AB67" s="25">
        <v>26.0</v>
      </c>
    </row>
    <row r="68">
      <c r="A68" s="4"/>
      <c r="C68" s="7" t="s">
        <v>471</v>
      </c>
      <c r="D68" s="25">
        <v>29.0</v>
      </c>
      <c r="E68" s="25" t="s">
        <v>371</v>
      </c>
      <c r="F68" s="25">
        <v>359.0</v>
      </c>
      <c r="G68" s="25">
        <f>F68-F67</f>
        <v>13</v>
      </c>
      <c r="J68" s="7" t="s">
        <v>457</v>
      </c>
      <c r="K68" s="25">
        <v>28.0</v>
      </c>
      <c r="L68" s="25" t="s">
        <v>239</v>
      </c>
      <c r="M68" s="25">
        <v>335.0</v>
      </c>
      <c r="N68" s="25">
        <v>0.0</v>
      </c>
      <c r="Q68" s="7" t="s">
        <v>472</v>
      </c>
      <c r="R68" s="25">
        <v>29.0</v>
      </c>
      <c r="S68" s="25" t="s">
        <v>371</v>
      </c>
      <c r="T68" s="25">
        <v>374.0</v>
      </c>
      <c r="U68" s="25">
        <v>1.0</v>
      </c>
      <c r="X68" s="7" t="s">
        <v>473</v>
      </c>
      <c r="Y68" s="25">
        <v>28.0</v>
      </c>
      <c r="Z68" s="25" t="s">
        <v>239</v>
      </c>
      <c r="AA68" s="25">
        <v>339.0</v>
      </c>
      <c r="AB68" s="25">
        <v>0.0</v>
      </c>
    </row>
    <row r="69">
      <c r="A69" s="4"/>
      <c r="C69" s="7" t="s">
        <v>474</v>
      </c>
      <c r="D69" s="25">
        <v>29.0</v>
      </c>
      <c r="E69" s="25" t="s">
        <v>241</v>
      </c>
      <c r="F69" s="25">
        <v>372.0</v>
      </c>
      <c r="G69" s="25">
        <v>26.0</v>
      </c>
      <c r="J69" s="7" t="s">
        <v>475</v>
      </c>
      <c r="K69" s="25">
        <v>28.0</v>
      </c>
      <c r="L69" s="25" t="s">
        <v>371</v>
      </c>
      <c r="M69" s="25">
        <v>348.0</v>
      </c>
      <c r="N69" s="25">
        <v>0.0</v>
      </c>
      <c r="Q69" s="7" t="s">
        <v>476</v>
      </c>
      <c r="R69" s="25">
        <v>29.0</v>
      </c>
      <c r="S69" s="25" t="s">
        <v>241</v>
      </c>
      <c r="T69" s="25">
        <v>387.0</v>
      </c>
      <c r="U69" s="25">
        <v>25.0</v>
      </c>
      <c r="X69" s="7" t="s">
        <v>477</v>
      </c>
      <c r="Y69" s="25">
        <v>28.0</v>
      </c>
      <c r="Z69" s="25" t="s">
        <v>371</v>
      </c>
      <c r="AA69" s="25">
        <v>355.0</v>
      </c>
      <c r="AB69" s="25">
        <v>3.0</v>
      </c>
    </row>
    <row r="70">
      <c r="A70" s="4"/>
      <c r="C70" s="7" t="s">
        <v>478</v>
      </c>
      <c r="D70" s="25">
        <v>30.0</v>
      </c>
      <c r="E70" s="25" t="s">
        <v>239</v>
      </c>
      <c r="F70" s="25">
        <v>359.0</v>
      </c>
      <c r="G70" s="25">
        <v>0.0</v>
      </c>
      <c r="J70" s="7" t="s">
        <v>479</v>
      </c>
      <c r="K70" s="25">
        <v>28.0</v>
      </c>
      <c r="L70" s="25" t="s">
        <v>241</v>
      </c>
      <c r="M70" s="25">
        <v>360.0</v>
      </c>
      <c r="N70" s="25">
        <v>25.0</v>
      </c>
      <c r="Q70" s="7" t="s">
        <v>480</v>
      </c>
      <c r="R70" s="25">
        <v>30.0</v>
      </c>
      <c r="S70" s="25" t="s">
        <v>239</v>
      </c>
      <c r="T70" s="25">
        <v>374.0</v>
      </c>
      <c r="U70" s="25">
        <v>0.0</v>
      </c>
      <c r="X70" s="7" t="s">
        <v>481</v>
      </c>
      <c r="Y70" s="25">
        <v>28.0</v>
      </c>
      <c r="Z70" s="25" t="s">
        <v>241</v>
      </c>
      <c r="AA70" s="25">
        <v>367.0</v>
      </c>
      <c r="AB70" s="25">
        <v>28.0</v>
      </c>
    </row>
    <row r="71">
      <c r="A71" s="4"/>
      <c r="C71" s="7" t="s">
        <v>482</v>
      </c>
      <c r="D71" s="25">
        <v>30.0</v>
      </c>
      <c r="E71" s="25" t="s">
        <v>371</v>
      </c>
      <c r="F71" s="25">
        <v>372.0</v>
      </c>
      <c r="G71" s="25">
        <f>F71-F70</f>
        <v>13</v>
      </c>
      <c r="J71" s="7" t="s">
        <v>483</v>
      </c>
      <c r="K71" s="25">
        <v>29.0</v>
      </c>
      <c r="L71" s="25" t="s">
        <v>239</v>
      </c>
      <c r="M71" s="25">
        <v>348.0</v>
      </c>
      <c r="N71" s="25">
        <v>0.0</v>
      </c>
      <c r="Q71" s="7" t="s">
        <v>484</v>
      </c>
      <c r="R71" s="25">
        <v>30.0</v>
      </c>
      <c r="S71" s="25" t="s">
        <v>371</v>
      </c>
      <c r="T71" s="25">
        <v>389.0</v>
      </c>
      <c r="U71" s="25">
        <v>2.0</v>
      </c>
      <c r="X71" s="7" t="s">
        <v>485</v>
      </c>
      <c r="Y71" s="25">
        <v>29.0</v>
      </c>
      <c r="Z71" s="25" t="s">
        <v>239</v>
      </c>
      <c r="AA71" s="25">
        <v>355.0</v>
      </c>
      <c r="AB71" s="25">
        <v>0.0</v>
      </c>
    </row>
    <row r="72">
      <c r="A72" s="4"/>
      <c r="C72" s="7" t="s">
        <v>486</v>
      </c>
      <c r="D72" s="25">
        <v>30.0</v>
      </c>
      <c r="E72" s="25" t="s">
        <v>241</v>
      </c>
      <c r="F72" s="25">
        <v>383.0</v>
      </c>
      <c r="G72" s="25">
        <v>24.0</v>
      </c>
      <c r="J72" s="7" t="s">
        <v>487</v>
      </c>
      <c r="K72" s="25">
        <v>29.0</v>
      </c>
      <c r="L72" s="25" t="s">
        <v>371</v>
      </c>
      <c r="M72" s="25">
        <v>360.0</v>
      </c>
      <c r="N72" s="25">
        <v>0.0</v>
      </c>
      <c r="Q72" s="7" t="s">
        <v>488</v>
      </c>
      <c r="R72" s="25">
        <v>30.0</v>
      </c>
      <c r="S72" s="25" t="s">
        <v>241</v>
      </c>
      <c r="T72" s="25">
        <v>399.0</v>
      </c>
      <c r="U72" s="25">
        <v>25.0</v>
      </c>
      <c r="X72" s="7" t="s">
        <v>489</v>
      </c>
      <c r="Y72" s="25">
        <v>29.0</v>
      </c>
      <c r="Z72" s="25" t="s">
        <v>371</v>
      </c>
      <c r="AA72" s="25">
        <v>369.0</v>
      </c>
      <c r="AB72" s="25">
        <v>2.0</v>
      </c>
    </row>
    <row r="73">
      <c r="A73" s="4"/>
      <c r="C73" s="7" t="s">
        <v>490</v>
      </c>
      <c r="D73" s="25">
        <v>31.0</v>
      </c>
      <c r="E73" s="25" t="s">
        <v>239</v>
      </c>
      <c r="F73" s="25">
        <v>372.0</v>
      </c>
      <c r="G73" s="25">
        <v>0.0</v>
      </c>
      <c r="J73" s="7" t="s">
        <v>491</v>
      </c>
      <c r="K73" s="25">
        <v>29.0</v>
      </c>
      <c r="L73" s="25" t="s">
        <v>241</v>
      </c>
      <c r="M73" s="25">
        <v>373.0</v>
      </c>
      <c r="N73" s="25">
        <v>25.0</v>
      </c>
      <c r="Q73" s="7" t="s">
        <v>492</v>
      </c>
      <c r="R73" s="25">
        <v>31.0</v>
      </c>
      <c r="S73" s="25" t="s">
        <v>239</v>
      </c>
      <c r="T73" s="25">
        <v>389.0</v>
      </c>
      <c r="U73" s="25">
        <v>0.0</v>
      </c>
      <c r="X73" s="7" t="s">
        <v>493</v>
      </c>
      <c r="Y73" s="25">
        <v>29.0</v>
      </c>
      <c r="Z73" s="25" t="s">
        <v>241</v>
      </c>
      <c r="AA73" s="25">
        <v>379.0</v>
      </c>
      <c r="AB73" s="25">
        <v>24.0</v>
      </c>
    </row>
    <row r="74">
      <c r="A74" s="4"/>
      <c r="C74" s="7" t="s">
        <v>494</v>
      </c>
      <c r="D74" s="25">
        <v>31.0</v>
      </c>
      <c r="E74" s="25" t="s">
        <v>371</v>
      </c>
      <c r="F74" s="25">
        <v>384.0</v>
      </c>
      <c r="G74" s="25">
        <f>F74-F73</f>
        <v>12</v>
      </c>
      <c r="J74" s="7" t="s">
        <v>495</v>
      </c>
      <c r="K74" s="25">
        <v>30.0</v>
      </c>
      <c r="L74" s="25" t="s">
        <v>239</v>
      </c>
      <c r="M74" s="25">
        <v>360.0</v>
      </c>
      <c r="N74" s="25">
        <v>0.0</v>
      </c>
      <c r="Q74" s="7" t="s">
        <v>496</v>
      </c>
      <c r="R74" s="25">
        <v>31.0</v>
      </c>
      <c r="S74" s="25" t="s">
        <v>371</v>
      </c>
      <c r="T74" s="25">
        <v>401.0</v>
      </c>
      <c r="U74" s="25">
        <v>2.0</v>
      </c>
      <c r="X74" s="7" t="s">
        <v>497</v>
      </c>
      <c r="Y74" s="25">
        <v>30.0</v>
      </c>
      <c r="Z74" s="25" t="s">
        <v>239</v>
      </c>
      <c r="AA74" s="25">
        <v>369.0</v>
      </c>
      <c r="AB74" s="25">
        <v>0.0</v>
      </c>
    </row>
    <row r="75">
      <c r="A75" s="4"/>
      <c r="C75" s="7" t="s">
        <v>498</v>
      </c>
      <c r="D75" s="25">
        <v>31.0</v>
      </c>
      <c r="E75" s="25" t="s">
        <v>241</v>
      </c>
      <c r="F75" s="25">
        <v>396.0</v>
      </c>
      <c r="G75" s="25">
        <v>24.0</v>
      </c>
      <c r="J75" s="7" t="s">
        <v>499</v>
      </c>
      <c r="K75" s="25">
        <v>30.0</v>
      </c>
      <c r="L75" s="25" t="s">
        <v>371</v>
      </c>
      <c r="M75" s="25">
        <v>373.0</v>
      </c>
      <c r="N75" s="25">
        <v>0.0</v>
      </c>
      <c r="Q75" s="7" t="s">
        <v>500</v>
      </c>
      <c r="R75" s="25">
        <v>31.0</v>
      </c>
      <c r="S75" s="25" t="s">
        <v>241</v>
      </c>
      <c r="T75" s="25">
        <v>413.0</v>
      </c>
      <c r="U75" s="25">
        <v>24.0</v>
      </c>
      <c r="X75" s="7" t="s">
        <v>501</v>
      </c>
      <c r="Y75" s="25">
        <v>30.0</v>
      </c>
      <c r="Z75" s="25" t="s">
        <v>371</v>
      </c>
      <c r="AA75" s="25">
        <v>381.0</v>
      </c>
      <c r="AB75" s="25">
        <v>2.0</v>
      </c>
    </row>
    <row r="76">
      <c r="A76" s="4"/>
      <c r="C76" s="7" t="s">
        <v>502</v>
      </c>
      <c r="D76" s="25">
        <v>32.0</v>
      </c>
      <c r="E76" s="25" t="s">
        <v>239</v>
      </c>
      <c r="F76" s="25">
        <v>384.0</v>
      </c>
      <c r="G76" s="25">
        <v>0.0</v>
      </c>
      <c r="J76" s="7" t="s">
        <v>503</v>
      </c>
      <c r="K76" s="25">
        <v>30.0</v>
      </c>
      <c r="L76" s="25" t="s">
        <v>241</v>
      </c>
      <c r="M76" s="25">
        <v>386.0</v>
      </c>
      <c r="N76" s="25">
        <v>26.0</v>
      </c>
      <c r="Q76" s="7" t="s">
        <v>504</v>
      </c>
      <c r="R76" s="25">
        <v>32.0</v>
      </c>
      <c r="S76" s="25" t="s">
        <v>239</v>
      </c>
      <c r="T76" s="25">
        <v>401.0</v>
      </c>
      <c r="U76" s="25">
        <v>0.0</v>
      </c>
      <c r="X76" s="7" t="s">
        <v>505</v>
      </c>
      <c r="Y76" s="25">
        <v>30.0</v>
      </c>
      <c r="Z76" s="25" t="s">
        <v>241</v>
      </c>
      <c r="AA76" s="25">
        <v>393.0</v>
      </c>
      <c r="AB76" s="25">
        <v>24.0</v>
      </c>
    </row>
    <row r="77">
      <c r="A77" s="4"/>
      <c r="C77" s="7" t="s">
        <v>506</v>
      </c>
      <c r="D77" s="25">
        <v>32.0</v>
      </c>
      <c r="E77" s="25" t="s">
        <v>371</v>
      </c>
      <c r="F77" s="25">
        <v>397.0</v>
      </c>
      <c r="G77" s="25">
        <f>F77-F76</f>
        <v>13</v>
      </c>
      <c r="J77" s="7" t="s">
        <v>507</v>
      </c>
      <c r="K77" s="25">
        <v>31.0</v>
      </c>
      <c r="L77" s="25" t="s">
        <v>239</v>
      </c>
      <c r="M77" s="25">
        <v>373.0</v>
      </c>
      <c r="N77" s="25">
        <v>0.0</v>
      </c>
      <c r="Q77" s="7" t="s">
        <v>508</v>
      </c>
      <c r="R77" s="25">
        <v>32.0</v>
      </c>
      <c r="S77" s="25" t="s">
        <v>371</v>
      </c>
      <c r="T77" s="25">
        <v>416.0</v>
      </c>
      <c r="U77" s="25">
        <v>3.0</v>
      </c>
      <c r="X77" s="7" t="s">
        <v>509</v>
      </c>
      <c r="Y77" s="25">
        <v>31.0</v>
      </c>
      <c r="Z77" s="25" t="s">
        <v>239</v>
      </c>
      <c r="AA77" s="25">
        <v>381.0</v>
      </c>
      <c r="AB77" s="25">
        <v>0.0</v>
      </c>
    </row>
    <row r="78">
      <c r="A78" s="4"/>
      <c r="C78" s="7" t="s">
        <v>510</v>
      </c>
      <c r="D78" s="25">
        <v>32.0</v>
      </c>
      <c r="E78" s="25" t="s">
        <v>241</v>
      </c>
      <c r="F78" s="25">
        <v>410.0</v>
      </c>
      <c r="G78" s="25">
        <v>26.0</v>
      </c>
      <c r="J78" s="7" t="s">
        <v>511</v>
      </c>
      <c r="K78" s="25">
        <v>31.0</v>
      </c>
      <c r="L78" s="25" t="s">
        <v>371</v>
      </c>
      <c r="M78" s="25">
        <v>387.0</v>
      </c>
      <c r="N78" s="25">
        <v>1.0</v>
      </c>
      <c r="Q78" s="7" t="s">
        <v>512</v>
      </c>
      <c r="R78" s="25">
        <v>32.0</v>
      </c>
      <c r="S78" s="25" t="s">
        <v>241</v>
      </c>
      <c r="T78" s="25">
        <v>426.0</v>
      </c>
      <c r="U78" s="25">
        <v>25.0</v>
      </c>
      <c r="X78" s="7" t="s">
        <v>513</v>
      </c>
      <c r="Y78" s="25">
        <v>31.0</v>
      </c>
      <c r="Z78" s="25" t="s">
        <v>371</v>
      </c>
      <c r="AA78" s="25">
        <v>395.0</v>
      </c>
      <c r="AB78" s="25">
        <v>2.0</v>
      </c>
    </row>
    <row r="79">
      <c r="A79" s="4"/>
      <c r="C79" s="7" t="s">
        <v>514</v>
      </c>
      <c r="D79" s="25">
        <v>33.0</v>
      </c>
      <c r="E79" s="25" t="s">
        <v>239</v>
      </c>
      <c r="F79" s="25">
        <v>397.0</v>
      </c>
      <c r="G79" s="25">
        <v>0.0</v>
      </c>
      <c r="J79" s="7" t="s">
        <v>515</v>
      </c>
      <c r="K79" s="25">
        <v>31.0</v>
      </c>
      <c r="L79" s="25" t="s">
        <v>241</v>
      </c>
      <c r="M79" s="25">
        <v>399.0</v>
      </c>
      <c r="N79" s="25">
        <v>26.0</v>
      </c>
      <c r="Q79" s="7" t="s">
        <v>516</v>
      </c>
      <c r="R79" s="25">
        <v>33.0</v>
      </c>
      <c r="S79" s="25" t="s">
        <v>239</v>
      </c>
      <c r="T79" s="25">
        <v>416.0</v>
      </c>
      <c r="U79" s="25">
        <v>0.0</v>
      </c>
      <c r="X79" s="7" t="s">
        <v>517</v>
      </c>
      <c r="Y79" s="25">
        <v>31.0</v>
      </c>
      <c r="Z79" s="25" t="s">
        <v>241</v>
      </c>
      <c r="AA79" s="25">
        <v>407.0</v>
      </c>
      <c r="AB79" s="25">
        <v>26.0</v>
      </c>
    </row>
    <row r="80">
      <c r="A80" s="4"/>
      <c r="C80" s="7" t="s">
        <v>518</v>
      </c>
      <c r="D80" s="25">
        <v>33.0</v>
      </c>
      <c r="E80" s="25" t="s">
        <v>371</v>
      </c>
      <c r="F80" s="25">
        <v>410.0</v>
      </c>
      <c r="G80" s="25">
        <f>F80-F79</f>
        <v>13</v>
      </c>
      <c r="J80" s="7" t="s">
        <v>519</v>
      </c>
      <c r="K80" s="25">
        <v>32.0</v>
      </c>
      <c r="L80" s="25" t="s">
        <v>239</v>
      </c>
      <c r="M80" s="25">
        <v>387.0</v>
      </c>
      <c r="N80" s="25">
        <v>0.0</v>
      </c>
      <c r="Q80" s="7" t="s">
        <v>520</v>
      </c>
      <c r="R80" s="25">
        <v>33.0</v>
      </c>
      <c r="S80" s="25" t="s">
        <v>371</v>
      </c>
      <c r="T80" s="25">
        <v>432.0</v>
      </c>
      <c r="U80" s="25">
        <v>6.0</v>
      </c>
      <c r="X80" s="7" t="s">
        <v>521</v>
      </c>
      <c r="Y80" s="25">
        <v>32.0</v>
      </c>
      <c r="Z80" s="25" t="s">
        <v>239</v>
      </c>
      <c r="AA80" s="25">
        <v>395.0</v>
      </c>
      <c r="AB80" s="25">
        <v>0.0</v>
      </c>
    </row>
    <row r="81">
      <c r="A81" s="4"/>
      <c r="C81" s="7" t="s">
        <v>522</v>
      </c>
      <c r="D81" s="25">
        <v>33.0</v>
      </c>
      <c r="E81" s="25" t="s">
        <v>241</v>
      </c>
      <c r="F81" s="25">
        <v>422.0</v>
      </c>
      <c r="G81" s="25">
        <v>25.0</v>
      </c>
      <c r="J81" s="7" t="s">
        <v>523</v>
      </c>
      <c r="K81" s="25">
        <v>32.0</v>
      </c>
      <c r="L81" s="25" t="s">
        <v>371</v>
      </c>
      <c r="M81" s="25">
        <v>400.0</v>
      </c>
      <c r="N81" s="25">
        <v>1.0</v>
      </c>
      <c r="Q81" s="7" t="s">
        <v>524</v>
      </c>
      <c r="R81" s="25">
        <v>33.0</v>
      </c>
      <c r="S81" s="25" t="s">
        <v>241</v>
      </c>
      <c r="T81" s="25">
        <v>443.0</v>
      </c>
      <c r="U81" s="25">
        <v>27.0</v>
      </c>
      <c r="X81" s="7" t="s">
        <v>525</v>
      </c>
      <c r="Y81" s="25">
        <v>32.0</v>
      </c>
      <c r="Z81" s="25" t="s">
        <v>371</v>
      </c>
      <c r="AA81" s="25">
        <v>410.0</v>
      </c>
      <c r="AB81" s="25">
        <v>3.0</v>
      </c>
    </row>
    <row r="82">
      <c r="A82" s="4"/>
      <c r="C82" s="7" t="s">
        <v>526</v>
      </c>
      <c r="D82" s="25">
        <v>34.0</v>
      </c>
      <c r="E82" s="25" t="s">
        <v>239</v>
      </c>
      <c r="F82" s="25">
        <v>410.0</v>
      </c>
      <c r="G82" s="25">
        <v>0.0</v>
      </c>
      <c r="J82" s="7" t="s">
        <v>527</v>
      </c>
      <c r="K82" s="25">
        <v>32.0</v>
      </c>
      <c r="L82" s="25" t="s">
        <v>241</v>
      </c>
      <c r="M82" s="25">
        <v>412.0</v>
      </c>
      <c r="N82" s="25">
        <v>25.0</v>
      </c>
      <c r="Q82" s="7" t="s">
        <v>528</v>
      </c>
      <c r="R82" s="25">
        <v>34.0</v>
      </c>
      <c r="S82" s="25" t="s">
        <v>239</v>
      </c>
      <c r="T82" s="25">
        <v>432.0</v>
      </c>
      <c r="U82" s="25">
        <v>0.0</v>
      </c>
      <c r="X82" s="7" t="s">
        <v>529</v>
      </c>
      <c r="Y82" s="25">
        <v>32.0</v>
      </c>
      <c r="Z82" s="25" t="s">
        <v>241</v>
      </c>
      <c r="AA82" s="25">
        <v>423.0</v>
      </c>
      <c r="AB82" s="25">
        <v>28.0</v>
      </c>
    </row>
    <row r="83">
      <c r="A83" s="4"/>
      <c r="C83" s="7" t="s">
        <v>530</v>
      </c>
      <c r="D83" s="25">
        <v>34.0</v>
      </c>
      <c r="E83" s="25" t="s">
        <v>371</v>
      </c>
      <c r="F83" s="25">
        <v>423.0</v>
      </c>
      <c r="G83" s="25">
        <f>F83-F82</f>
        <v>13</v>
      </c>
      <c r="J83" s="7" t="s">
        <v>531</v>
      </c>
      <c r="K83" s="25">
        <v>33.0</v>
      </c>
      <c r="L83" s="25" t="s">
        <v>239</v>
      </c>
      <c r="M83" s="25">
        <v>400.0</v>
      </c>
      <c r="N83" s="25">
        <v>0.0</v>
      </c>
      <c r="Q83" s="7" t="s">
        <v>532</v>
      </c>
      <c r="R83" s="25">
        <v>34.0</v>
      </c>
      <c r="S83" s="25" t="s">
        <v>371</v>
      </c>
      <c r="T83" s="25">
        <v>446.0</v>
      </c>
      <c r="U83" s="25">
        <v>3.0</v>
      </c>
      <c r="X83" s="7" t="s">
        <v>533</v>
      </c>
      <c r="Y83" s="25">
        <v>33.0</v>
      </c>
      <c r="Z83" s="25" t="s">
        <v>239</v>
      </c>
      <c r="AA83" s="25">
        <v>410.0</v>
      </c>
      <c r="AB83" s="25">
        <v>0.0</v>
      </c>
    </row>
    <row r="84">
      <c r="A84" s="4"/>
      <c r="C84" s="7" t="s">
        <v>534</v>
      </c>
      <c r="D84" s="25">
        <v>34.0</v>
      </c>
      <c r="E84" s="25" t="s">
        <v>241</v>
      </c>
      <c r="F84" s="25">
        <v>436.0</v>
      </c>
      <c r="G84" s="25">
        <v>26.0</v>
      </c>
      <c r="J84" s="7" t="s">
        <v>535</v>
      </c>
      <c r="K84" s="25">
        <v>33.0</v>
      </c>
      <c r="L84" s="25" t="s">
        <v>371</v>
      </c>
      <c r="M84" s="25">
        <v>413.0</v>
      </c>
      <c r="N84" s="25">
        <v>1.0</v>
      </c>
      <c r="Q84" s="7" t="s">
        <v>536</v>
      </c>
      <c r="R84" s="25">
        <v>34.0</v>
      </c>
      <c r="S84" s="25" t="s">
        <v>241</v>
      </c>
      <c r="T84" s="25">
        <v>460.0</v>
      </c>
      <c r="U84" s="25">
        <v>28.0</v>
      </c>
      <c r="X84" s="7" t="s">
        <v>537</v>
      </c>
      <c r="Y84" s="25">
        <v>33.0</v>
      </c>
      <c r="Z84" s="25" t="s">
        <v>371</v>
      </c>
      <c r="AA84" s="25">
        <v>427.0</v>
      </c>
      <c r="AB84" s="25">
        <v>4.0</v>
      </c>
    </row>
    <row r="85">
      <c r="A85" s="4"/>
      <c r="C85" s="7" t="s">
        <v>538</v>
      </c>
      <c r="D85" s="25">
        <v>35.0</v>
      </c>
      <c r="E85" s="25" t="s">
        <v>239</v>
      </c>
      <c r="F85" s="25">
        <v>423.0</v>
      </c>
      <c r="G85" s="25">
        <v>0.0</v>
      </c>
      <c r="J85" s="7" t="s">
        <v>539</v>
      </c>
      <c r="K85" s="25">
        <v>33.0</v>
      </c>
      <c r="L85" s="25" t="s">
        <v>241</v>
      </c>
      <c r="M85" s="25">
        <v>426.0</v>
      </c>
      <c r="N85" s="25">
        <v>26.0</v>
      </c>
      <c r="Q85" s="7" t="s">
        <v>540</v>
      </c>
      <c r="R85" s="25">
        <v>35.0</v>
      </c>
      <c r="S85" s="25" t="s">
        <v>239</v>
      </c>
      <c r="T85" s="25">
        <v>446.0</v>
      </c>
      <c r="U85" s="25">
        <v>0.0</v>
      </c>
      <c r="X85" s="7" t="s">
        <v>541</v>
      </c>
      <c r="Y85" s="25">
        <v>33.0</v>
      </c>
      <c r="Z85" s="25" t="s">
        <v>241</v>
      </c>
      <c r="AA85" s="25">
        <v>439.0</v>
      </c>
      <c r="AB85" s="25">
        <v>29.0</v>
      </c>
    </row>
    <row r="86">
      <c r="A86" s="4"/>
      <c r="C86" s="7" t="s">
        <v>542</v>
      </c>
      <c r="D86" s="25">
        <v>35.0</v>
      </c>
      <c r="E86" s="25" t="s">
        <v>371</v>
      </c>
      <c r="F86" s="25">
        <v>437.0</v>
      </c>
      <c r="G86" s="25">
        <f>F86-F85</f>
        <v>14</v>
      </c>
      <c r="J86" s="7" t="s">
        <v>543</v>
      </c>
      <c r="K86" s="25">
        <v>34.0</v>
      </c>
      <c r="L86" s="25" t="s">
        <v>239</v>
      </c>
      <c r="M86" s="25">
        <v>413.0</v>
      </c>
      <c r="N86" s="25">
        <v>0.0</v>
      </c>
      <c r="Q86" s="7" t="s">
        <v>544</v>
      </c>
      <c r="R86" s="25">
        <v>35.0</v>
      </c>
      <c r="S86" s="25" t="s">
        <v>371</v>
      </c>
      <c r="T86" s="25">
        <v>463.0</v>
      </c>
      <c r="U86" s="25">
        <v>3.0</v>
      </c>
      <c r="X86" s="7" t="s">
        <v>545</v>
      </c>
      <c r="Y86" s="25">
        <v>34.0</v>
      </c>
      <c r="Z86" s="25" t="s">
        <v>239</v>
      </c>
      <c r="AA86" s="25">
        <v>427.0</v>
      </c>
      <c r="AB86" s="25">
        <v>0.0</v>
      </c>
    </row>
    <row r="87">
      <c r="A87" s="4"/>
      <c r="C87" s="7" t="s">
        <v>546</v>
      </c>
      <c r="D87" s="25">
        <v>35.0</v>
      </c>
      <c r="E87" s="25" t="s">
        <v>241</v>
      </c>
      <c r="F87" s="25">
        <v>448.0</v>
      </c>
      <c r="G87" s="25">
        <v>25.0</v>
      </c>
      <c r="J87" s="7" t="s">
        <v>547</v>
      </c>
      <c r="K87" s="25">
        <v>34.0</v>
      </c>
      <c r="L87" s="25" t="s">
        <v>371</v>
      </c>
      <c r="M87" s="25">
        <v>427.0</v>
      </c>
      <c r="N87" s="25">
        <v>1.0</v>
      </c>
      <c r="Q87" s="7" t="s">
        <v>548</v>
      </c>
      <c r="R87" s="25">
        <v>35.0</v>
      </c>
      <c r="S87" s="25" t="s">
        <v>241</v>
      </c>
      <c r="T87" s="25">
        <v>476.0</v>
      </c>
      <c r="U87" s="25">
        <v>30.0</v>
      </c>
      <c r="X87" s="7" t="s">
        <v>549</v>
      </c>
      <c r="Y87" s="25">
        <v>34.0</v>
      </c>
      <c r="Z87" s="25" t="s">
        <v>371</v>
      </c>
      <c r="AA87" s="25">
        <v>445.0</v>
      </c>
      <c r="AB87" s="25">
        <v>6.0</v>
      </c>
    </row>
    <row r="88">
      <c r="A88" s="4"/>
      <c r="C88" s="7" t="s">
        <v>550</v>
      </c>
      <c r="D88" s="25">
        <v>36.0</v>
      </c>
      <c r="E88" s="25" t="s">
        <v>239</v>
      </c>
      <c r="F88" s="25">
        <v>437.0</v>
      </c>
      <c r="G88" s="25">
        <v>0.0</v>
      </c>
      <c r="J88" s="7" t="s">
        <v>551</v>
      </c>
      <c r="K88" s="25">
        <v>34.0</v>
      </c>
      <c r="L88" s="25" t="s">
        <v>241</v>
      </c>
      <c r="M88" s="25">
        <v>439.0</v>
      </c>
      <c r="N88" s="25">
        <v>26.0</v>
      </c>
      <c r="Q88" s="7" t="s">
        <v>552</v>
      </c>
      <c r="R88" s="25">
        <v>36.0</v>
      </c>
      <c r="S88" s="25" t="s">
        <v>239</v>
      </c>
      <c r="T88" s="25">
        <v>463.0</v>
      </c>
      <c r="U88" s="25">
        <v>0.0</v>
      </c>
      <c r="X88" s="7" t="s">
        <v>553</v>
      </c>
      <c r="Y88" s="25">
        <v>34.0</v>
      </c>
      <c r="Z88" s="25" t="s">
        <v>241</v>
      </c>
      <c r="AA88" s="25">
        <v>457.0</v>
      </c>
      <c r="AB88" s="25">
        <v>30.0</v>
      </c>
    </row>
    <row r="89">
      <c r="A89" s="4"/>
      <c r="C89" s="7" t="s">
        <v>554</v>
      </c>
      <c r="D89" s="25">
        <v>36.0</v>
      </c>
      <c r="E89" s="25" t="s">
        <v>371</v>
      </c>
      <c r="F89" s="25">
        <v>450.0</v>
      </c>
      <c r="G89" s="25">
        <f>F89-F88</f>
        <v>13</v>
      </c>
      <c r="J89" s="7" t="s">
        <v>555</v>
      </c>
      <c r="K89" s="25">
        <v>35.0</v>
      </c>
      <c r="L89" s="25" t="s">
        <v>239</v>
      </c>
      <c r="M89" s="25">
        <v>427.0</v>
      </c>
      <c r="N89" s="25">
        <v>0.0</v>
      </c>
      <c r="Q89" s="7" t="s">
        <v>556</v>
      </c>
      <c r="R89" s="25">
        <v>36.0</v>
      </c>
      <c r="S89" s="25" t="s">
        <v>371</v>
      </c>
      <c r="T89" s="25">
        <v>481.0</v>
      </c>
      <c r="U89" s="25">
        <v>5.0</v>
      </c>
      <c r="X89" s="7" t="s">
        <v>557</v>
      </c>
      <c r="Y89" s="25">
        <v>35.0</v>
      </c>
      <c r="Z89" s="25" t="s">
        <v>239</v>
      </c>
      <c r="AA89" s="25">
        <v>445.0</v>
      </c>
      <c r="AB89" s="25">
        <v>0.0</v>
      </c>
    </row>
    <row r="90">
      <c r="A90" s="4"/>
      <c r="C90" s="7" t="s">
        <v>558</v>
      </c>
      <c r="D90" s="25">
        <v>36.0</v>
      </c>
      <c r="E90" s="25" t="s">
        <v>241</v>
      </c>
      <c r="F90" s="25">
        <v>462.0</v>
      </c>
      <c r="G90" s="25">
        <v>25.0</v>
      </c>
      <c r="J90" s="7" t="s">
        <v>559</v>
      </c>
      <c r="K90" s="25">
        <v>35.0</v>
      </c>
      <c r="L90" s="25" t="s">
        <v>371</v>
      </c>
      <c r="M90" s="25">
        <v>441.0</v>
      </c>
      <c r="N90" s="25">
        <v>2.0</v>
      </c>
      <c r="Q90" s="7" t="s">
        <v>560</v>
      </c>
      <c r="R90" s="25">
        <v>36.0</v>
      </c>
      <c r="S90" s="25" t="s">
        <v>241</v>
      </c>
      <c r="T90" s="25">
        <v>492.0</v>
      </c>
      <c r="U90" s="25">
        <v>29.0</v>
      </c>
      <c r="X90" s="7" t="s">
        <v>544</v>
      </c>
      <c r="Y90" s="25">
        <v>35.0</v>
      </c>
      <c r="Z90" s="25" t="s">
        <v>371</v>
      </c>
      <c r="AA90" s="25">
        <v>463.0</v>
      </c>
      <c r="AB90" s="25">
        <v>6.0</v>
      </c>
    </row>
    <row r="91">
      <c r="A91" s="4"/>
      <c r="C91" s="7" t="s">
        <v>561</v>
      </c>
      <c r="D91" s="25">
        <v>37.0</v>
      </c>
      <c r="E91" s="25" t="s">
        <v>239</v>
      </c>
      <c r="F91" s="25">
        <v>450.0</v>
      </c>
      <c r="G91" s="25">
        <v>0.0</v>
      </c>
      <c r="J91" s="7" t="s">
        <v>562</v>
      </c>
      <c r="K91" s="25">
        <v>35.0</v>
      </c>
      <c r="L91" s="25" t="s">
        <v>241</v>
      </c>
      <c r="M91" s="25">
        <v>453.0</v>
      </c>
      <c r="N91" s="25">
        <v>26.0</v>
      </c>
      <c r="Q91" s="7" t="s">
        <v>563</v>
      </c>
      <c r="R91" s="25">
        <v>37.0</v>
      </c>
      <c r="S91" s="25" t="s">
        <v>239</v>
      </c>
      <c r="T91" s="25">
        <v>481.0</v>
      </c>
      <c r="U91" s="25">
        <v>0.0</v>
      </c>
      <c r="X91" s="7" t="s">
        <v>564</v>
      </c>
      <c r="Y91" s="25">
        <v>35.0</v>
      </c>
      <c r="Z91" s="25" t="s">
        <v>241</v>
      </c>
      <c r="AA91" s="25">
        <v>475.0</v>
      </c>
      <c r="AB91" s="25">
        <v>30.0</v>
      </c>
    </row>
    <row r="92">
      <c r="A92" s="4"/>
      <c r="C92" s="7" t="s">
        <v>565</v>
      </c>
      <c r="D92" s="25">
        <v>37.0</v>
      </c>
      <c r="E92" s="25" t="s">
        <v>371</v>
      </c>
      <c r="F92" s="25">
        <v>464.0</v>
      </c>
      <c r="G92" s="25">
        <f>F92-F91</f>
        <v>14</v>
      </c>
      <c r="J92" s="7" t="s">
        <v>566</v>
      </c>
      <c r="K92" s="25">
        <v>36.0</v>
      </c>
      <c r="L92" s="25" t="s">
        <v>239</v>
      </c>
      <c r="M92" s="25">
        <v>441.0</v>
      </c>
      <c r="N92" s="25">
        <v>0.0</v>
      </c>
      <c r="Q92" s="7" t="s">
        <v>567</v>
      </c>
      <c r="R92" s="25">
        <v>37.0</v>
      </c>
      <c r="S92" s="25" t="s">
        <v>371</v>
      </c>
      <c r="T92" s="25">
        <v>497.0</v>
      </c>
      <c r="U92" s="25">
        <v>5.0</v>
      </c>
      <c r="X92" s="7" t="s">
        <v>552</v>
      </c>
      <c r="Y92" s="25">
        <v>36.0</v>
      </c>
      <c r="Z92" s="25" t="s">
        <v>239</v>
      </c>
      <c r="AA92" s="25">
        <v>463.0</v>
      </c>
      <c r="AB92" s="25">
        <v>0.0</v>
      </c>
    </row>
    <row r="93">
      <c r="A93" s="4"/>
      <c r="C93" s="7" t="s">
        <v>568</v>
      </c>
      <c r="D93" s="25">
        <v>37.0</v>
      </c>
      <c r="E93" s="25" t="s">
        <v>241</v>
      </c>
      <c r="F93" s="25">
        <v>476.0</v>
      </c>
      <c r="G93" s="25">
        <v>26.0</v>
      </c>
      <c r="J93" s="7" t="s">
        <v>569</v>
      </c>
      <c r="K93" s="25">
        <v>36.0</v>
      </c>
      <c r="L93" s="25" t="s">
        <v>371</v>
      </c>
      <c r="M93" s="25">
        <v>455.0</v>
      </c>
      <c r="N93" s="25">
        <v>2.0</v>
      </c>
      <c r="Q93" s="7" t="s">
        <v>570</v>
      </c>
      <c r="R93" s="25">
        <v>37.0</v>
      </c>
      <c r="S93" s="25" t="s">
        <v>241</v>
      </c>
      <c r="T93" s="25">
        <v>510.0</v>
      </c>
      <c r="U93" s="25">
        <v>29.0</v>
      </c>
      <c r="X93" s="7" t="s">
        <v>571</v>
      </c>
      <c r="Y93" s="25">
        <v>36.0</v>
      </c>
      <c r="Z93" s="25" t="s">
        <v>371</v>
      </c>
      <c r="AA93" s="25">
        <v>479.0</v>
      </c>
      <c r="AB93" s="25">
        <v>4.0</v>
      </c>
    </row>
    <row r="94">
      <c r="A94" s="4"/>
      <c r="C94" s="7" t="s">
        <v>572</v>
      </c>
      <c r="D94" s="25">
        <v>38.0</v>
      </c>
      <c r="E94" s="25" t="s">
        <v>239</v>
      </c>
      <c r="F94" s="25">
        <v>464.0</v>
      </c>
      <c r="G94" s="25">
        <v>0.0</v>
      </c>
      <c r="J94" s="7" t="s">
        <v>573</v>
      </c>
      <c r="K94" s="25">
        <v>36.0</v>
      </c>
      <c r="L94" s="25" t="s">
        <v>241</v>
      </c>
      <c r="M94" s="25">
        <v>467.0</v>
      </c>
      <c r="N94" s="25">
        <v>26.0</v>
      </c>
      <c r="Q94" s="7" t="s">
        <v>574</v>
      </c>
      <c r="R94" s="25">
        <v>38.0</v>
      </c>
      <c r="S94" s="25" t="s">
        <v>239</v>
      </c>
      <c r="T94" s="25">
        <v>497.0</v>
      </c>
      <c r="U94" s="25">
        <v>0.0</v>
      </c>
      <c r="X94" s="7" t="s">
        <v>560</v>
      </c>
      <c r="Y94" s="25">
        <v>36.0</v>
      </c>
      <c r="Z94" s="25" t="s">
        <v>241</v>
      </c>
      <c r="AA94" s="25">
        <v>492.0</v>
      </c>
      <c r="AB94" s="25">
        <v>29.0</v>
      </c>
    </row>
    <row r="95">
      <c r="A95" s="4"/>
      <c r="C95" s="7" t="s">
        <v>575</v>
      </c>
      <c r="D95" s="25">
        <v>38.0</v>
      </c>
      <c r="E95" s="25" t="s">
        <v>371</v>
      </c>
      <c r="F95" s="25">
        <v>478.0</v>
      </c>
      <c r="G95" s="25">
        <f>F95-F94</f>
        <v>14</v>
      </c>
      <c r="J95" s="7" t="s">
        <v>576</v>
      </c>
      <c r="K95" s="25">
        <v>37.0</v>
      </c>
      <c r="L95" s="25" t="s">
        <v>239</v>
      </c>
      <c r="M95" s="25">
        <v>455.0</v>
      </c>
      <c r="N95" s="25">
        <v>0.0</v>
      </c>
      <c r="Q95" s="7" t="s">
        <v>577</v>
      </c>
      <c r="R95" s="25">
        <v>38.0</v>
      </c>
      <c r="S95" s="25" t="s">
        <v>371</v>
      </c>
      <c r="T95" s="25">
        <v>519.0</v>
      </c>
      <c r="U95" s="25">
        <v>9.0</v>
      </c>
      <c r="X95" s="7" t="s">
        <v>578</v>
      </c>
      <c r="Y95" s="25">
        <v>37.0</v>
      </c>
      <c r="Z95" s="25" t="s">
        <v>239</v>
      </c>
      <c r="AA95" s="25">
        <v>479.0</v>
      </c>
      <c r="AB95" s="25">
        <v>0.0</v>
      </c>
    </row>
    <row r="96">
      <c r="A96" s="4"/>
      <c r="C96" s="7" t="s">
        <v>579</v>
      </c>
      <c r="D96" s="25">
        <v>38.0</v>
      </c>
      <c r="E96" s="25" t="s">
        <v>241</v>
      </c>
      <c r="F96" s="25">
        <v>490.0</v>
      </c>
      <c r="G96" s="25">
        <v>26.0</v>
      </c>
      <c r="J96" s="7" t="s">
        <v>580</v>
      </c>
      <c r="K96" s="25">
        <v>37.0</v>
      </c>
      <c r="L96" s="25" t="s">
        <v>371</v>
      </c>
      <c r="M96" s="25">
        <v>469.0</v>
      </c>
      <c r="N96" s="25">
        <v>2.0</v>
      </c>
      <c r="Q96" s="7" t="s">
        <v>581</v>
      </c>
      <c r="R96" s="25">
        <v>38.0</v>
      </c>
      <c r="S96" s="25" t="s">
        <v>241</v>
      </c>
      <c r="T96" s="25">
        <v>531.0</v>
      </c>
      <c r="U96" s="25">
        <v>34.0</v>
      </c>
      <c r="X96" s="7" t="s">
        <v>582</v>
      </c>
      <c r="Y96" s="25">
        <v>37.0</v>
      </c>
      <c r="Z96" s="25" t="s">
        <v>371</v>
      </c>
      <c r="AA96" s="25">
        <v>495.0</v>
      </c>
      <c r="AB96" s="25">
        <v>3.0</v>
      </c>
    </row>
    <row r="97">
      <c r="A97" s="4"/>
      <c r="C97" s="7" t="s">
        <v>583</v>
      </c>
      <c r="D97" s="25">
        <v>39.0</v>
      </c>
      <c r="E97" s="25" t="s">
        <v>239</v>
      </c>
      <c r="F97" s="25">
        <v>478.0</v>
      </c>
      <c r="G97" s="25">
        <v>0.0</v>
      </c>
      <c r="J97" s="7" t="s">
        <v>584</v>
      </c>
      <c r="K97" s="25">
        <v>37.0</v>
      </c>
      <c r="L97" s="25" t="s">
        <v>241</v>
      </c>
      <c r="M97" s="25">
        <v>482.0</v>
      </c>
      <c r="N97" s="25">
        <v>27.0</v>
      </c>
      <c r="Q97" s="7" t="s">
        <v>585</v>
      </c>
      <c r="R97" s="25">
        <v>39.0</v>
      </c>
      <c r="S97" s="25" t="s">
        <v>239</v>
      </c>
      <c r="T97" s="25">
        <v>519.0</v>
      </c>
      <c r="U97" s="25">
        <v>0.0</v>
      </c>
      <c r="X97" s="7" t="s">
        <v>586</v>
      </c>
      <c r="Y97" s="25">
        <v>37.0</v>
      </c>
      <c r="Z97" s="25" t="s">
        <v>241</v>
      </c>
      <c r="AA97" s="25">
        <v>508.0</v>
      </c>
      <c r="AB97" s="25">
        <v>29.0</v>
      </c>
    </row>
    <row r="98">
      <c r="A98" s="4"/>
      <c r="C98" s="7" t="s">
        <v>587</v>
      </c>
      <c r="D98" s="25">
        <v>39.0</v>
      </c>
      <c r="E98" s="25" t="s">
        <v>371</v>
      </c>
      <c r="F98" s="25">
        <v>492.0</v>
      </c>
      <c r="G98" s="25">
        <f>F98-F97</f>
        <v>14</v>
      </c>
      <c r="J98" s="7" t="s">
        <v>588</v>
      </c>
      <c r="K98" s="25">
        <v>38.0</v>
      </c>
      <c r="L98" s="25" t="s">
        <v>239</v>
      </c>
      <c r="M98" s="25">
        <v>469.0</v>
      </c>
      <c r="N98" s="25">
        <v>0.0</v>
      </c>
      <c r="Q98" s="7" t="s">
        <v>589</v>
      </c>
      <c r="R98" s="25">
        <v>39.0</v>
      </c>
      <c r="S98" s="25" t="s">
        <v>371</v>
      </c>
      <c r="T98" s="25">
        <v>537.0</v>
      </c>
      <c r="U98" s="25">
        <v>6.0</v>
      </c>
      <c r="X98" s="7" t="s">
        <v>590</v>
      </c>
      <c r="Y98" s="25">
        <v>38.0</v>
      </c>
      <c r="Z98" s="25" t="s">
        <v>239</v>
      </c>
      <c r="AA98" s="25">
        <v>495.0</v>
      </c>
      <c r="AB98" s="25">
        <v>0.0</v>
      </c>
    </row>
    <row r="99">
      <c r="A99" s="4"/>
      <c r="C99" s="7" t="s">
        <v>591</v>
      </c>
      <c r="D99" s="25">
        <v>39.0</v>
      </c>
      <c r="E99" s="25" t="s">
        <v>241</v>
      </c>
      <c r="F99" s="25">
        <v>504.0</v>
      </c>
      <c r="G99" s="25">
        <v>26.0</v>
      </c>
      <c r="J99" s="7" t="s">
        <v>592</v>
      </c>
      <c r="K99" s="25">
        <v>38.0</v>
      </c>
      <c r="L99" s="25" t="s">
        <v>371</v>
      </c>
      <c r="M99" s="25">
        <v>483.0</v>
      </c>
      <c r="N99" s="25">
        <v>1.0</v>
      </c>
      <c r="Q99" s="7" t="s">
        <v>593</v>
      </c>
      <c r="R99" s="25">
        <v>39.0</v>
      </c>
      <c r="S99" s="25" t="s">
        <v>241</v>
      </c>
      <c r="T99" s="25">
        <v>549.0</v>
      </c>
      <c r="U99" s="25">
        <v>30.0</v>
      </c>
      <c r="X99" s="7" t="s">
        <v>594</v>
      </c>
      <c r="Y99" s="25">
        <v>38.0</v>
      </c>
      <c r="Z99" s="25" t="s">
        <v>371</v>
      </c>
      <c r="AA99" s="25">
        <v>513.0</v>
      </c>
      <c r="AB99" s="25">
        <v>5.0</v>
      </c>
    </row>
    <row r="100">
      <c r="A100" s="4"/>
      <c r="C100" s="7" t="s">
        <v>595</v>
      </c>
      <c r="D100" s="25">
        <v>40.0</v>
      </c>
      <c r="E100" s="25" t="s">
        <v>239</v>
      </c>
      <c r="F100" s="25">
        <v>492.0</v>
      </c>
      <c r="G100" s="25">
        <v>0.0</v>
      </c>
      <c r="J100" s="7" t="s">
        <v>596</v>
      </c>
      <c r="K100" s="25">
        <v>38.0</v>
      </c>
      <c r="L100" s="25" t="s">
        <v>241</v>
      </c>
      <c r="M100" s="25">
        <v>496.0</v>
      </c>
      <c r="N100" s="25">
        <v>27.0</v>
      </c>
      <c r="Q100" s="7" t="s">
        <v>597</v>
      </c>
      <c r="R100" s="25">
        <v>40.0</v>
      </c>
      <c r="S100" s="25" t="s">
        <v>239</v>
      </c>
      <c r="T100" s="25">
        <v>537.0</v>
      </c>
      <c r="U100" s="25">
        <v>0.0</v>
      </c>
      <c r="X100" s="7" t="s">
        <v>598</v>
      </c>
      <c r="Y100" s="25">
        <v>38.0</v>
      </c>
      <c r="Z100" s="25" t="s">
        <v>241</v>
      </c>
      <c r="AA100" s="25">
        <v>526.0</v>
      </c>
      <c r="AB100" s="25">
        <v>31.0</v>
      </c>
    </row>
    <row r="101">
      <c r="A101" s="4"/>
      <c r="C101" s="7" t="s">
        <v>599</v>
      </c>
      <c r="D101" s="25">
        <v>40.0</v>
      </c>
      <c r="E101" s="25" t="s">
        <v>371</v>
      </c>
      <c r="F101" s="25">
        <v>507.0</v>
      </c>
      <c r="G101" s="25">
        <f>F101-F100</f>
        <v>15</v>
      </c>
      <c r="J101" s="7" t="s">
        <v>600</v>
      </c>
      <c r="K101" s="25">
        <v>39.0</v>
      </c>
      <c r="L101" s="25" t="s">
        <v>239</v>
      </c>
      <c r="M101" s="25">
        <v>483.0</v>
      </c>
      <c r="N101" s="25">
        <v>0.0</v>
      </c>
      <c r="Q101" s="7" t="s">
        <v>601</v>
      </c>
      <c r="R101" s="25">
        <v>40.0</v>
      </c>
      <c r="S101" s="25" t="s">
        <v>371</v>
      </c>
      <c r="T101" s="25">
        <v>555.0</v>
      </c>
      <c r="U101" s="25">
        <v>6.0</v>
      </c>
      <c r="X101" s="7" t="s">
        <v>602</v>
      </c>
      <c r="Y101" s="25">
        <v>39.0</v>
      </c>
      <c r="Z101" s="25" t="s">
        <v>239</v>
      </c>
      <c r="AA101" s="25">
        <v>513.0</v>
      </c>
      <c r="AB101" s="25">
        <v>0.0</v>
      </c>
    </row>
    <row r="102">
      <c r="A102" s="4"/>
      <c r="C102" s="7" t="s">
        <v>603</v>
      </c>
      <c r="D102" s="25">
        <v>40.0</v>
      </c>
      <c r="E102" s="25" t="s">
        <v>241</v>
      </c>
      <c r="F102" s="25">
        <v>519.0</v>
      </c>
      <c r="G102" s="25">
        <v>27.0</v>
      </c>
      <c r="J102" s="7" t="s">
        <v>604</v>
      </c>
      <c r="K102" s="25">
        <v>39.0</v>
      </c>
      <c r="L102" s="25" t="s">
        <v>371</v>
      </c>
      <c r="M102" s="25">
        <v>498.0</v>
      </c>
      <c r="N102" s="25">
        <v>2.0</v>
      </c>
      <c r="Q102" s="7" t="s">
        <v>605</v>
      </c>
      <c r="R102" s="25">
        <v>40.0</v>
      </c>
      <c r="S102" s="25" t="s">
        <v>241</v>
      </c>
      <c r="T102" s="25">
        <v>568.0</v>
      </c>
      <c r="U102" s="25">
        <v>31.0</v>
      </c>
      <c r="X102" s="7" t="s">
        <v>606</v>
      </c>
      <c r="Y102" s="25">
        <v>39.0</v>
      </c>
      <c r="Z102" s="25" t="s">
        <v>371</v>
      </c>
      <c r="AA102" s="25">
        <v>533.0</v>
      </c>
      <c r="AB102" s="25">
        <v>7.0</v>
      </c>
    </row>
    <row r="103">
      <c r="A103" s="4"/>
      <c r="C103" s="7" t="s">
        <v>607</v>
      </c>
      <c r="D103" s="25">
        <v>41.0</v>
      </c>
      <c r="E103" s="25" t="s">
        <v>239</v>
      </c>
      <c r="F103" s="25">
        <v>507.0</v>
      </c>
      <c r="G103" s="25">
        <v>0.0</v>
      </c>
      <c r="J103" s="7" t="s">
        <v>608</v>
      </c>
      <c r="K103" s="25">
        <v>39.0</v>
      </c>
      <c r="L103" s="25" t="s">
        <v>241</v>
      </c>
      <c r="M103" s="25">
        <v>511.0</v>
      </c>
      <c r="N103" s="25">
        <v>28.0</v>
      </c>
      <c r="Q103" s="7" t="s">
        <v>609</v>
      </c>
      <c r="R103" s="25">
        <v>41.0</v>
      </c>
      <c r="S103" s="25" t="s">
        <v>239</v>
      </c>
      <c r="T103" s="25">
        <v>555.0</v>
      </c>
      <c r="U103" s="25">
        <v>0.0</v>
      </c>
      <c r="X103" s="7" t="s">
        <v>610</v>
      </c>
      <c r="Y103" s="25">
        <v>39.0</v>
      </c>
      <c r="Z103" s="25" t="s">
        <v>241</v>
      </c>
      <c r="AA103" s="25">
        <v>548.0</v>
      </c>
      <c r="AB103" s="25">
        <v>35.0</v>
      </c>
    </row>
    <row r="104">
      <c r="A104" s="4"/>
      <c r="C104" s="7" t="s">
        <v>611</v>
      </c>
      <c r="D104" s="25">
        <v>41.0</v>
      </c>
      <c r="E104" s="25" t="s">
        <v>371</v>
      </c>
      <c r="F104" s="25">
        <v>522.0</v>
      </c>
      <c r="G104" s="25">
        <f>F104-F103</f>
        <v>15</v>
      </c>
      <c r="J104" s="7" t="s">
        <v>612</v>
      </c>
      <c r="K104" s="25">
        <v>40.0</v>
      </c>
      <c r="L104" s="25" t="s">
        <v>239</v>
      </c>
      <c r="M104" s="25">
        <v>498.0</v>
      </c>
      <c r="N104" s="25">
        <v>0.0</v>
      </c>
      <c r="Q104" s="7" t="s">
        <v>613</v>
      </c>
      <c r="R104" s="25">
        <v>41.0</v>
      </c>
      <c r="S104" s="25" t="s">
        <v>371</v>
      </c>
      <c r="T104" s="25">
        <v>573.0</v>
      </c>
      <c r="U104" s="25">
        <v>5.0</v>
      </c>
      <c r="X104" s="7" t="s">
        <v>614</v>
      </c>
      <c r="Y104" s="25">
        <v>40.0</v>
      </c>
      <c r="Z104" s="25" t="s">
        <v>239</v>
      </c>
      <c r="AA104" s="25">
        <v>533.0</v>
      </c>
      <c r="AB104" s="25">
        <v>0.0</v>
      </c>
    </row>
    <row r="105">
      <c r="A105" s="4"/>
      <c r="C105" s="7" t="s">
        <v>615</v>
      </c>
      <c r="D105" s="25">
        <v>41.0</v>
      </c>
      <c r="E105" s="25" t="s">
        <v>241</v>
      </c>
      <c r="F105" s="25">
        <v>534.0</v>
      </c>
      <c r="G105" s="25">
        <v>27.0</v>
      </c>
      <c r="J105" s="7" t="s">
        <v>616</v>
      </c>
      <c r="K105" s="25">
        <v>40.0</v>
      </c>
      <c r="L105" s="25" t="s">
        <v>371</v>
      </c>
      <c r="M105" s="25">
        <v>514.0</v>
      </c>
      <c r="N105" s="25">
        <v>3.0</v>
      </c>
      <c r="Q105" s="7" t="s">
        <v>617</v>
      </c>
      <c r="R105" s="25">
        <v>41.0</v>
      </c>
      <c r="S105" s="25" t="s">
        <v>241</v>
      </c>
      <c r="T105" s="25">
        <v>586.0</v>
      </c>
      <c r="U105" s="25">
        <v>31.0</v>
      </c>
      <c r="X105" s="7" t="s">
        <v>618</v>
      </c>
      <c r="Y105" s="25">
        <v>40.0</v>
      </c>
      <c r="Z105" s="25" t="s">
        <v>371</v>
      </c>
      <c r="AA105" s="25">
        <v>551.0</v>
      </c>
      <c r="AB105" s="25">
        <v>3.0</v>
      </c>
    </row>
    <row r="106">
      <c r="A106" s="4"/>
      <c r="C106" s="7" t="s">
        <v>619</v>
      </c>
      <c r="D106" s="25">
        <v>42.0</v>
      </c>
      <c r="E106" s="25" t="s">
        <v>239</v>
      </c>
      <c r="F106" s="25">
        <v>522.0</v>
      </c>
      <c r="G106" s="25">
        <v>0.0</v>
      </c>
      <c r="J106" s="7" t="s">
        <v>620</v>
      </c>
      <c r="K106" s="25">
        <v>40.0</v>
      </c>
      <c r="L106" s="25" t="s">
        <v>241</v>
      </c>
      <c r="M106" s="25">
        <v>526.0</v>
      </c>
      <c r="N106" s="25">
        <v>28.0</v>
      </c>
      <c r="Q106" s="7" t="s">
        <v>621</v>
      </c>
      <c r="R106" s="25">
        <v>42.0</v>
      </c>
      <c r="S106" s="25" t="s">
        <v>239</v>
      </c>
      <c r="T106" s="25">
        <v>573.0</v>
      </c>
      <c r="U106" s="25">
        <v>0.0</v>
      </c>
      <c r="X106" s="7" t="s">
        <v>622</v>
      </c>
      <c r="Y106" s="25">
        <v>40.0</v>
      </c>
      <c r="Z106" s="25" t="s">
        <v>241</v>
      </c>
      <c r="AA106" s="25">
        <v>562.0</v>
      </c>
      <c r="AB106" s="25">
        <v>29.0</v>
      </c>
    </row>
    <row r="107">
      <c r="A107" s="4"/>
      <c r="C107" s="7" t="s">
        <v>623</v>
      </c>
      <c r="D107" s="25">
        <v>42.0</v>
      </c>
      <c r="E107" s="25" t="s">
        <v>371</v>
      </c>
      <c r="F107" s="25">
        <v>536.0</v>
      </c>
      <c r="G107" s="25">
        <f>F107-F106</f>
        <v>14</v>
      </c>
      <c r="J107" s="7" t="s">
        <v>624</v>
      </c>
      <c r="K107" s="25">
        <v>41.0</v>
      </c>
      <c r="L107" s="25" t="s">
        <v>239</v>
      </c>
      <c r="M107" s="25">
        <v>514.0</v>
      </c>
      <c r="N107" s="25">
        <v>0.0</v>
      </c>
      <c r="Q107" s="7" t="s">
        <v>625</v>
      </c>
      <c r="R107" s="25">
        <v>42.0</v>
      </c>
      <c r="S107" s="25" t="s">
        <v>371</v>
      </c>
      <c r="T107" s="25">
        <v>593.0</v>
      </c>
      <c r="U107" s="25">
        <v>7.0</v>
      </c>
      <c r="X107" s="7" t="s">
        <v>626</v>
      </c>
      <c r="Y107" s="25">
        <v>41.0</v>
      </c>
      <c r="Z107" s="25" t="s">
        <v>239</v>
      </c>
      <c r="AA107" s="25">
        <v>551.0</v>
      </c>
      <c r="AB107" s="25">
        <v>0.0</v>
      </c>
    </row>
    <row r="108">
      <c r="A108" s="4"/>
      <c r="C108" s="7" t="s">
        <v>627</v>
      </c>
      <c r="D108" s="25">
        <v>42.0</v>
      </c>
      <c r="E108" s="25" t="s">
        <v>241</v>
      </c>
      <c r="F108" s="25">
        <v>549.0</v>
      </c>
      <c r="G108" s="25">
        <v>27.0</v>
      </c>
      <c r="J108" s="7" t="s">
        <v>628</v>
      </c>
      <c r="K108" s="25">
        <v>41.0</v>
      </c>
      <c r="L108" s="25" t="s">
        <v>371</v>
      </c>
      <c r="M108" s="25">
        <v>529.0</v>
      </c>
      <c r="N108" s="25">
        <v>3.0</v>
      </c>
      <c r="Q108" s="7" t="s">
        <v>629</v>
      </c>
      <c r="R108" s="25">
        <v>42.0</v>
      </c>
      <c r="S108" s="25" t="s">
        <v>241</v>
      </c>
      <c r="T108" s="25">
        <v>605.0</v>
      </c>
      <c r="U108" s="25">
        <v>32.0</v>
      </c>
      <c r="X108" s="7" t="s">
        <v>630</v>
      </c>
      <c r="Y108" s="25">
        <v>41.0</v>
      </c>
      <c r="Z108" s="25" t="s">
        <v>371</v>
      </c>
      <c r="AA108" s="25">
        <v>569.0</v>
      </c>
      <c r="AB108" s="25">
        <v>7.0</v>
      </c>
    </row>
    <row r="109">
      <c r="A109" s="4"/>
      <c r="C109" s="7" t="s">
        <v>631</v>
      </c>
      <c r="D109" s="25">
        <v>43.0</v>
      </c>
      <c r="E109" s="25" t="s">
        <v>239</v>
      </c>
      <c r="F109" s="25">
        <v>536.0</v>
      </c>
      <c r="G109" s="25">
        <v>0.0</v>
      </c>
      <c r="J109" s="7" t="s">
        <v>632</v>
      </c>
      <c r="K109" s="25">
        <v>41.0</v>
      </c>
      <c r="L109" s="25" t="s">
        <v>241</v>
      </c>
      <c r="M109" s="25">
        <v>542.0</v>
      </c>
      <c r="N109" s="25">
        <v>28.0</v>
      </c>
      <c r="Q109" s="7" t="s">
        <v>633</v>
      </c>
      <c r="R109" s="25">
        <v>43.0</v>
      </c>
      <c r="S109" s="25" t="s">
        <v>239</v>
      </c>
      <c r="T109" s="25">
        <v>593.0</v>
      </c>
      <c r="U109" s="25">
        <v>0.0</v>
      </c>
      <c r="X109" s="7" t="s">
        <v>634</v>
      </c>
      <c r="Y109" s="25">
        <v>41.0</v>
      </c>
      <c r="Z109" s="25" t="s">
        <v>241</v>
      </c>
      <c r="AA109" s="25">
        <v>581.0</v>
      </c>
      <c r="AB109" s="25">
        <v>30.0</v>
      </c>
    </row>
    <row r="110">
      <c r="A110" s="4"/>
      <c r="C110" s="7" t="s">
        <v>635</v>
      </c>
      <c r="D110" s="25">
        <v>43.0</v>
      </c>
      <c r="E110" s="25" t="s">
        <v>371</v>
      </c>
      <c r="F110" s="25">
        <v>552.0</v>
      </c>
      <c r="G110" s="25">
        <f>F110-F109</f>
        <v>16</v>
      </c>
      <c r="J110" s="7" t="s">
        <v>636</v>
      </c>
      <c r="K110" s="25">
        <v>42.0</v>
      </c>
      <c r="L110" s="25" t="s">
        <v>239</v>
      </c>
      <c r="M110" s="25">
        <v>529.0</v>
      </c>
      <c r="N110" s="25">
        <v>0.0</v>
      </c>
      <c r="Q110" s="7" t="s">
        <v>637</v>
      </c>
      <c r="R110" s="25">
        <v>43.0</v>
      </c>
      <c r="S110" s="25" t="s">
        <v>371</v>
      </c>
      <c r="T110" s="25">
        <v>609.0</v>
      </c>
      <c r="U110" s="25">
        <v>4.0</v>
      </c>
      <c r="X110" s="7" t="s">
        <v>638</v>
      </c>
      <c r="Y110" s="25">
        <v>42.0</v>
      </c>
      <c r="Z110" s="25" t="s">
        <v>239</v>
      </c>
      <c r="AA110" s="25">
        <v>569.0</v>
      </c>
      <c r="AB110" s="25">
        <v>0.0</v>
      </c>
    </row>
    <row r="111">
      <c r="A111" s="4"/>
      <c r="C111" s="7" t="s">
        <v>639</v>
      </c>
      <c r="D111" s="25">
        <v>43.0</v>
      </c>
      <c r="E111" s="25" t="s">
        <v>241</v>
      </c>
      <c r="F111" s="25">
        <v>562.0</v>
      </c>
      <c r="G111" s="25">
        <v>26.0</v>
      </c>
      <c r="J111" s="7" t="s">
        <v>640</v>
      </c>
      <c r="K111" s="25">
        <v>42.0</v>
      </c>
      <c r="L111" s="25" t="s">
        <v>371</v>
      </c>
      <c r="M111" s="25">
        <v>545.0</v>
      </c>
      <c r="N111" s="25">
        <v>3.0</v>
      </c>
      <c r="Q111" s="7" t="s">
        <v>641</v>
      </c>
      <c r="R111" s="25">
        <v>43.0</v>
      </c>
      <c r="S111" s="25" t="s">
        <v>241</v>
      </c>
      <c r="T111" s="25">
        <v>627.0</v>
      </c>
      <c r="U111" s="25">
        <v>34.0</v>
      </c>
      <c r="X111" s="7" t="s">
        <v>642</v>
      </c>
      <c r="Y111" s="25">
        <v>42.0</v>
      </c>
      <c r="Z111" s="25" t="s">
        <v>371</v>
      </c>
      <c r="AA111" s="25">
        <v>585.0</v>
      </c>
      <c r="AB111" s="25">
        <v>4.0</v>
      </c>
    </row>
    <row r="112">
      <c r="A112" s="4"/>
      <c r="C112" s="7" t="s">
        <v>643</v>
      </c>
      <c r="D112" s="25">
        <v>44.0</v>
      </c>
      <c r="E112" s="25" t="s">
        <v>239</v>
      </c>
      <c r="F112" s="25">
        <v>552.0</v>
      </c>
      <c r="G112" s="25">
        <v>0.0</v>
      </c>
      <c r="J112" s="7" t="s">
        <v>644</v>
      </c>
      <c r="K112" s="25">
        <v>42.0</v>
      </c>
      <c r="L112" s="25" t="s">
        <v>241</v>
      </c>
      <c r="M112" s="25">
        <v>558.0</v>
      </c>
      <c r="N112" s="25">
        <v>29.0</v>
      </c>
      <c r="Q112" s="7" t="s">
        <v>645</v>
      </c>
      <c r="R112" s="25">
        <v>44.0</v>
      </c>
      <c r="S112" s="25" t="s">
        <v>239</v>
      </c>
      <c r="T112" s="25">
        <v>609.0</v>
      </c>
      <c r="U112" s="25">
        <v>0.0</v>
      </c>
      <c r="X112" s="7" t="s">
        <v>646</v>
      </c>
      <c r="Y112" s="25">
        <v>42.0</v>
      </c>
      <c r="Z112" s="25" t="s">
        <v>241</v>
      </c>
      <c r="AA112" s="25">
        <v>599.0</v>
      </c>
      <c r="AB112" s="25">
        <v>30.0</v>
      </c>
    </row>
    <row r="113">
      <c r="A113" s="4"/>
      <c r="C113" s="7" t="s">
        <v>647</v>
      </c>
      <c r="D113" s="25">
        <v>44.0</v>
      </c>
      <c r="E113" s="25" t="s">
        <v>371</v>
      </c>
      <c r="F113" s="25">
        <v>566.0</v>
      </c>
      <c r="G113" s="25">
        <f>F113-F112</f>
        <v>14</v>
      </c>
      <c r="J113" s="7" t="s">
        <v>648</v>
      </c>
      <c r="K113" s="25">
        <v>43.0</v>
      </c>
      <c r="L113" s="25" t="s">
        <v>239</v>
      </c>
      <c r="M113" s="25">
        <v>545.0</v>
      </c>
      <c r="N113" s="25">
        <v>0.0</v>
      </c>
      <c r="Q113" s="7" t="s">
        <v>649</v>
      </c>
      <c r="R113" s="25">
        <v>44.0</v>
      </c>
      <c r="S113" s="25" t="s">
        <v>371</v>
      </c>
      <c r="T113" s="25">
        <v>634.0</v>
      </c>
      <c r="U113" s="25">
        <v>7.0</v>
      </c>
      <c r="X113" s="7" t="s">
        <v>650</v>
      </c>
      <c r="Y113" s="25">
        <v>43.0</v>
      </c>
      <c r="Z113" s="25" t="s">
        <v>239</v>
      </c>
      <c r="AA113" s="25">
        <v>585.0</v>
      </c>
      <c r="AB113" s="25">
        <v>0.0</v>
      </c>
    </row>
    <row r="114">
      <c r="A114" s="4"/>
      <c r="C114" s="7" t="s">
        <v>651</v>
      </c>
      <c r="D114" s="25">
        <v>44.0</v>
      </c>
      <c r="E114" s="25" t="s">
        <v>241</v>
      </c>
      <c r="F114" s="25">
        <v>578.0</v>
      </c>
      <c r="G114" s="25">
        <v>26.0</v>
      </c>
      <c r="J114" s="7" t="s">
        <v>652</v>
      </c>
      <c r="K114" s="25">
        <v>43.0</v>
      </c>
      <c r="L114" s="25" t="s">
        <v>371</v>
      </c>
      <c r="M114" s="25">
        <v>561.0</v>
      </c>
      <c r="N114" s="25">
        <v>3.0</v>
      </c>
      <c r="Q114" s="7" t="s">
        <v>653</v>
      </c>
      <c r="R114" s="25">
        <v>44.0</v>
      </c>
      <c r="S114" s="25" t="s">
        <v>241</v>
      </c>
      <c r="T114" s="25">
        <v>646.0</v>
      </c>
      <c r="U114" s="25">
        <v>37.0</v>
      </c>
      <c r="X114" s="7" t="s">
        <v>654</v>
      </c>
      <c r="Y114" s="25">
        <v>43.0</v>
      </c>
      <c r="Z114" s="25" t="s">
        <v>371</v>
      </c>
      <c r="AA114" s="25">
        <v>606.0</v>
      </c>
      <c r="AB114" s="25">
        <v>7.0</v>
      </c>
    </row>
    <row r="115">
      <c r="A115" s="4"/>
      <c r="C115" s="7" t="s">
        <v>655</v>
      </c>
      <c r="D115" s="25">
        <v>45.0</v>
      </c>
      <c r="E115" s="25" t="s">
        <v>239</v>
      </c>
      <c r="F115" s="25">
        <v>566.0</v>
      </c>
      <c r="G115" s="25">
        <v>0.0</v>
      </c>
      <c r="J115" s="7" t="s">
        <v>656</v>
      </c>
      <c r="K115" s="25">
        <v>43.0</v>
      </c>
      <c r="L115" s="25" t="s">
        <v>241</v>
      </c>
      <c r="M115" s="25">
        <v>574.0</v>
      </c>
      <c r="N115" s="25">
        <v>29.0</v>
      </c>
      <c r="Q115" s="7" t="s">
        <v>657</v>
      </c>
      <c r="R115" s="25">
        <v>45.0</v>
      </c>
      <c r="S115" s="25" t="s">
        <v>239</v>
      </c>
      <c r="T115" s="25">
        <v>634.0</v>
      </c>
      <c r="U115" s="25">
        <v>0.0</v>
      </c>
      <c r="X115" s="7" t="s">
        <v>658</v>
      </c>
      <c r="Y115" s="25">
        <v>43.0</v>
      </c>
      <c r="Z115" s="25" t="s">
        <v>241</v>
      </c>
      <c r="AA115" s="25">
        <v>618.0</v>
      </c>
      <c r="AB115" s="25">
        <v>33.0</v>
      </c>
    </row>
    <row r="116">
      <c r="A116" s="4"/>
      <c r="C116" s="7" t="s">
        <v>659</v>
      </c>
      <c r="D116" s="25">
        <v>45.0</v>
      </c>
      <c r="E116" s="25" t="s">
        <v>371</v>
      </c>
      <c r="F116" s="25">
        <v>583.0</v>
      </c>
      <c r="G116" s="25">
        <f>F116-F115</f>
        <v>17</v>
      </c>
      <c r="J116" s="7" t="s">
        <v>660</v>
      </c>
      <c r="K116" s="25">
        <v>44.0</v>
      </c>
      <c r="L116" s="25" t="s">
        <v>239</v>
      </c>
      <c r="M116" s="25">
        <v>561.0</v>
      </c>
      <c r="N116" s="25">
        <v>0.0</v>
      </c>
      <c r="Q116" s="7" t="s">
        <v>661</v>
      </c>
      <c r="R116" s="25">
        <v>45.0</v>
      </c>
      <c r="S116" s="25" t="s">
        <v>371</v>
      </c>
      <c r="T116" s="25">
        <v>657.0</v>
      </c>
      <c r="U116" s="25">
        <v>11.0</v>
      </c>
      <c r="X116" s="7" t="s">
        <v>662</v>
      </c>
      <c r="Y116" s="25">
        <v>44.0</v>
      </c>
      <c r="Z116" s="25" t="s">
        <v>239</v>
      </c>
      <c r="AA116" s="25">
        <v>606.0</v>
      </c>
      <c r="AB116" s="25">
        <v>0.0</v>
      </c>
    </row>
    <row r="117">
      <c r="A117" s="4"/>
      <c r="C117" s="7" t="s">
        <v>663</v>
      </c>
      <c r="D117" s="25">
        <v>45.0</v>
      </c>
      <c r="E117" s="25" t="s">
        <v>241</v>
      </c>
      <c r="F117" s="25">
        <v>594.0</v>
      </c>
      <c r="G117" s="25">
        <v>28.0</v>
      </c>
      <c r="J117" s="7" t="s">
        <v>664</v>
      </c>
      <c r="K117" s="25">
        <v>44.0</v>
      </c>
      <c r="L117" s="25" t="s">
        <v>371</v>
      </c>
      <c r="M117" s="25">
        <v>578.0</v>
      </c>
      <c r="N117" s="25">
        <v>4.0</v>
      </c>
      <c r="Q117" s="7" t="s">
        <v>665</v>
      </c>
      <c r="R117" s="25">
        <v>45.0</v>
      </c>
      <c r="S117" s="25" t="s">
        <v>241</v>
      </c>
      <c r="T117" s="25">
        <v>670.0</v>
      </c>
      <c r="U117" s="25">
        <v>36.0</v>
      </c>
      <c r="X117" s="7" t="s">
        <v>666</v>
      </c>
      <c r="Y117" s="25">
        <v>44.0</v>
      </c>
      <c r="Z117" s="25" t="s">
        <v>371</v>
      </c>
      <c r="AA117" s="25">
        <v>625.0</v>
      </c>
      <c r="AB117" s="25">
        <v>7.0</v>
      </c>
    </row>
    <row r="118">
      <c r="A118" s="4"/>
      <c r="C118" s="7" t="s">
        <v>667</v>
      </c>
      <c r="D118" s="25">
        <v>46.0</v>
      </c>
      <c r="E118" s="25" t="s">
        <v>239</v>
      </c>
      <c r="F118" s="25">
        <v>583.0</v>
      </c>
      <c r="G118" s="25">
        <v>0.0</v>
      </c>
      <c r="J118" s="7" t="s">
        <v>668</v>
      </c>
      <c r="K118" s="25">
        <v>44.0</v>
      </c>
      <c r="L118" s="25" t="s">
        <v>241</v>
      </c>
      <c r="M118" s="25">
        <v>590.0</v>
      </c>
      <c r="N118" s="25">
        <v>29.0</v>
      </c>
      <c r="Q118" s="7" t="s">
        <v>669</v>
      </c>
      <c r="R118" s="25">
        <v>46.0</v>
      </c>
      <c r="S118" s="25" t="s">
        <v>239</v>
      </c>
      <c r="T118" s="25">
        <v>657.0</v>
      </c>
      <c r="U118" s="25">
        <v>0.0</v>
      </c>
      <c r="X118" s="7" t="s">
        <v>670</v>
      </c>
      <c r="Y118" s="25">
        <v>44.0</v>
      </c>
      <c r="Z118" s="25" t="s">
        <v>241</v>
      </c>
      <c r="AA118" s="25">
        <v>638.0</v>
      </c>
      <c r="AB118" s="25">
        <v>32.0</v>
      </c>
    </row>
    <row r="119">
      <c r="A119" s="4"/>
      <c r="C119" s="7" t="s">
        <v>671</v>
      </c>
      <c r="D119" s="25">
        <v>46.0</v>
      </c>
      <c r="E119" s="25" t="s">
        <v>371</v>
      </c>
      <c r="F119" s="25">
        <v>598.0</v>
      </c>
      <c r="G119" s="25">
        <f>F119-F118</f>
        <v>15</v>
      </c>
      <c r="J119" s="7" t="s">
        <v>672</v>
      </c>
      <c r="K119" s="25">
        <v>45.0</v>
      </c>
      <c r="L119" s="25" t="s">
        <v>239</v>
      </c>
      <c r="M119" s="25">
        <v>578.0</v>
      </c>
      <c r="N119" s="25">
        <v>0.0</v>
      </c>
      <c r="Q119" s="7" t="s">
        <v>673</v>
      </c>
      <c r="R119" s="25">
        <v>46.0</v>
      </c>
      <c r="S119" s="25" t="s">
        <v>371</v>
      </c>
      <c r="T119" s="25">
        <v>676.0</v>
      </c>
      <c r="U119" s="25">
        <v>6.0</v>
      </c>
      <c r="X119" s="7" t="s">
        <v>674</v>
      </c>
      <c r="Y119" s="25">
        <v>45.0</v>
      </c>
      <c r="Z119" s="25" t="s">
        <v>239</v>
      </c>
      <c r="AA119" s="25">
        <v>625.0</v>
      </c>
      <c r="AB119" s="25">
        <v>0.0</v>
      </c>
    </row>
    <row r="120">
      <c r="A120" s="4"/>
      <c r="C120" s="7" t="s">
        <v>675</v>
      </c>
      <c r="D120" s="25">
        <v>46.0</v>
      </c>
      <c r="E120" s="25" t="s">
        <v>241</v>
      </c>
      <c r="F120" s="25">
        <v>611.0</v>
      </c>
      <c r="G120" s="25">
        <v>28.0</v>
      </c>
      <c r="J120" s="7" t="s">
        <v>676</v>
      </c>
      <c r="K120" s="25">
        <v>45.0</v>
      </c>
      <c r="L120" s="25" t="s">
        <v>371</v>
      </c>
      <c r="M120" s="25">
        <v>594.0</v>
      </c>
      <c r="N120" s="25">
        <v>4.0</v>
      </c>
      <c r="Q120" s="7" t="s">
        <v>677</v>
      </c>
      <c r="R120" s="25">
        <v>46.0</v>
      </c>
      <c r="S120" s="25" t="s">
        <v>241</v>
      </c>
      <c r="T120" s="25">
        <v>688.0</v>
      </c>
      <c r="U120" s="25">
        <v>31.0</v>
      </c>
      <c r="X120" s="7" t="s">
        <v>678</v>
      </c>
      <c r="Y120" s="25">
        <v>45.0</v>
      </c>
      <c r="Z120" s="25" t="s">
        <v>371</v>
      </c>
      <c r="AA120" s="25">
        <v>645.0</v>
      </c>
      <c r="AB120" s="25">
        <v>7.0</v>
      </c>
    </row>
    <row r="121">
      <c r="A121" s="4"/>
      <c r="C121" s="7" t="s">
        <v>679</v>
      </c>
      <c r="D121" s="25">
        <v>47.0</v>
      </c>
      <c r="E121" s="25" t="s">
        <v>239</v>
      </c>
      <c r="F121" s="25">
        <v>598.0</v>
      </c>
      <c r="G121" s="25">
        <v>0.0</v>
      </c>
      <c r="J121" s="7" t="s">
        <v>680</v>
      </c>
      <c r="K121" s="25">
        <v>45.0</v>
      </c>
      <c r="L121" s="25" t="s">
        <v>241</v>
      </c>
      <c r="M121" s="25">
        <v>607.0</v>
      </c>
      <c r="N121" s="25">
        <v>29.0</v>
      </c>
      <c r="Q121" s="7" t="s">
        <v>681</v>
      </c>
      <c r="R121" s="25">
        <v>47.0</v>
      </c>
      <c r="S121" s="25" t="s">
        <v>239</v>
      </c>
      <c r="T121" s="25">
        <v>676.0</v>
      </c>
      <c r="U121" s="25">
        <v>0.0</v>
      </c>
      <c r="X121" s="7" t="s">
        <v>682</v>
      </c>
      <c r="Y121" s="25">
        <v>45.0</v>
      </c>
      <c r="Z121" s="25" t="s">
        <v>241</v>
      </c>
      <c r="AA121" s="25">
        <v>658.0</v>
      </c>
      <c r="AB121" s="25">
        <v>33.0</v>
      </c>
    </row>
    <row r="122">
      <c r="A122" s="4"/>
      <c r="C122" s="7" t="s">
        <v>683</v>
      </c>
      <c r="D122" s="25">
        <v>47.0</v>
      </c>
      <c r="E122" s="25" t="s">
        <v>371</v>
      </c>
      <c r="F122" s="25">
        <v>616.0</v>
      </c>
      <c r="G122" s="25">
        <f>F122-F121</f>
        <v>18</v>
      </c>
      <c r="J122" s="7" t="s">
        <v>684</v>
      </c>
      <c r="K122" s="25">
        <v>46.0</v>
      </c>
      <c r="L122" s="25" t="s">
        <v>239</v>
      </c>
      <c r="M122" s="25">
        <v>594.0</v>
      </c>
      <c r="N122" s="25">
        <v>0.0</v>
      </c>
      <c r="Q122" s="7" t="s">
        <v>685</v>
      </c>
      <c r="R122" s="25">
        <v>47.0</v>
      </c>
      <c r="S122" s="25" t="s">
        <v>371</v>
      </c>
      <c r="T122" s="25">
        <v>694.0</v>
      </c>
      <c r="U122" s="25">
        <v>6.0</v>
      </c>
      <c r="X122" s="7" t="s">
        <v>686</v>
      </c>
      <c r="Y122" s="25">
        <v>46.0</v>
      </c>
      <c r="Z122" s="25" t="s">
        <v>239</v>
      </c>
      <c r="AA122" s="25">
        <v>645.0</v>
      </c>
      <c r="AB122" s="25">
        <v>0.0</v>
      </c>
    </row>
    <row r="123">
      <c r="A123" s="4"/>
      <c r="C123" s="7" t="s">
        <v>687</v>
      </c>
      <c r="D123" s="25">
        <v>47.0</v>
      </c>
      <c r="E123" s="25" t="s">
        <v>241</v>
      </c>
      <c r="F123" s="25">
        <v>628.0</v>
      </c>
      <c r="G123" s="25">
        <v>30.0</v>
      </c>
      <c r="J123" s="7" t="s">
        <v>688</v>
      </c>
      <c r="K123" s="25">
        <v>46.0</v>
      </c>
      <c r="L123" s="25" t="s">
        <v>371</v>
      </c>
      <c r="M123" s="25">
        <v>612.0</v>
      </c>
      <c r="N123" s="25">
        <v>5.0</v>
      </c>
      <c r="Q123" s="7" t="s">
        <v>689</v>
      </c>
      <c r="R123" s="25">
        <v>47.0</v>
      </c>
      <c r="S123" s="25" t="s">
        <v>241</v>
      </c>
      <c r="T123" s="25">
        <v>707.0</v>
      </c>
      <c r="U123" s="25">
        <v>31.0</v>
      </c>
      <c r="X123" s="7" t="s">
        <v>690</v>
      </c>
      <c r="Y123" s="25">
        <v>46.0</v>
      </c>
      <c r="Z123" s="25" t="s">
        <v>371</v>
      </c>
      <c r="AA123" s="25">
        <v>666.0</v>
      </c>
      <c r="AB123" s="25">
        <v>8.0</v>
      </c>
    </row>
    <row r="124">
      <c r="A124" s="4"/>
      <c r="C124" s="7" t="s">
        <v>691</v>
      </c>
      <c r="D124" s="25">
        <v>48.0</v>
      </c>
      <c r="E124" s="25" t="s">
        <v>239</v>
      </c>
      <c r="F124" s="25">
        <v>616.0</v>
      </c>
      <c r="G124" s="25">
        <v>0.0</v>
      </c>
      <c r="J124" s="7" t="s">
        <v>692</v>
      </c>
      <c r="K124" s="25">
        <v>46.0</v>
      </c>
      <c r="L124" s="25" t="s">
        <v>241</v>
      </c>
      <c r="M124" s="25">
        <v>625.0</v>
      </c>
      <c r="N124" s="25">
        <v>31.0</v>
      </c>
      <c r="Q124" s="7" t="s">
        <v>693</v>
      </c>
      <c r="R124" s="25">
        <v>48.0</v>
      </c>
      <c r="S124" s="25" t="s">
        <v>239</v>
      </c>
      <c r="T124" s="25">
        <v>694.0</v>
      </c>
      <c r="U124" s="25">
        <v>0.0</v>
      </c>
      <c r="X124" s="7" t="s">
        <v>694</v>
      </c>
      <c r="Y124" s="25">
        <v>46.0</v>
      </c>
      <c r="Z124" s="25" t="s">
        <v>241</v>
      </c>
      <c r="AA124" s="25">
        <v>679.0</v>
      </c>
      <c r="AB124" s="25">
        <v>34.0</v>
      </c>
    </row>
    <row r="125">
      <c r="A125" s="4"/>
      <c r="C125" s="7" t="s">
        <v>695</v>
      </c>
      <c r="D125" s="25">
        <v>48.0</v>
      </c>
      <c r="E125" s="25" t="s">
        <v>371</v>
      </c>
      <c r="F125" s="25">
        <v>636.0</v>
      </c>
      <c r="G125" s="25">
        <f>F125-F124</f>
        <v>20</v>
      </c>
      <c r="J125" s="7" t="s">
        <v>696</v>
      </c>
      <c r="K125" s="25">
        <v>47.0</v>
      </c>
      <c r="L125" s="25" t="s">
        <v>239</v>
      </c>
      <c r="M125" s="25">
        <v>612.0</v>
      </c>
      <c r="N125" s="25">
        <v>0.0</v>
      </c>
      <c r="Q125" s="7" t="s">
        <v>697</v>
      </c>
      <c r="R125" s="25">
        <v>48.0</v>
      </c>
      <c r="S125" s="25" t="s">
        <v>371</v>
      </c>
      <c r="T125" s="25">
        <v>714.0</v>
      </c>
      <c r="U125" s="25">
        <v>7.0</v>
      </c>
      <c r="X125" s="7" t="s">
        <v>698</v>
      </c>
      <c r="Y125" s="25">
        <v>47.0</v>
      </c>
      <c r="Z125" s="25" t="s">
        <v>239</v>
      </c>
      <c r="AA125" s="25">
        <v>667.0</v>
      </c>
      <c r="AB125" s="25">
        <v>1.0</v>
      </c>
    </row>
    <row r="126">
      <c r="A126" s="4"/>
      <c r="C126" s="7" t="s">
        <v>699</v>
      </c>
      <c r="D126" s="25">
        <v>48.0</v>
      </c>
      <c r="E126" s="25" t="s">
        <v>241</v>
      </c>
      <c r="F126" s="25">
        <v>647.0</v>
      </c>
      <c r="G126" s="25">
        <v>31.0</v>
      </c>
      <c r="J126" s="7" t="s">
        <v>700</v>
      </c>
      <c r="K126" s="25">
        <v>47.0</v>
      </c>
      <c r="L126" s="25" t="s">
        <v>371</v>
      </c>
      <c r="M126" s="25">
        <v>632.0</v>
      </c>
      <c r="N126" s="25">
        <v>7.0</v>
      </c>
      <c r="Q126" s="7" t="s">
        <v>701</v>
      </c>
      <c r="R126" s="25">
        <v>48.0</v>
      </c>
      <c r="S126" s="25" t="s">
        <v>241</v>
      </c>
      <c r="T126" s="25">
        <v>727.0</v>
      </c>
      <c r="U126" s="25">
        <v>33.0</v>
      </c>
      <c r="X126" s="7" t="s">
        <v>702</v>
      </c>
      <c r="Y126" s="25">
        <v>47.0</v>
      </c>
      <c r="Z126" s="25" t="s">
        <v>371</v>
      </c>
      <c r="AA126" s="25">
        <v>690.0</v>
      </c>
      <c r="AB126" s="25">
        <v>11.0</v>
      </c>
    </row>
    <row r="127">
      <c r="A127" s="4"/>
      <c r="C127" s="7" t="s">
        <v>703</v>
      </c>
      <c r="D127" s="25">
        <v>49.0</v>
      </c>
      <c r="E127" s="25" t="s">
        <v>239</v>
      </c>
      <c r="F127" s="25">
        <v>636.0</v>
      </c>
      <c r="G127" s="25">
        <v>0.0</v>
      </c>
      <c r="J127" s="7" t="s">
        <v>704</v>
      </c>
      <c r="K127" s="25">
        <v>47.0</v>
      </c>
      <c r="L127" s="25" t="s">
        <v>241</v>
      </c>
      <c r="M127" s="25">
        <v>644.0</v>
      </c>
      <c r="N127" s="25">
        <v>32.0</v>
      </c>
      <c r="Q127" s="7" t="s">
        <v>705</v>
      </c>
      <c r="R127" s="25">
        <v>49.0</v>
      </c>
      <c r="S127" s="25" t="s">
        <v>239</v>
      </c>
      <c r="T127" s="25">
        <v>714.0</v>
      </c>
      <c r="U127" s="25">
        <v>0.0</v>
      </c>
      <c r="X127" s="7" t="s">
        <v>706</v>
      </c>
      <c r="Y127" s="25">
        <v>47.0</v>
      </c>
      <c r="Z127" s="25" t="s">
        <v>241</v>
      </c>
      <c r="AA127" s="25">
        <v>702.0</v>
      </c>
      <c r="AB127" s="25">
        <v>35.0</v>
      </c>
    </row>
    <row r="128">
      <c r="A128" s="4"/>
      <c r="C128" s="7" t="s">
        <v>707</v>
      </c>
      <c r="D128" s="25">
        <v>49.0</v>
      </c>
      <c r="E128" s="25" t="s">
        <v>371</v>
      </c>
      <c r="F128" s="25">
        <v>654.0</v>
      </c>
      <c r="G128" s="25">
        <f>F128-F127</f>
        <v>18</v>
      </c>
      <c r="J128" s="7" t="s">
        <v>708</v>
      </c>
      <c r="K128" s="25">
        <v>48.0</v>
      </c>
      <c r="L128" s="25" t="s">
        <v>239</v>
      </c>
      <c r="M128" s="25">
        <v>632.0</v>
      </c>
      <c r="N128" s="25">
        <v>0.0</v>
      </c>
      <c r="Q128" s="7" t="s">
        <v>709</v>
      </c>
      <c r="R128" s="25">
        <v>49.0</v>
      </c>
      <c r="S128" s="25" t="s">
        <v>371</v>
      </c>
      <c r="T128" s="25">
        <v>736.0</v>
      </c>
      <c r="U128" s="25">
        <v>9.0</v>
      </c>
      <c r="X128" s="7" t="s">
        <v>710</v>
      </c>
      <c r="Y128" s="25">
        <v>48.0</v>
      </c>
      <c r="Z128" s="25" t="s">
        <v>239</v>
      </c>
      <c r="AA128" s="25">
        <v>691.0</v>
      </c>
      <c r="AB128" s="25">
        <v>1.0</v>
      </c>
    </row>
    <row r="129">
      <c r="A129" s="4"/>
      <c r="C129" s="7" t="s">
        <v>711</v>
      </c>
      <c r="D129" s="25">
        <v>49.0</v>
      </c>
      <c r="E129" s="25" t="s">
        <v>241</v>
      </c>
      <c r="F129" s="25">
        <v>666.0</v>
      </c>
      <c r="G129" s="25">
        <v>30.0</v>
      </c>
      <c r="J129" s="7" t="s">
        <v>712</v>
      </c>
      <c r="K129" s="25">
        <v>48.0</v>
      </c>
      <c r="L129" s="25" t="s">
        <v>371</v>
      </c>
      <c r="M129" s="25">
        <v>652.0</v>
      </c>
      <c r="N129" s="25">
        <v>8.0</v>
      </c>
      <c r="Q129" s="7" t="s">
        <v>713</v>
      </c>
      <c r="R129" s="25">
        <v>49.0</v>
      </c>
      <c r="S129" s="25" t="s">
        <v>241</v>
      </c>
      <c r="T129" s="25">
        <v>748.0</v>
      </c>
      <c r="U129" s="25">
        <v>34.0</v>
      </c>
      <c r="X129" s="7" t="s">
        <v>714</v>
      </c>
      <c r="Y129" s="25">
        <v>48.0</v>
      </c>
      <c r="Z129" s="25" t="s">
        <v>371</v>
      </c>
      <c r="AA129" s="25">
        <v>717.0</v>
      </c>
      <c r="AB129" s="25">
        <v>15.0</v>
      </c>
    </row>
    <row r="130">
      <c r="A130" s="4"/>
      <c r="C130" s="7" t="s">
        <v>715</v>
      </c>
      <c r="D130" s="25">
        <v>50.0</v>
      </c>
      <c r="E130" s="25" t="s">
        <v>239</v>
      </c>
      <c r="F130" s="25">
        <v>654.0</v>
      </c>
      <c r="G130" s="25">
        <v>0.0</v>
      </c>
      <c r="J130" s="7" t="s">
        <v>716</v>
      </c>
      <c r="K130" s="25">
        <v>48.0</v>
      </c>
      <c r="L130" s="25" t="s">
        <v>241</v>
      </c>
      <c r="M130" s="25">
        <v>664.0</v>
      </c>
      <c r="N130" s="25">
        <v>32.0</v>
      </c>
      <c r="Q130" s="7" t="s">
        <v>717</v>
      </c>
      <c r="R130" s="25">
        <v>50.0</v>
      </c>
      <c r="S130" s="25" t="s">
        <v>239</v>
      </c>
      <c r="T130" s="25">
        <v>736.0</v>
      </c>
      <c r="U130" s="25">
        <v>0.0</v>
      </c>
      <c r="X130" s="7" t="s">
        <v>718</v>
      </c>
      <c r="Y130" s="25">
        <v>48.0</v>
      </c>
      <c r="Z130" s="25" t="s">
        <v>241</v>
      </c>
      <c r="AA130" s="25">
        <v>730.0</v>
      </c>
      <c r="AB130" s="25">
        <v>39.0</v>
      </c>
    </row>
    <row r="131">
      <c r="A131" s="4"/>
      <c r="C131" s="7" t="s">
        <v>719</v>
      </c>
      <c r="D131" s="25">
        <v>50.0</v>
      </c>
      <c r="E131" s="25" t="s">
        <v>371</v>
      </c>
      <c r="F131" s="25">
        <v>675.0</v>
      </c>
      <c r="G131" s="25">
        <f>F131-F130</f>
        <v>21</v>
      </c>
      <c r="J131" s="7" t="s">
        <v>720</v>
      </c>
      <c r="K131" s="25">
        <v>49.0</v>
      </c>
      <c r="L131" s="25" t="s">
        <v>239</v>
      </c>
      <c r="M131" s="25">
        <v>652.0</v>
      </c>
      <c r="N131" s="25">
        <v>0.0</v>
      </c>
      <c r="Q131" s="7" t="s">
        <v>721</v>
      </c>
      <c r="R131" s="25">
        <v>50.0</v>
      </c>
      <c r="S131" s="25" t="s">
        <v>371</v>
      </c>
      <c r="T131" s="25">
        <v>758.0</v>
      </c>
      <c r="U131" s="25">
        <v>10.0</v>
      </c>
      <c r="X131" s="7" t="s">
        <v>722</v>
      </c>
      <c r="Y131" s="25">
        <v>49.0</v>
      </c>
      <c r="Z131" s="25" t="s">
        <v>239</v>
      </c>
      <c r="AA131" s="25">
        <v>717.0</v>
      </c>
      <c r="AB131" s="25">
        <v>0.0</v>
      </c>
    </row>
    <row r="132">
      <c r="A132" s="4"/>
      <c r="C132" s="7" t="s">
        <v>723</v>
      </c>
      <c r="D132" s="25">
        <v>50.0</v>
      </c>
      <c r="E132" s="25" t="s">
        <v>241</v>
      </c>
      <c r="F132" s="25">
        <v>687.0</v>
      </c>
      <c r="G132" s="25">
        <v>33.0</v>
      </c>
      <c r="J132" s="7" t="s">
        <v>724</v>
      </c>
      <c r="K132" s="25">
        <v>49.0</v>
      </c>
      <c r="L132" s="25" t="s">
        <v>371</v>
      </c>
      <c r="M132" s="25">
        <v>674.0</v>
      </c>
      <c r="N132" s="25">
        <v>10.0</v>
      </c>
      <c r="Q132" s="7" t="s">
        <v>725</v>
      </c>
      <c r="R132" s="25">
        <v>50.0</v>
      </c>
      <c r="S132" s="25" t="s">
        <v>241</v>
      </c>
      <c r="T132" s="25">
        <v>770.0</v>
      </c>
      <c r="U132" s="25">
        <v>34.0</v>
      </c>
      <c r="X132" s="7" t="s">
        <v>726</v>
      </c>
      <c r="Y132" s="25">
        <v>49.0</v>
      </c>
      <c r="Z132" s="25" t="s">
        <v>371</v>
      </c>
      <c r="AA132" s="25">
        <v>745.0</v>
      </c>
      <c r="AB132" s="25">
        <v>15.0</v>
      </c>
    </row>
    <row r="133">
      <c r="A133" s="4"/>
      <c r="C133" s="7" t="s">
        <v>727</v>
      </c>
      <c r="D133" s="25">
        <v>51.0</v>
      </c>
      <c r="E133" s="25" t="s">
        <v>239</v>
      </c>
      <c r="F133" s="25">
        <v>675.0</v>
      </c>
      <c r="G133" s="25">
        <v>0.0</v>
      </c>
      <c r="J133" s="7" t="s">
        <v>728</v>
      </c>
      <c r="K133" s="25">
        <v>49.0</v>
      </c>
      <c r="L133" s="25" t="s">
        <v>241</v>
      </c>
      <c r="M133" s="25">
        <v>686.0</v>
      </c>
      <c r="N133" s="25">
        <v>34.0</v>
      </c>
      <c r="Q133" s="7" t="s">
        <v>729</v>
      </c>
      <c r="R133" s="25">
        <v>51.0</v>
      </c>
      <c r="S133" s="25" t="s">
        <v>239</v>
      </c>
      <c r="T133" s="25">
        <v>758.0</v>
      </c>
      <c r="U133" s="25">
        <v>0.0</v>
      </c>
      <c r="X133" s="7" t="s">
        <v>730</v>
      </c>
      <c r="Y133" s="25">
        <v>49.0</v>
      </c>
      <c r="Z133" s="25" t="s">
        <v>241</v>
      </c>
      <c r="AA133" s="25">
        <v>756.0</v>
      </c>
      <c r="AB133" s="25">
        <v>39.0</v>
      </c>
    </row>
    <row r="134">
      <c r="A134" s="4"/>
      <c r="C134" s="7" t="s">
        <v>731</v>
      </c>
      <c r="D134" s="25">
        <v>51.0</v>
      </c>
      <c r="E134" s="25" t="s">
        <v>371</v>
      </c>
      <c r="F134" s="25">
        <v>698.0</v>
      </c>
      <c r="G134" s="25">
        <f>F134-F133</f>
        <v>23</v>
      </c>
      <c r="J134" s="7" t="s">
        <v>732</v>
      </c>
      <c r="K134" s="25">
        <v>50.0</v>
      </c>
      <c r="L134" s="25" t="s">
        <v>239</v>
      </c>
      <c r="M134" s="25">
        <v>674.0</v>
      </c>
      <c r="N134" s="25">
        <v>0.0</v>
      </c>
      <c r="Q134" s="7" t="s">
        <v>733</v>
      </c>
      <c r="R134" s="25">
        <v>51.0</v>
      </c>
      <c r="S134" s="25" t="s">
        <v>371</v>
      </c>
      <c r="T134" s="25">
        <v>784.0</v>
      </c>
      <c r="U134" s="25">
        <v>14.0</v>
      </c>
      <c r="X134" s="7" t="s">
        <v>734</v>
      </c>
      <c r="Y134" s="25">
        <v>50.0</v>
      </c>
      <c r="Z134" s="25" t="s">
        <v>239</v>
      </c>
      <c r="AA134" s="25">
        <v>745.0</v>
      </c>
      <c r="AB134" s="25">
        <v>0.0</v>
      </c>
    </row>
    <row r="135">
      <c r="A135" s="4"/>
      <c r="C135" s="7" t="s">
        <v>735</v>
      </c>
      <c r="D135" s="25">
        <v>51.0</v>
      </c>
      <c r="E135" s="25" t="s">
        <v>241</v>
      </c>
      <c r="F135" s="25">
        <v>710.0</v>
      </c>
      <c r="G135" s="25">
        <v>35.0</v>
      </c>
      <c r="J135" s="7" t="s">
        <v>736</v>
      </c>
      <c r="K135" s="25">
        <v>50.0</v>
      </c>
      <c r="L135" s="25" t="s">
        <v>371</v>
      </c>
      <c r="M135" s="25">
        <v>698.0</v>
      </c>
      <c r="N135" s="25">
        <v>12.0</v>
      </c>
      <c r="Q135" s="7" t="s">
        <v>737</v>
      </c>
      <c r="R135" s="25">
        <v>51.0</v>
      </c>
      <c r="S135" s="25" t="s">
        <v>241</v>
      </c>
      <c r="T135" s="25">
        <v>797.0</v>
      </c>
      <c r="U135" s="25">
        <v>39.0</v>
      </c>
      <c r="X135" s="7" t="s">
        <v>738</v>
      </c>
      <c r="Y135" s="25">
        <v>50.0</v>
      </c>
      <c r="Z135" s="25" t="s">
        <v>371</v>
      </c>
      <c r="AA135" s="25">
        <v>773.0</v>
      </c>
      <c r="AB135" s="25">
        <v>17.0</v>
      </c>
    </row>
    <row r="136">
      <c r="A136" s="4"/>
      <c r="C136" s="7" t="s">
        <v>739</v>
      </c>
      <c r="D136" s="25">
        <v>52.0</v>
      </c>
      <c r="E136" s="25" t="s">
        <v>239</v>
      </c>
      <c r="F136" s="25">
        <v>698.0</v>
      </c>
      <c r="G136" s="25">
        <v>0.0</v>
      </c>
      <c r="J136" s="7" t="s">
        <v>740</v>
      </c>
      <c r="K136" s="25">
        <v>50.0</v>
      </c>
      <c r="L136" s="25" t="s">
        <v>241</v>
      </c>
      <c r="M136" s="25">
        <v>710.0</v>
      </c>
      <c r="N136" s="25">
        <v>36.0</v>
      </c>
      <c r="Q136" s="7" t="s">
        <v>741</v>
      </c>
      <c r="R136" s="25">
        <v>52.0</v>
      </c>
      <c r="S136" s="25" t="s">
        <v>239</v>
      </c>
      <c r="T136" s="25">
        <v>784.0</v>
      </c>
      <c r="U136" s="25">
        <v>0.0</v>
      </c>
      <c r="X136" s="7" t="s">
        <v>742</v>
      </c>
      <c r="Y136" s="25">
        <v>50.0</v>
      </c>
      <c r="Z136" s="25" t="s">
        <v>241</v>
      </c>
      <c r="AA136" s="25">
        <v>785.0</v>
      </c>
      <c r="AB136" s="25">
        <v>40.0</v>
      </c>
    </row>
    <row r="137">
      <c r="A137" s="4"/>
      <c r="C137" s="7" t="s">
        <v>743</v>
      </c>
      <c r="D137" s="25">
        <v>52.0</v>
      </c>
      <c r="E137" s="25" t="s">
        <v>371</v>
      </c>
      <c r="F137" s="25">
        <v>724.0</v>
      </c>
      <c r="G137" s="25">
        <f>F137-F136</f>
        <v>26</v>
      </c>
      <c r="J137" s="7" t="s">
        <v>744</v>
      </c>
      <c r="K137" s="25">
        <v>51.0</v>
      </c>
      <c r="L137" s="25" t="s">
        <v>239</v>
      </c>
      <c r="M137" s="25">
        <v>698.0</v>
      </c>
      <c r="N137" s="25">
        <v>0.0</v>
      </c>
      <c r="Q137" s="7" t="s">
        <v>745</v>
      </c>
      <c r="R137" s="25">
        <v>52.0</v>
      </c>
      <c r="S137" s="25" t="s">
        <v>371</v>
      </c>
      <c r="T137" s="25">
        <v>816.0</v>
      </c>
      <c r="U137" s="25">
        <v>19.0</v>
      </c>
      <c r="X137" s="7" t="s">
        <v>746</v>
      </c>
      <c r="Y137" s="25">
        <v>51.0</v>
      </c>
      <c r="Z137" s="25" t="s">
        <v>239</v>
      </c>
      <c r="AA137" s="25">
        <v>773.0</v>
      </c>
      <c r="AB137" s="25">
        <v>0.0</v>
      </c>
    </row>
    <row r="138">
      <c r="A138" s="4"/>
      <c r="C138" s="7" t="s">
        <v>747</v>
      </c>
      <c r="D138" s="25">
        <v>52.0</v>
      </c>
      <c r="E138" s="25" t="s">
        <v>241</v>
      </c>
      <c r="F138" s="25">
        <v>737.0</v>
      </c>
      <c r="G138" s="25">
        <v>39.0</v>
      </c>
      <c r="J138" s="7" t="s">
        <v>748</v>
      </c>
      <c r="K138" s="25">
        <v>51.0</v>
      </c>
      <c r="L138" s="25" t="s">
        <v>371</v>
      </c>
      <c r="M138" s="25">
        <v>726.0</v>
      </c>
      <c r="N138" s="25">
        <v>16.0</v>
      </c>
      <c r="Q138" s="7" t="s">
        <v>749</v>
      </c>
      <c r="R138" s="25">
        <v>52.0</v>
      </c>
      <c r="S138" s="25" t="s">
        <v>241</v>
      </c>
      <c r="T138" s="25">
        <v>829.0</v>
      </c>
      <c r="U138" s="25">
        <v>45.0</v>
      </c>
      <c r="X138" s="7" t="s">
        <v>750</v>
      </c>
      <c r="Y138" s="25">
        <v>51.0</v>
      </c>
      <c r="Z138" s="25" t="s">
        <v>371</v>
      </c>
      <c r="AA138" s="25">
        <v>810.0</v>
      </c>
      <c r="AB138" s="25">
        <v>25.0</v>
      </c>
    </row>
    <row r="139">
      <c r="A139" s="4"/>
      <c r="C139" s="7" t="s">
        <v>751</v>
      </c>
      <c r="D139" s="25">
        <v>53.0</v>
      </c>
      <c r="E139" s="25" t="s">
        <v>239</v>
      </c>
      <c r="F139" s="25">
        <v>724.0</v>
      </c>
      <c r="G139" s="25">
        <v>0.0</v>
      </c>
      <c r="J139" s="7" t="s">
        <v>752</v>
      </c>
      <c r="K139" s="25">
        <v>51.0</v>
      </c>
      <c r="L139" s="25" t="s">
        <v>241</v>
      </c>
      <c r="M139" s="25">
        <v>736.0</v>
      </c>
      <c r="N139" s="25">
        <v>38.0</v>
      </c>
      <c r="Q139" s="7" t="s">
        <v>753</v>
      </c>
      <c r="R139" s="25">
        <v>53.0</v>
      </c>
      <c r="S139" s="25" t="s">
        <v>239</v>
      </c>
      <c r="T139" s="25">
        <v>816.0</v>
      </c>
      <c r="U139" s="25">
        <v>0.0</v>
      </c>
      <c r="X139" s="7" t="s">
        <v>754</v>
      </c>
      <c r="Y139" s="25">
        <v>51.0</v>
      </c>
      <c r="Z139" s="25" t="s">
        <v>241</v>
      </c>
      <c r="AA139" s="25">
        <v>822.0</v>
      </c>
      <c r="AB139" s="25">
        <v>49.0</v>
      </c>
    </row>
    <row r="140">
      <c r="A140" s="4"/>
      <c r="C140" s="7" t="s">
        <v>755</v>
      </c>
      <c r="D140" s="25">
        <v>53.0</v>
      </c>
      <c r="E140" s="25" t="s">
        <v>371</v>
      </c>
      <c r="F140" s="25">
        <v>750.0</v>
      </c>
      <c r="G140" s="25">
        <f>F140-F139</f>
        <v>26</v>
      </c>
      <c r="J140" s="7" t="s">
        <v>756</v>
      </c>
      <c r="K140" s="25">
        <v>52.0</v>
      </c>
      <c r="L140" s="25" t="s">
        <v>239</v>
      </c>
      <c r="M140" s="25">
        <v>726.0</v>
      </c>
      <c r="N140" s="25">
        <v>0.0</v>
      </c>
      <c r="Q140" s="7" t="s">
        <v>757</v>
      </c>
      <c r="R140" s="25">
        <v>53.0</v>
      </c>
      <c r="S140" s="25" t="s">
        <v>371</v>
      </c>
      <c r="T140" s="25">
        <v>846.0</v>
      </c>
      <c r="U140" s="25">
        <v>17.0</v>
      </c>
      <c r="X140" s="7" t="s">
        <v>758</v>
      </c>
      <c r="Y140" s="25">
        <v>52.0</v>
      </c>
      <c r="Z140" s="25" t="s">
        <v>239</v>
      </c>
      <c r="AA140" s="25">
        <v>810.0</v>
      </c>
      <c r="AB140" s="25">
        <v>0.0</v>
      </c>
    </row>
    <row r="141">
      <c r="A141" s="4"/>
      <c r="C141" s="7" t="s">
        <v>759</v>
      </c>
      <c r="D141" s="25">
        <v>53.0</v>
      </c>
      <c r="E141" s="25" t="s">
        <v>241</v>
      </c>
      <c r="F141" s="25">
        <v>761.0</v>
      </c>
      <c r="G141" s="25">
        <v>37.0</v>
      </c>
      <c r="J141" s="7" t="s">
        <v>760</v>
      </c>
      <c r="K141" s="25">
        <v>52.0</v>
      </c>
      <c r="L141" s="25" t="s">
        <v>371</v>
      </c>
      <c r="M141" s="25">
        <v>755.0</v>
      </c>
      <c r="N141" s="25">
        <v>19.0</v>
      </c>
      <c r="Q141" s="7" t="s">
        <v>761</v>
      </c>
      <c r="R141" s="25">
        <v>53.0</v>
      </c>
      <c r="S141" s="25" t="s">
        <v>241</v>
      </c>
      <c r="T141" s="25">
        <v>859.0</v>
      </c>
      <c r="U141" s="25">
        <v>43.0</v>
      </c>
      <c r="X141" s="7" t="s">
        <v>762</v>
      </c>
      <c r="Y141" s="25">
        <v>52.0</v>
      </c>
      <c r="Z141" s="25" t="s">
        <v>371</v>
      </c>
      <c r="AA141" s="25">
        <v>852.0</v>
      </c>
      <c r="AB141" s="25">
        <v>30.0</v>
      </c>
    </row>
    <row r="142">
      <c r="A142" s="4"/>
      <c r="C142" s="7" t="s">
        <v>763</v>
      </c>
      <c r="D142" s="25">
        <v>54.0</v>
      </c>
      <c r="E142" s="25" t="s">
        <v>239</v>
      </c>
      <c r="F142" s="25">
        <v>750.0</v>
      </c>
      <c r="G142" s="25">
        <v>0.0</v>
      </c>
      <c r="J142" s="7" t="s">
        <v>764</v>
      </c>
      <c r="K142" s="25">
        <v>52.0</v>
      </c>
      <c r="L142" s="25" t="s">
        <v>241</v>
      </c>
      <c r="M142" s="25">
        <v>767.0</v>
      </c>
      <c r="N142" s="25">
        <v>41.0</v>
      </c>
      <c r="Q142" s="7" t="s">
        <v>765</v>
      </c>
      <c r="R142" s="25">
        <v>54.0</v>
      </c>
      <c r="S142" s="25" t="s">
        <v>239</v>
      </c>
      <c r="T142" s="25">
        <v>846.0</v>
      </c>
      <c r="U142" s="25">
        <v>0.0</v>
      </c>
      <c r="X142" s="7" t="s">
        <v>766</v>
      </c>
      <c r="Y142" s="25">
        <v>52.0</v>
      </c>
      <c r="Z142" s="25" t="s">
        <v>241</v>
      </c>
      <c r="AA142" s="25">
        <v>865.0</v>
      </c>
      <c r="AB142" s="25">
        <v>55.0</v>
      </c>
    </row>
    <row r="143">
      <c r="A143" s="4"/>
      <c r="C143" s="7" t="s">
        <v>767</v>
      </c>
      <c r="D143" s="25">
        <v>54.0</v>
      </c>
      <c r="E143" s="25" t="s">
        <v>371</v>
      </c>
      <c r="F143" s="25">
        <v>778.0</v>
      </c>
      <c r="G143" s="25">
        <f>F143-F142</f>
        <v>28</v>
      </c>
      <c r="J143" s="7" t="s">
        <v>768</v>
      </c>
      <c r="K143" s="25">
        <v>53.0</v>
      </c>
      <c r="L143" s="25" t="s">
        <v>239</v>
      </c>
      <c r="M143" s="25">
        <v>755.0</v>
      </c>
      <c r="N143" s="25">
        <v>0.0</v>
      </c>
      <c r="Q143" s="7" t="s">
        <v>769</v>
      </c>
      <c r="R143" s="25">
        <v>54.0</v>
      </c>
      <c r="S143" s="25" t="s">
        <v>371</v>
      </c>
      <c r="T143" s="25">
        <v>882.0</v>
      </c>
      <c r="U143" s="25">
        <v>23.0</v>
      </c>
      <c r="X143" s="7" t="s">
        <v>770</v>
      </c>
      <c r="Y143" s="25">
        <v>53.0</v>
      </c>
      <c r="Z143" s="25" t="s">
        <v>239</v>
      </c>
      <c r="AA143" s="25">
        <v>852.0</v>
      </c>
      <c r="AB143" s="25">
        <v>0.0</v>
      </c>
    </row>
    <row r="144">
      <c r="A144" s="4"/>
      <c r="C144" s="7" t="s">
        <v>771</v>
      </c>
      <c r="D144" s="25">
        <v>54.0</v>
      </c>
      <c r="E144" s="25" t="s">
        <v>241</v>
      </c>
      <c r="F144" s="25">
        <v>790.0</v>
      </c>
      <c r="G144" s="25">
        <v>40.0</v>
      </c>
      <c r="J144" s="7" t="s">
        <v>772</v>
      </c>
      <c r="K144" s="25">
        <v>53.0</v>
      </c>
      <c r="L144" s="25" t="s">
        <v>371</v>
      </c>
      <c r="M144" s="25">
        <v>787.0</v>
      </c>
      <c r="N144" s="25">
        <v>20.0</v>
      </c>
      <c r="Q144" s="7" t="s">
        <v>773</v>
      </c>
      <c r="R144" s="25">
        <v>54.0</v>
      </c>
      <c r="S144" s="25" t="s">
        <v>241</v>
      </c>
      <c r="T144" s="25">
        <v>893.0</v>
      </c>
      <c r="U144" s="25">
        <v>47.0</v>
      </c>
      <c r="X144" s="7" t="s">
        <v>774</v>
      </c>
      <c r="Y144" s="25">
        <v>53.0</v>
      </c>
      <c r="Z144" s="25" t="s">
        <v>371</v>
      </c>
      <c r="AA144" s="25">
        <v>896.0</v>
      </c>
      <c r="AB144" s="25">
        <v>31.0</v>
      </c>
    </row>
    <row r="145">
      <c r="A145" s="4"/>
      <c r="C145" s="7" t="s">
        <v>775</v>
      </c>
      <c r="D145" s="25">
        <v>55.0</v>
      </c>
      <c r="E145" s="25" t="s">
        <v>239</v>
      </c>
      <c r="F145" s="25">
        <v>778.0</v>
      </c>
      <c r="G145" s="25">
        <v>0.0</v>
      </c>
      <c r="J145" s="7" t="s">
        <v>776</v>
      </c>
      <c r="K145" s="25">
        <v>53.0</v>
      </c>
      <c r="L145" s="25" t="s">
        <v>241</v>
      </c>
      <c r="M145" s="25">
        <v>798.0</v>
      </c>
      <c r="N145" s="25">
        <v>43.0</v>
      </c>
      <c r="Q145" s="7" t="s">
        <v>777</v>
      </c>
      <c r="R145" s="25">
        <v>55.0</v>
      </c>
      <c r="S145" s="25" t="s">
        <v>239</v>
      </c>
      <c r="T145" s="25">
        <v>883.0</v>
      </c>
      <c r="U145" s="25">
        <v>1.0</v>
      </c>
      <c r="X145" s="7" t="s">
        <v>778</v>
      </c>
      <c r="Y145" s="25">
        <v>53.0</v>
      </c>
      <c r="Z145" s="25" t="s">
        <v>241</v>
      </c>
      <c r="AA145" s="25">
        <v>909.0</v>
      </c>
      <c r="AB145" s="25">
        <v>57.0</v>
      </c>
    </row>
    <row r="146">
      <c r="A146" s="4"/>
      <c r="C146" s="7" t="s">
        <v>779</v>
      </c>
      <c r="D146" s="25">
        <v>55.0</v>
      </c>
      <c r="E146" s="25" t="s">
        <v>371</v>
      </c>
      <c r="F146" s="25">
        <v>810.0</v>
      </c>
      <c r="G146" s="25">
        <f>F146-F145</f>
        <v>32</v>
      </c>
      <c r="J146" s="7" t="s">
        <v>780</v>
      </c>
      <c r="K146" s="25">
        <v>54.0</v>
      </c>
      <c r="L146" s="25" t="s">
        <v>239</v>
      </c>
      <c r="M146" s="25">
        <v>787.0</v>
      </c>
      <c r="N146" s="25">
        <v>0.0</v>
      </c>
      <c r="Q146" s="7" t="s">
        <v>781</v>
      </c>
      <c r="R146" s="25">
        <v>55.0</v>
      </c>
      <c r="S146" s="25" t="s">
        <v>371</v>
      </c>
      <c r="T146" s="25">
        <v>918.0</v>
      </c>
      <c r="U146" s="25">
        <v>25.0</v>
      </c>
      <c r="X146" s="7" t="s">
        <v>782</v>
      </c>
      <c r="Y146" s="25">
        <v>54.0</v>
      </c>
      <c r="Z146" s="25" t="s">
        <v>239</v>
      </c>
      <c r="AA146" s="25">
        <v>896.0</v>
      </c>
      <c r="AB146" s="25">
        <v>0.0</v>
      </c>
    </row>
    <row r="147">
      <c r="A147" s="4"/>
      <c r="C147" s="7" t="s">
        <v>783</v>
      </c>
      <c r="D147" s="25">
        <v>55.0</v>
      </c>
      <c r="E147" s="25" t="s">
        <v>241</v>
      </c>
      <c r="F147" s="25">
        <v>822.0</v>
      </c>
      <c r="G147" s="25">
        <v>44.0</v>
      </c>
      <c r="J147" s="7" t="s">
        <v>784</v>
      </c>
      <c r="K147" s="25">
        <v>54.0</v>
      </c>
      <c r="L147" s="25" t="s">
        <v>371</v>
      </c>
      <c r="M147" s="25">
        <v>820.0</v>
      </c>
      <c r="N147" s="25">
        <v>22.0</v>
      </c>
      <c r="Q147" s="7" t="s">
        <v>785</v>
      </c>
      <c r="R147" s="25">
        <v>55.0</v>
      </c>
      <c r="S147" s="25" t="s">
        <v>241</v>
      </c>
      <c r="T147" s="25">
        <v>931.0</v>
      </c>
      <c r="U147" s="25">
        <v>48.0</v>
      </c>
      <c r="X147" s="7" t="s">
        <v>786</v>
      </c>
      <c r="Y147" s="25">
        <v>54.0</v>
      </c>
      <c r="Z147" s="25" t="s">
        <v>371</v>
      </c>
      <c r="AA147" s="25">
        <v>946.0</v>
      </c>
      <c r="AB147" s="25">
        <v>37.0</v>
      </c>
    </row>
    <row r="148">
      <c r="A148" s="4"/>
      <c r="C148" s="7" t="s">
        <v>787</v>
      </c>
      <c r="D148" s="25">
        <v>56.0</v>
      </c>
      <c r="E148" s="25" t="s">
        <v>239</v>
      </c>
      <c r="F148" s="25">
        <v>810.0</v>
      </c>
      <c r="G148" s="25">
        <v>0.0</v>
      </c>
      <c r="J148" s="7" t="s">
        <v>788</v>
      </c>
      <c r="K148" s="25">
        <v>54.0</v>
      </c>
      <c r="L148" s="25" t="s">
        <v>241</v>
      </c>
      <c r="M148" s="25">
        <v>833.0</v>
      </c>
      <c r="N148" s="25">
        <v>46.0</v>
      </c>
      <c r="Q148" s="7" t="s">
        <v>789</v>
      </c>
      <c r="R148" s="25">
        <v>56.0</v>
      </c>
      <c r="S148" s="25" t="s">
        <v>239</v>
      </c>
      <c r="T148" s="25">
        <v>918.0</v>
      </c>
      <c r="U148" s="25">
        <v>0.0</v>
      </c>
      <c r="X148" s="7" t="s">
        <v>790</v>
      </c>
      <c r="Y148" s="25">
        <v>54.0</v>
      </c>
      <c r="Z148" s="25" t="s">
        <v>241</v>
      </c>
      <c r="AA148" s="25">
        <v>957.0</v>
      </c>
      <c r="AB148" s="25">
        <v>61.0</v>
      </c>
    </row>
    <row r="149">
      <c r="A149" s="4"/>
      <c r="C149" s="7" t="s">
        <v>791</v>
      </c>
      <c r="D149" s="25">
        <v>56.0</v>
      </c>
      <c r="E149" s="25" t="s">
        <v>371</v>
      </c>
      <c r="F149" s="25">
        <v>849.0</v>
      </c>
      <c r="G149" s="25">
        <f>F149-F148</f>
        <v>39</v>
      </c>
      <c r="J149" s="7" t="s">
        <v>792</v>
      </c>
      <c r="K149" s="25">
        <v>55.0</v>
      </c>
      <c r="L149" s="25" t="s">
        <v>239</v>
      </c>
      <c r="M149" s="25">
        <v>820.0</v>
      </c>
      <c r="N149" s="25">
        <v>0.0</v>
      </c>
      <c r="Q149" s="7" t="s">
        <v>793</v>
      </c>
      <c r="R149" s="25">
        <v>56.0</v>
      </c>
      <c r="S149" s="25" t="s">
        <v>371</v>
      </c>
      <c r="T149" s="25">
        <v>968.0</v>
      </c>
      <c r="U149" s="25">
        <v>37.0</v>
      </c>
      <c r="X149" s="7" t="s">
        <v>794</v>
      </c>
      <c r="Y149" s="25">
        <v>55.0</v>
      </c>
      <c r="Z149" s="25" t="s">
        <v>239</v>
      </c>
      <c r="AA149" s="25">
        <v>946.0</v>
      </c>
      <c r="AB149" s="25">
        <v>0.0</v>
      </c>
    </row>
    <row r="150">
      <c r="A150" s="4"/>
      <c r="C150" s="7" t="s">
        <v>795</v>
      </c>
      <c r="D150" s="25">
        <v>56.0</v>
      </c>
      <c r="E150" s="25" t="s">
        <v>241</v>
      </c>
      <c r="F150" s="25">
        <v>861.0</v>
      </c>
      <c r="G150" s="25">
        <v>51.0</v>
      </c>
      <c r="J150" s="7" t="s">
        <v>796</v>
      </c>
      <c r="K150" s="25">
        <v>55.0</v>
      </c>
      <c r="L150" s="25" t="s">
        <v>371</v>
      </c>
      <c r="M150" s="25">
        <v>861.0</v>
      </c>
      <c r="N150" s="25">
        <v>28.0</v>
      </c>
      <c r="Q150" s="7" t="s">
        <v>797</v>
      </c>
      <c r="R150" s="25">
        <v>56.0</v>
      </c>
      <c r="S150" s="25" t="s">
        <v>241</v>
      </c>
      <c r="T150" s="25">
        <v>980.0</v>
      </c>
      <c r="U150" s="25">
        <v>62.0</v>
      </c>
      <c r="X150" s="7" t="s">
        <v>798</v>
      </c>
      <c r="Y150" s="25">
        <v>55.0</v>
      </c>
      <c r="Z150" s="25" t="s">
        <v>371</v>
      </c>
      <c r="AA150" s="25">
        <v>1006.0</v>
      </c>
      <c r="AB150" s="25">
        <v>49.0</v>
      </c>
    </row>
    <row r="151">
      <c r="A151" s="4"/>
      <c r="C151" s="7" t="s">
        <v>799</v>
      </c>
      <c r="D151" s="25">
        <v>57.0</v>
      </c>
      <c r="E151" s="25" t="s">
        <v>239</v>
      </c>
      <c r="F151" s="25">
        <v>849.0</v>
      </c>
      <c r="G151" s="25">
        <v>0.0</v>
      </c>
      <c r="J151" s="7" t="s">
        <v>800</v>
      </c>
      <c r="K151" s="25">
        <v>55.0</v>
      </c>
      <c r="L151" s="25" t="s">
        <v>241</v>
      </c>
      <c r="M151" s="25">
        <v>873.0</v>
      </c>
      <c r="N151" s="25">
        <v>53.0</v>
      </c>
      <c r="Q151" s="7" t="s">
        <v>801</v>
      </c>
      <c r="R151" s="25">
        <v>57.0</v>
      </c>
      <c r="S151" s="25" t="s">
        <v>239</v>
      </c>
      <c r="T151" s="25">
        <v>968.0</v>
      </c>
      <c r="U151" s="25">
        <v>0.0</v>
      </c>
      <c r="X151" s="7" t="s">
        <v>802</v>
      </c>
      <c r="Y151" s="25">
        <v>55.0</v>
      </c>
      <c r="Z151" s="25" t="s">
        <v>241</v>
      </c>
      <c r="AA151" s="25">
        <v>1019.0</v>
      </c>
      <c r="AB151" s="25">
        <v>73.0</v>
      </c>
    </row>
    <row r="152">
      <c r="A152" s="4"/>
      <c r="C152" s="7" t="s">
        <v>803</v>
      </c>
      <c r="D152" s="25">
        <v>57.0</v>
      </c>
      <c r="E152" s="25" t="s">
        <v>371</v>
      </c>
      <c r="F152" s="25">
        <v>890.0</v>
      </c>
      <c r="G152" s="25">
        <f>F152-F151</f>
        <v>41</v>
      </c>
      <c r="J152" s="7" t="s">
        <v>804</v>
      </c>
      <c r="K152" s="25">
        <v>56.0</v>
      </c>
      <c r="L152" s="25" t="s">
        <v>239</v>
      </c>
      <c r="M152" s="25">
        <v>861.0</v>
      </c>
      <c r="N152" s="25">
        <v>0.0</v>
      </c>
      <c r="Q152" s="7" t="s">
        <v>805</v>
      </c>
      <c r="R152" s="25">
        <v>57.0</v>
      </c>
      <c r="S152" s="25" t="s">
        <v>371</v>
      </c>
      <c r="T152" s="25">
        <v>1024.0</v>
      </c>
      <c r="U152" s="25">
        <v>44.0</v>
      </c>
      <c r="X152" s="7" t="s">
        <v>806</v>
      </c>
      <c r="Y152" s="25">
        <v>56.0</v>
      </c>
      <c r="Z152" s="25" t="s">
        <v>239</v>
      </c>
      <c r="AA152" s="25">
        <v>1006.0</v>
      </c>
      <c r="AB152" s="25">
        <v>0.0</v>
      </c>
    </row>
    <row r="153">
      <c r="A153" s="4"/>
      <c r="C153" s="7" t="s">
        <v>807</v>
      </c>
      <c r="D153" s="25">
        <v>57.0</v>
      </c>
      <c r="E153" s="25" t="s">
        <v>241</v>
      </c>
      <c r="F153" s="25">
        <v>903.0</v>
      </c>
      <c r="G153" s="25">
        <v>54.0</v>
      </c>
      <c r="J153" s="7" t="s">
        <v>808</v>
      </c>
      <c r="K153" s="25">
        <v>56.0</v>
      </c>
      <c r="L153" s="25" t="s">
        <v>371</v>
      </c>
      <c r="M153" s="25">
        <v>906.0</v>
      </c>
      <c r="N153" s="25">
        <v>33.0</v>
      </c>
      <c r="Q153" s="7" t="s">
        <v>809</v>
      </c>
      <c r="R153" s="25">
        <v>57.0</v>
      </c>
      <c r="S153" s="25" t="s">
        <v>241</v>
      </c>
      <c r="T153" s="25">
        <v>1035.0</v>
      </c>
      <c r="U153" s="25">
        <v>67.0</v>
      </c>
      <c r="X153" s="7" t="s">
        <v>810</v>
      </c>
      <c r="Y153" s="25">
        <v>56.0</v>
      </c>
      <c r="Z153" s="25" t="s">
        <v>371</v>
      </c>
      <c r="AA153" s="25">
        <v>1085.0</v>
      </c>
      <c r="AB153" s="25">
        <v>66.0</v>
      </c>
    </row>
    <row r="154">
      <c r="A154" s="4"/>
      <c r="C154" s="7" t="s">
        <v>811</v>
      </c>
      <c r="D154" s="25">
        <v>58.0</v>
      </c>
      <c r="E154" s="25" t="s">
        <v>239</v>
      </c>
      <c r="F154" s="25">
        <v>890.0</v>
      </c>
      <c r="G154" s="25">
        <v>0.0</v>
      </c>
      <c r="J154" s="7" t="s">
        <v>812</v>
      </c>
      <c r="K154" s="25">
        <v>56.0</v>
      </c>
      <c r="L154" s="25" t="s">
        <v>241</v>
      </c>
      <c r="M154" s="25">
        <v>919.0</v>
      </c>
      <c r="N154" s="25">
        <v>58.0</v>
      </c>
      <c r="Q154" s="7" t="s">
        <v>813</v>
      </c>
      <c r="R154" s="25">
        <v>58.0</v>
      </c>
      <c r="S154" s="25" t="s">
        <v>239</v>
      </c>
      <c r="T154" s="25">
        <v>1024.0</v>
      </c>
      <c r="U154" s="25">
        <v>0.0</v>
      </c>
      <c r="X154" s="7" t="s">
        <v>814</v>
      </c>
      <c r="Y154" s="25">
        <v>56.0</v>
      </c>
      <c r="Z154" s="25" t="s">
        <v>241</v>
      </c>
      <c r="AA154" s="25">
        <v>1098.0</v>
      </c>
      <c r="AB154" s="25">
        <v>92.0</v>
      </c>
    </row>
    <row r="155">
      <c r="A155" s="4"/>
      <c r="C155" s="7" t="s">
        <v>815</v>
      </c>
      <c r="D155" s="25">
        <v>58.0</v>
      </c>
      <c r="E155" s="25" t="s">
        <v>371</v>
      </c>
      <c r="F155" s="25">
        <v>936.0</v>
      </c>
      <c r="G155" s="25">
        <f>F155-F154</f>
        <v>46</v>
      </c>
      <c r="J155" s="7" t="s">
        <v>816</v>
      </c>
      <c r="K155" s="25">
        <v>57.0</v>
      </c>
      <c r="L155" s="25" t="s">
        <v>239</v>
      </c>
      <c r="M155" s="25">
        <v>906.0</v>
      </c>
      <c r="N155" s="25">
        <v>0.0</v>
      </c>
      <c r="Q155" s="7" t="s">
        <v>817</v>
      </c>
      <c r="R155" s="25">
        <v>58.0</v>
      </c>
      <c r="S155" s="25" t="s">
        <v>371</v>
      </c>
      <c r="T155" s="25">
        <v>1087.0</v>
      </c>
      <c r="U155" s="25">
        <v>52.0</v>
      </c>
      <c r="X155" s="7" t="s">
        <v>818</v>
      </c>
      <c r="Y155" s="25">
        <v>57.0</v>
      </c>
      <c r="Z155" s="25" t="s">
        <v>239</v>
      </c>
      <c r="AA155" s="25">
        <v>1085.0</v>
      </c>
      <c r="AB155" s="25">
        <v>0.0</v>
      </c>
    </row>
    <row r="156">
      <c r="A156" s="4"/>
      <c r="C156" s="7" t="s">
        <v>819</v>
      </c>
      <c r="D156" s="25">
        <v>58.0</v>
      </c>
      <c r="E156" s="25" t="s">
        <v>241</v>
      </c>
      <c r="F156" s="25">
        <v>949.0</v>
      </c>
      <c r="G156" s="25">
        <v>59.0</v>
      </c>
      <c r="J156" s="7" t="s">
        <v>820</v>
      </c>
      <c r="K156" s="25">
        <v>57.0</v>
      </c>
      <c r="L156" s="25" t="s">
        <v>371</v>
      </c>
      <c r="M156" s="25">
        <v>959.0</v>
      </c>
      <c r="N156" s="25">
        <v>40.0</v>
      </c>
      <c r="Q156" s="7" t="s">
        <v>821</v>
      </c>
      <c r="R156" s="25">
        <v>58.0</v>
      </c>
      <c r="S156" s="25" t="s">
        <v>241</v>
      </c>
      <c r="T156" s="25">
        <v>1099.0</v>
      </c>
      <c r="U156" s="25">
        <v>75.0</v>
      </c>
      <c r="X156" s="7" t="s">
        <v>822</v>
      </c>
      <c r="Y156" s="25">
        <v>57.0</v>
      </c>
      <c r="Z156" s="25" t="s">
        <v>371</v>
      </c>
      <c r="AA156" s="25">
        <v>1184.0</v>
      </c>
      <c r="AB156" s="25">
        <v>86.0</v>
      </c>
    </row>
    <row r="157">
      <c r="A157" s="4"/>
      <c r="C157" s="7" t="s">
        <v>823</v>
      </c>
      <c r="D157" s="25">
        <v>59.0</v>
      </c>
      <c r="E157" s="25" t="s">
        <v>239</v>
      </c>
      <c r="F157" s="25">
        <v>936.0</v>
      </c>
      <c r="G157" s="25">
        <v>0.0</v>
      </c>
      <c r="J157" s="7" t="s">
        <v>824</v>
      </c>
      <c r="K157" s="25">
        <v>57.0</v>
      </c>
      <c r="L157" s="25" t="s">
        <v>241</v>
      </c>
      <c r="M157" s="25">
        <v>972.0</v>
      </c>
      <c r="N157" s="25">
        <v>66.0</v>
      </c>
      <c r="Q157" s="7" t="s">
        <v>825</v>
      </c>
      <c r="R157" s="25">
        <v>59.0</v>
      </c>
      <c r="S157" s="25" t="s">
        <v>239</v>
      </c>
      <c r="T157" s="25">
        <v>1087.0</v>
      </c>
      <c r="U157" s="25">
        <v>0.0</v>
      </c>
      <c r="X157" s="7" t="s">
        <v>826</v>
      </c>
      <c r="Y157" s="25">
        <v>57.0</v>
      </c>
      <c r="Z157" s="25" t="s">
        <v>241</v>
      </c>
      <c r="AA157" s="25">
        <v>1268.0</v>
      </c>
      <c r="AB157" s="25">
        <v>183.0</v>
      </c>
    </row>
    <row r="158">
      <c r="A158" s="4"/>
      <c r="C158" s="7" t="s">
        <v>827</v>
      </c>
      <c r="D158" s="25">
        <v>59.0</v>
      </c>
      <c r="E158" s="25" t="s">
        <v>371</v>
      </c>
      <c r="F158" s="25">
        <v>988.0</v>
      </c>
      <c r="G158" s="25">
        <f>F158-F157</f>
        <v>52</v>
      </c>
      <c r="J158" s="7" t="s">
        <v>828</v>
      </c>
      <c r="K158" s="25">
        <v>58.0</v>
      </c>
      <c r="L158" s="25" t="s">
        <v>239</v>
      </c>
      <c r="M158" s="25">
        <v>959.0</v>
      </c>
      <c r="N158" s="25">
        <v>0.0</v>
      </c>
      <c r="Q158" s="7" t="s">
        <v>829</v>
      </c>
      <c r="R158" s="25">
        <v>59.0</v>
      </c>
      <c r="S158" s="25" t="s">
        <v>371</v>
      </c>
      <c r="T158" s="25">
        <v>1153.0</v>
      </c>
      <c r="U158" s="25">
        <v>54.0</v>
      </c>
      <c r="X158" s="7" t="s">
        <v>830</v>
      </c>
      <c r="Y158" s="25">
        <v>58.0</v>
      </c>
      <c r="Z158" s="25" t="s">
        <v>239</v>
      </c>
      <c r="AA158" s="25">
        <v>1184.0</v>
      </c>
      <c r="AB158" s="25">
        <v>0.0</v>
      </c>
    </row>
    <row r="159">
      <c r="A159" s="4"/>
      <c r="C159" s="7" t="s">
        <v>831</v>
      </c>
      <c r="D159" s="25">
        <v>59.0</v>
      </c>
      <c r="E159" s="25" t="s">
        <v>241</v>
      </c>
      <c r="F159" s="25">
        <v>999.0</v>
      </c>
      <c r="G159" s="25">
        <v>63.0</v>
      </c>
      <c r="J159" s="7" t="s">
        <v>832</v>
      </c>
      <c r="K159" s="25">
        <v>58.0</v>
      </c>
      <c r="L159" s="25" t="s">
        <v>371</v>
      </c>
      <c r="M159" s="25">
        <v>1016.0</v>
      </c>
      <c r="N159" s="25">
        <v>44.0</v>
      </c>
      <c r="Q159" s="7" t="s">
        <v>833</v>
      </c>
      <c r="R159" s="25">
        <v>59.0</v>
      </c>
      <c r="S159" s="25" t="s">
        <v>241</v>
      </c>
      <c r="T159" s="25">
        <v>1166.0</v>
      </c>
      <c r="U159" s="25">
        <v>79.0</v>
      </c>
      <c r="X159" s="7" t="s">
        <v>834</v>
      </c>
      <c r="Y159" s="25">
        <v>58.0</v>
      </c>
      <c r="Z159" s="25" t="s">
        <v>371</v>
      </c>
      <c r="AA159" s="25">
        <v>1292.0</v>
      </c>
      <c r="AB159" s="25">
        <v>24.0</v>
      </c>
    </row>
    <row r="160">
      <c r="A160" s="4"/>
      <c r="C160" s="7" t="s">
        <v>835</v>
      </c>
      <c r="D160" s="25">
        <v>60.0</v>
      </c>
      <c r="E160" s="25" t="s">
        <v>239</v>
      </c>
      <c r="F160" s="25">
        <v>988.0</v>
      </c>
      <c r="G160" s="25">
        <v>0.0</v>
      </c>
      <c r="J160" s="7" t="s">
        <v>836</v>
      </c>
      <c r="K160" s="25">
        <v>58.0</v>
      </c>
      <c r="L160" s="25" t="s">
        <v>241</v>
      </c>
      <c r="M160" s="25">
        <v>1028.0</v>
      </c>
      <c r="N160" s="25">
        <v>69.0</v>
      </c>
      <c r="Q160" s="7" t="s">
        <v>837</v>
      </c>
      <c r="R160" s="25">
        <v>60.0</v>
      </c>
      <c r="S160" s="25" t="s">
        <v>239</v>
      </c>
      <c r="T160" s="25">
        <v>1153.0</v>
      </c>
      <c r="U160" s="25">
        <v>0.0</v>
      </c>
      <c r="X160" s="7" t="s">
        <v>838</v>
      </c>
      <c r="Y160" s="25">
        <v>58.0</v>
      </c>
      <c r="Z160" s="25" t="s">
        <v>241</v>
      </c>
      <c r="AA160" s="25">
        <v>1334.0</v>
      </c>
      <c r="AB160" s="25">
        <v>150.0</v>
      </c>
    </row>
    <row r="161">
      <c r="A161" s="4"/>
      <c r="C161" s="7" t="s">
        <v>839</v>
      </c>
      <c r="D161" s="25">
        <v>60.0</v>
      </c>
      <c r="E161" s="25" t="s">
        <v>371</v>
      </c>
      <c r="F161" s="25">
        <v>1060.0</v>
      </c>
      <c r="G161" s="25">
        <f>F161-F160</f>
        <v>72</v>
      </c>
      <c r="J161" s="7" t="s">
        <v>840</v>
      </c>
      <c r="K161" s="25">
        <v>59.0</v>
      </c>
      <c r="L161" s="25" t="s">
        <v>239</v>
      </c>
      <c r="M161" s="25">
        <v>1016.0</v>
      </c>
      <c r="N161" s="25">
        <v>0.0</v>
      </c>
      <c r="Q161" s="7" t="s">
        <v>841</v>
      </c>
      <c r="R161" s="25">
        <v>60.0</v>
      </c>
      <c r="S161" s="25" t="s">
        <v>371</v>
      </c>
      <c r="T161" s="25">
        <v>1269.0</v>
      </c>
      <c r="U161" s="25">
        <v>103.0</v>
      </c>
      <c r="X161" s="7" t="s">
        <v>842</v>
      </c>
      <c r="Y161" s="25">
        <v>59.0</v>
      </c>
      <c r="Z161" s="25" t="s">
        <v>239</v>
      </c>
      <c r="AA161" s="25">
        <v>1292.0</v>
      </c>
      <c r="AB161" s="25">
        <v>0.0</v>
      </c>
    </row>
    <row r="162">
      <c r="A162" s="4"/>
      <c r="C162" s="7" t="s">
        <v>843</v>
      </c>
      <c r="D162" s="25">
        <v>60.0</v>
      </c>
      <c r="E162" s="25" t="s">
        <v>241</v>
      </c>
      <c r="F162" s="25">
        <v>1072.0</v>
      </c>
      <c r="G162" s="25">
        <v>84.0</v>
      </c>
      <c r="J162" s="7" t="s">
        <v>844</v>
      </c>
      <c r="K162" s="25">
        <v>59.0</v>
      </c>
      <c r="L162" s="25" t="s">
        <v>371</v>
      </c>
      <c r="M162" s="25">
        <v>1086.0</v>
      </c>
      <c r="N162" s="25">
        <v>58.0</v>
      </c>
      <c r="Q162" s="7" t="s">
        <v>845</v>
      </c>
      <c r="R162" s="25">
        <v>60.0</v>
      </c>
      <c r="S162" s="25" t="s">
        <v>241</v>
      </c>
      <c r="T162" s="25">
        <v>1292.0</v>
      </c>
      <c r="U162" s="25">
        <v>139.0</v>
      </c>
      <c r="X162" s="7" t="s">
        <v>846</v>
      </c>
      <c r="Y162" s="25">
        <v>59.0</v>
      </c>
      <c r="Z162" s="25" t="s">
        <v>371</v>
      </c>
      <c r="AA162" s="25">
        <v>1429.0</v>
      </c>
      <c r="AB162" s="25">
        <v>95.0</v>
      </c>
    </row>
    <row r="163">
      <c r="A163" s="4"/>
      <c r="C163" s="7" t="s">
        <v>847</v>
      </c>
      <c r="D163" s="25">
        <v>61.0</v>
      </c>
      <c r="E163" s="25" t="s">
        <v>239</v>
      </c>
      <c r="F163" s="25">
        <v>1060.0</v>
      </c>
      <c r="G163" s="25">
        <v>0.0</v>
      </c>
      <c r="J163" s="7" t="s">
        <v>848</v>
      </c>
      <c r="K163" s="25">
        <v>59.0</v>
      </c>
      <c r="L163" s="25" t="s">
        <v>241</v>
      </c>
      <c r="M163" s="25">
        <v>1097.0</v>
      </c>
      <c r="N163" s="25">
        <v>81.0</v>
      </c>
      <c r="Q163" s="7" t="s">
        <v>849</v>
      </c>
      <c r="R163" s="25">
        <v>61.0</v>
      </c>
      <c r="S163" s="25" t="s">
        <v>239</v>
      </c>
      <c r="T163" s="25">
        <v>1269.0</v>
      </c>
      <c r="U163" s="25">
        <v>0.0</v>
      </c>
      <c r="X163" s="7" t="s">
        <v>850</v>
      </c>
      <c r="Y163" s="25">
        <v>59.0</v>
      </c>
      <c r="Z163" s="25" t="s">
        <v>241</v>
      </c>
      <c r="AA163" s="25">
        <v>1442.0</v>
      </c>
      <c r="AB163" s="25">
        <v>150.0</v>
      </c>
    </row>
    <row r="164">
      <c r="A164" s="4"/>
      <c r="C164" s="7" t="s">
        <v>851</v>
      </c>
      <c r="D164" s="25">
        <v>61.0</v>
      </c>
      <c r="E164" s="25" t="s">
        <v>371</v>
      </c>
      <c r="F164" s="25">
        <v>1130.0</v>
      </c>
      <c r="G164" s="25">
        <f>F164-F163</f>
        <v>70</v>
      </c>
      <c r="J164" s="7" t="s">
        <v>852</v>
      </c>
      <c r="K164" s="25">
        <v>60.0</v>
      </c>
      <c r="L164" s="25" t="s">
        <v>239</v>
      </c>
      <c r="M164" s="25">
        <v>1086.0</v>
      </c>
      <c r="N164" s="25">
        <v>0.0</v>
      </c>
      <c r="Q164" s="7" t="s">
        <v>853</v>
      </c>
      <c r="R164" s="25">
        <v>61.0</v>
      </c>
      <c r="S164" s="25" t="s">
        <v>371</v>
      </c>
      <c r="T164" s="25">
        <v>1371.0</v>
      </c>
      <c r="U164" s="25">
        <v>79.0</v>
      </c>
      <c r="X164" s="7" t="s">
        <v>854</v>
      </c>
      <c r="Y164" s="25">
        <v>60.0</v>
      </c>
      <c r="Z164" s="25" t="s">
        <v>239</v>
      </c>
      <c r="AA164" s="25">
        <v>1429.0</v>
      </c>
      <c r="AB164" s="25">
        <v>0.0</v>
      </c>
    </row>
    <row r="165">
      <c r="A165" s="4"/>
      <c r="C165" s="7" t="s">
        <v>855</v>
      </c>
      <c r="D165" s="25">
        <v>61.0</v>
      </c>
      <c r="E165" s="25" t="s">
        <v>241</v>
      </c>
      <c r="F165" s="25">
        <v>1143.0</v>
      </c>
      <c r="G165" s="25">
        <v>83.0</v>
      </c>
      <c r="J165" s="7" t="s">
        <v>856</v>
      </c>
      <c r="K165" s="25">
        <v>60.0</v>
      </c>
      <c r="L165" s="25" t="s">
        <v>371</v>
      </c>
      <c r="M165" s="25">
        <v>1174.0</v>
      </c>
      <c r="N165" s="25">
        <v>77.0</v>
      </c>
      <c r="Q165" s="7" t="s">
        <v>857</v>
      </c>
      <c r="R165" s="25">
        <v>61.0</v>
      </c>
      <c r="S165" s="25" t="s">
        <v>241</v>
      </c>
      <c r="T165" s="25">
        <v>1384.0</v>
      </c>
      <c r="U165" s="25">
        <v>115.0</v>
      </c>
      <c r="X165" s="7" t="s">
        <v>858</v>
      </c>
      <c r="Y165" s="25">
        <v>60.0</v>
      </c>
      <c r="Z165" s="25" t="s">
        <v>371</v>
      </c>
      <c r="AA165" s="25">
        <v>1603.0</v>
      </c>
      <c r="AB165" s="25">
        <v>161.0</v>
      </c>
    </row>
    <row r="166">
      <c r="A166" s="4"/>
      <c r="C166" s="7" t="s">
        <v>859</v>
      </c>
      <c r="D166" s="25">
        <v>62.0</v>
      </c>
      <c r="E166" s="25" t="s">
        <v>239</v>
      </c>
      <c r="F166" s="25">
        <v>1130.0</v>
      </c>
      <c r="G166" s="25">
        <v>0.0</v>
      </c>
      <c r="J166" s="7" t="s">
        <v>860</v>
      </c>
      <c r="K166" s="25">
        <v>60.0</v>
      </c>
      <c r="L166" s="25" t="s">
        <v>241</v>
      </c>
      <c r="M166" s="25">
        <v>1186.0</v>
      </c>
      <c r="N166" s="25">
        <v>100.0</v>
      </c>
      <c r="Q166" s="7" t="s">
        <v>861</v>
      </c>
      <c r="R166" s="25">
        <v>62.0</v>
      </c>
      <c r="S166" s="25" t="s">
        <v>239</v>
      </c>
      <c r="T166" s="25">
        <v>1371.0</v>
      </c>
      <c r="U166" s="25">
        <v>0.0</v>
      </c>
      <c r="X166" s="7" t="s">
        <v>862</v>
      </c>
      <c r="Y166" s="25">
        <v>60.0</v>
      </c>
      <c r="Z166" s="25" t="s">
        <v>241</v>
      </c>
      <c r="AA166" s="25">
        <v>1627.0</v>
      </c>
      <c r="AB166" s="25">
        <v>198.0</v>
      </c>
    </row>
    <row r="167">
      <c r="A167" s="4"/>
      <c r="C167" s="7" t="s">
        <v>863</v>
      </c>
      <c r="D167" s="25">
        <v>62.0</v>
      </c>
      <c r="E167" s="25" t="s">
        <v>371</v>
      </c>
      <c r="F167" s="25">
        <v>1215.0</v>
      </c>
      <c r="G167" s="25">
        <f>F167-F166</f>
        <v>85</v>
      </c>
      <c r="J167" s="7" t="s">
        <v>864</v>
      </c>
      <c r="K167" s="25">
        <v>61.0</v>
      </c>
      <c r="L167" s="25" t="s">
        <v>239</v>
      </c>
      <c r="M167" s="25">
        <v>1174.0</v>
      </c>
      <c r="N167" s="25">
        <v>0.0</v>
      </c>
      <c r="Q167" s="7" t="s">
        <v>865</v>
      </c>
      <c r="R167" s="25">
        <v>62.0</v>
      </c>
      <c r="S167" s="25" t="s">
        <v>371</v>
      </c>
      <c r="T167" s="25">
        <v>1487.0</v>
      </c>
      <c r="U167" s="25">
        <v>103.0</v>
      </c>
      <c r="X167" s="7" t="s">
        <v>866</v>
      </c>
      <c r="Y167" s="25">
        <v>61.0</v>
      </c>
      <c r="Z167" s="25" t="s">
        <v>239</v>
      </c>
      <c r="AA167" s="25">
        <v>1603.0</v>
      </c>
      <c r="AB167" s="25">
        <v>0.0</v>
      </c>
    </row>
    <row r="168">
      <c r="A168" s="4"/>
      <c r="C168" s="7" t="s">
        <v>867</v>
      </c>
      <c r="D168" s="25">
        <v>62.0</v>
      </c>
      <c r="E168" s="25" t="s">
        <v>241</v>
      </c>
      <c r="F168" s="25">
        <v>1228.0</v>
      </c>
      <c r="G168" s="25">
        <v>98.0</v>
      </c>
      <c r="J168" s="7" t="s">
        <v>868</v>
      </c>
      <c r="K168" s="25">
        <v>61.0</v>
      </c>
      <c r="L168" s="25" t="s">
        <v>371</v>
      </c>
      <c r="M168" s="25">
        <v>1267.0</v>
      </c>
      <c r="N168" s="25">
        <v>81.0</v>
      </c>
      <c r="Q168" s="7" t="s">
        <v>869</v>
      </c>
      <c r="R168" s="25">
        <v>62.0</v>
      </c>
      <c r="S168" s="25" t="s">
        <v>241</v>
      </c>
      <c r="T168" s="25">
        <v>1500.0</v>
      </c>
      <c r="U168" s="25">
        <v>129.0</v>
      </c>
      <c r="X168" s="7" t="s">
        <v>870</v>
      </c>
      <c r="Y168" s="25">
        <v>61.0</v>
      </c>
      <c r="Z168" s="25" t="s">
        <v>371</v>
      </c>
      <c r="AA168" s="25">
        <v>1807.0</v>
      </c>
      <c r="AB168" s="25">
        <v>180.0</v>
      </c>
    </row>
    <row r="169">
      <c r="A169" s="4"/>
      <c r="C169" s="7" t="s">
        <v>871</v>
      </c>
      <c r="D169" s="25">
        <v>63.0</v>
      </c>
      <c r="E169" s="25" t="s">
        <v>239</v>
      </c>
      <c r="F169" s="25">
        <v>1215.0</v>
      </c>
      <c r="G169" s="25">
        <v>0.0</v>
      </c>
      <c r="J169" s="7" t="s">
        <v>872</v>
      </c>
      <c r="K169" s="25">
        <v>61.0</v>
      </c>
      <c r="L169" s="25" t="s">
        <v>241</v>
      </c>
      <c r="M169" s="25">
        <v>1280.0</v>
      </c>
      <c r="N169" s="25">
        <v>106.0</v>
      </c>
      <c r="Q169" s="7" t="s">
        <v>873</v>
      </c>
      <c r="R169" s="25">
        <v>63.0</v>
      </c>
      <c r="S169" s="25" t="s">
        <v>239</v>
      </c>
      <c r="T169" s="25">
        <v>1487.0</v>
      </c>
      <c r="U169" s="25">
        <v>0.0</v>
      </c>
      <c r="X169" s="7" t="s">
        <v>874</v>
      </c>
      <c r="Y169" s="25">
        <v>61.0</v>
      </c>
      <c r="Z169" s="25" t="s">
        <v>241</v>
      </c>
      <c r="AA169" s="25">
        <v>1819.0</v>
      </c>
      <c r="AB169" s="25">
        <v>216.0</v>
      </c>
    </row>
    <row r="170">
      <c r="A170" s="4"/>
      <c r="C170" s="7" t="s">
        <v>875</v>
      </c>
      <c r="D170" s="25">
        <v>63.0</v>
      </c>
      <c r="E170" s="25" t="s">
        <v>371</v>
      </c>
      <c r="F170" s="25">
        <v>1317.0</v>
      </c>
      <c r="G170" s="25">
        <f>F170-F169</f>
        <v>102</v>
      </c>
      <c r="J170" s="7" t="s">
        <v>876</v>
      </c>
      <c r="K170" s="25">
        <v>62.0</v>
      </c>
      <c r="L170" s="25" t="s">
        <v>239</v>
      </c>
      <c r="M170" s="25">
        <v>1267.0</v>
      </c>
      <c r="N170" s="25">
        <v>0.0</v>
      </c>
      <c r="Q170" s="7" t="s">
        <v>877</v>
      </c>
      <c r="R170" s="25">
        <v>63.0</v>
      </c>
      <c r="S170" s="25" t="s">
        <v>371</v>
      </c>
      <c r="T170" s="25">
        <v>1643.0</v>
      </c>
      <c r="U170" s="25">
        <v>143.0</v>
      </c>
      <c r="X170" s="7" t="s">
        <v>878</v>
      </c>
      <c r="Y170" s="25">
        <v>62.0</v>
      </c>
      <c r="Z170" s="25" t="s">
        <v>239</v>
      </c>
      <c r="AA170" s="25">
        <v>1807.0</v>
      </c>
      <c r="AB170" s="25">
        <v>0.0</v>
      </c>
    </row>
    <row r="171">
      <c r="A171" s="4"/>
      <c r="C171" s="7" t="s">
        <v>879</v>
      </c>
      <c r="D171" s="25">
        <v>63.0</v>
      </c>
      <c r="E171" s="25" t="s">
        <v>241</v>
      </c>
      <c r="F171" s="25">
        <v>1329.0</v>
      </c>
      <c r="G171" s="25">
        <v>114.0</v>
      </c>
      <c r="J171" s="7" t="s">
        <v>880</v>
      </c>
      <c r="K171" s="25">
        <v>62.0</v>
      </c>
      <c r="L171" s="25" t="s">
        <v>371</v>
      </c>
      <c r="M171" s="25">
        <v>1373.0</v>
      </c>
      <c r="N171" s="25">
        <v>93.0</v>
      </c>
      <c r="Q171" s="7" t="s">
        <v>881</v>
      </c>
      <c r="R171" s="25">
        <v>63.0</v>
      </c>
      <c r="S171" s="25" t="s">
        <v>241</v>
      </c>
      <c r="T171" s="25">
        <v>1654.0</v>
      </c>
      <c r="U171" s="25">
        <v>167.0</v>
      </c>
      <c r="X171" s="7" t="s">
        <v>882</v>
      </c>
      <c r="Y171" s="25">
        <v>62.0</v>
      </c>
      <c r="Z171" s="25" t="s">
        <v>371</v>
      </c>
      <c r="AA171" s="25">
        <v>2040.0</v>
      </c>
      <c r="AB171" s="25">
        <v>221.0</v>
      </c>
    </row>
    <row r="172">
      <c r="A172" s="4"/>
      <c r="C172" s="7" t="s">
        <v>883</v>
      </c>
      <c r="D172" s="25">
        <v>64.0</v>
      </c>
      <c r="E172" s="25" t="s">
        <v>239</v>
      </c>
      <c r="F172" s="25">
        <v>1317.0</v>
      </c>
      <c r="G172" s="25">
        <v>0.0</v>
      </c>
      <c r="J172" s="7" t="s">
        <v>884</v>
      </c>
      <c r="K172" s="25">
        <v>62.0</v>
      </c>
      <c r="L172" s="25" t="s">
        <v>241</v>
      </c>
      <c r="M172" s="25">
        <v>1385.0</v>
      </c>
      <c r="N172" s="25">
        <v>118.0</v>
      </c>
      <c r="Q172" s="7" t="s">
        <v>885</v>
      </c>
      <c r="R172" s="25">
        <v>64.0</v>
      </c>
      <c r="S172" s="25" t="s">
        <v>239</v>
      </c>
      <c r="T172" s="25">
        <v>1643.0</v>
      </c>
      <c r="U172" s="25">
        <v>0.0</v>
      </c>
      <c r="X172" s="7" t="s">
        <v>886</v>
      </c>
      <c r="Y172" s="25">
        <v>62.0</v>
      </c>
      <c r="Z172" s="25" t="s">
        <v>241</v>
      </c>
      <c r="AA172" s="25">
        <v>2281.0</v>
      </c>
      <c r="AB172" s="25">
        <v>474.0</v>
      </c>
    </row>
    <row r="173">
      <c r="A173" s="4"/>
      <c r="C173" s="7" t="s">
        <v>887</v>
      </c>
      <c r="D173" s="25">
        <v>64.0</v>
      </c>
      <c r="E173" s="25" t="s">
        <v>371</v>
      </c>
      <c r="F173" s="25">
        <v>1447.0</v>
      </c>
      <c r="G173" s="25">
        <f>F173-F172</f>
        <v>130</v>
      </c>
      <c r="J173" s="7" t="s">
        <v>888</v>
      </c>
      <c r="K173" s="25">
        <v>63.0</v>
      </c>
      <c r="L173" s="25" t="s">
        <v>239</v>
      </c>
      <c r="M173" s="25">
        <v>1373.0</v>
      </c>
      <c r="N173" s="25">
        <v>0.0</v>
      </c>
      <c r="Q173" s="7" t="s">
        <v>889</v>
      </c>
      <c r="R173" s="25">
        <v>64.0</v>
      </c>
      <c r="S173" s="25" t="s">
        <v>371</v>
      </c>
      <c r="T173" s="25">
        <v>1898.0</v>
      </c>
      <c r="U173" s="25">
        <v>244.0</v>
      </c>
      <c r="X173" s="7" t="s">
        <v>890</v>
      </c>
      <c r="Y173" s="25">
        <v>63.0</v>
      </c>
      <c r="Z173" s="25" t="s">
        <v>239</v>
      </c>
      <c r="AA173" s="25">
        <v>2040.0</v>
      </c>
      <c r="AB173" s="25">
        <v>0.0</v>
      </c>
    </row>
    <row r="174">
      <c r="A174" s="4"/>
      <c r="C174" s="7" t="s">
        <v>891</v>
      </c>
      <c r="D174" s="25">
        <v>64.0</v>
      </c>
      <c r="E174" s="25" t="s">
        <v>241</v>
      </c>
      <c r="F174" s="25">
        <v>1459.0</v>
      </c>
      <c r="G174" s="25">
        <v>142.0</v>
      </c>
      <c r="J174" s="7" t="s">
        <v>892</v>
      </c>
      <c r="K174" s="25">
        <v>63.0</v>
      </c>
      <c r="L174" s="25" t="s">
        <v>371</v>
      </c>
      <c r="M174" s="25">
        <v>1506.0</v>
      </c>
      <c r="N174" s="25">
        <v>121.0</v>
      </c>
      <c r="Q174" s="7" t="s">
        <v>893</v>
      </c>
      <c r="R174" s="25">
        <v>64.0</v>
      </c>
      <c r="S174" s="25" t="s">
        <v>241</v>
      </c>
      <c r="T174" s="25">
        <v>1977.0</v>
      </c>
      <c r="U174" s="25">
        <v>334.0</v>
      </c>
      <c r="X174" s="7" t="s">
        <v>894</v>
      </c>
      <c r="Y174" s="25">
        <v>63.0</v>
      </c>
      <c r="Z174" s="25" t="s">
        <v>371</v>
      </c>
      <c r="AA174" s="25">
        <v>2398.0</v>
      </c>
      <c r="AB174" s="25">
        <v>117.0</v>
      </c>
    </row>
    <row r="175">
      <c r="A175" s="4"/>
      <c r="C175" s="7" t="s">
        <v>895</v>
      </c>
      <c r="D175" s="25">
        <v>65.0</v>
      </c>
      <c r="E175" s="25" t="s">
        <v>239</v>
      </c>
      <c r="F175" s="25">
        <v>1447.0</v>
      </c>
      <c r="G175" s="25">
        <v>0.0</v>
      </c>
      <c r="J175" s="7" t="s">
        <v>896</v>
      </c>
      <c r="K175" s="25">
        <v>63.0</v>
      </c>
      <c r="L175" s="25" t="s">
        <v>241</v>
      </c>
      <c r="M175" s="25">
        <v>1519.0</v>
      </c>
      <c r="N175" s="25">
        <v>146.0</v>
      </c>
      <c r="Q175" s="7" t="s">
        <v>897</v>
      </c>
      <c r="R175" s="25">
        <v>65.0</v>
      </c>
      <c r="S175" s="25" t="s">
        <v>239</v>
      </c>
      <c r="T175" s="25">
        <v>1898.0</v>
      </c>
      <c r="U175" s="25">
        <v>0.0</v>
      </c>
      <c r="X175" s="7" t="s">
        <v>898</v>
      </c>
      <c r="Y175" s="25">
        <v>63.0</v>
      </c>
      <c r="Z175" s="25" t="s">
        <v>241</v>
      </c>
      <c r="AA175" s="25">
        <v>2602.0</v>
      </c>
      <c r="AB175" s="25">
        <v>562.0</v>
      </c>
    </row>
    <row r="176">
      <c r="A176" s="4"/>
      <c r="C176" s="7" t="s">
        <v>899</v>
      </c>
      <c r="D176" s="25">
        <v>65.0</v>
      </c>
      <c r="E176" s="25" t="s">
        <v>371</v>
      </c>
      <c r="F176" s="25">
        <v>1583.0</v>
      </c>
      <c r="G176" s="25">
        <f>F176-F175</f>
        <v>136</v>
      </c>
      <c r="J176" s="7" t="s">
        <v>900</v>
      </c>
      <c r="K176" s="25">
        <v>64.0</v>
      </c>
      <c r="L176" s="25" t="s">
        <v>239</v>
      </c>
      <c r="M176" s="25">
        <v>1506.0</v>
      </c>
      <c r="N176" s="25">
        <v>0.0</v>
      </c>
      <c r="Q176" s="7" t="s">
        <v>901</v>
      </c>
      <c r="R176" s="25">
        <v>65.0</v>
      </c>
      <c r="S176" s="25" t="s">
        <v>371</v>
      </c>
      <c r="T176" s="25">
        <v>2169.0</v>
      </c>
      <c r="U176" s="25">
        <v>192.0</v>
      </c>
      <c r="X176" s="7" t="s">
        <v>902</v>
      </c>
      <c r="Y176" s="25">
        <v>64.0</v>
      </c>
      <c r="Z176" s="25" t="s">
        <v>239</v>
      </c>
      <c r="AA176" s="25">
        <v>2398.0</v>
      </c>
      <c r="AB176" s="25">
        <v>0.0</v>
      </c>
    </row>
    <row r="177">
      <c r="A177" s="4"/>
      <c r="C177" s="7" t="s">
        <v>903</v>
      </c>
      <c r="D177" s="25">
        <v>65.0</v>
      </c>
      <c r="E177" s="25" t="s">
        <v>241</v>
      </c>
      <c r="F177" s="25">
        <v>1595.0</v>
      </c>
      <c r="G177" s="25">
        <v>148.0</v>
      </c>
      <c r="J177" s="7" t="s">
        <v>904</v>
      </c>
      <c r="K177" s="25">
        <v>64.0</v>
      </c>
      <c r="L177" s="25" t="s">
        <v>371</v>
      </c>
      <c r="M177" s="25">
        <v>1670.0</v>
      </c>
      <c r="N177" s="25">
        <v>151.0</v>
      </c>
      <c r="Q177" s="7" t="s">
        <v>905</v>
      </c>
      <c r="R177" s="25">
        <v>65.0</v>
      </c>
      <c r="S177" s="25" t="s">
        <v>241</v>
      </c>
      <c r="T177" s="25">
        <v>2199.0</v>
      </c>
      <c r="U177" s="25">
        <v>301.0</v>
      </c>
      <c r="X177" s="7" t="s">
        <v>906</v>
      </c>
      <c r="Y177" s="25">
        <v>64.0</v>
      </c>
      <c r="Z177" s="25" t="s">
        <v>371</v>
      </c>
      <c r="AA177" s="25">
        <v>2845.0</v>
      </c>
      <c r="AB177" s="25">
        <v>243.0</v>
      </c>
    </row>
    <row r="178">
      <c r="A178" s="4"/>
      <c r="C178" s="7" t="s">
        <v>907</v>
      </c>
      <c r="D178" s="25">
        <v>66.0</v>
      </c>
      <c r="E178" s="25" t="s">
        <v>239</v>
      </c>
      <c r="F178" s="25">
        <v>1583.0</v>
      </c>
      <c r="G178" s="25">
        <v>0.0</v>
      </c>
      <c r="J178" s="7" t="s">
        <v>908</v>
      </c>
      <c r="K178" s="25">
        <v>64.0</v>
      </c>
      <c r="L178" s="25" t="s">
        <v>241</v>
      </c>
      <c r="M178" s="25">
        <v>1683.0</v>
      </c>
      <c r="N178" s="25">
        <v>177.0</v>
      </c>
      <c r="Q178" s="7" t="s">
        <v>909</v>
      </c>
      <c r="R178" s="25">
        <v>66.0</v>
      </c>
      <c r="S178" s="25" t="s">
        <v>239</v>
      </c>
      <c r="T178" s="25">
        <v>2169.0</v>
      </c>
      <c r="U178" s="25">
        <v>0.0</v>
      </c>
      <c r="X178" s="7" t="s">
        <v>910</v>
      </c>
      <c r="Y178" s="25">
        <v>64.0</v>
      </c>
      <c r="Z178" s="25" t="s">
        <v>241</v>
      </c>
      <c r="AA178" s="25">
        <v>3006.0</v>
      </c>
      <c r="AB178" s="25">
        <v>608.0</v>
      </c>
    </row>
    <row r="179">
      <c r="A179" s="4"/>
      <c r="C179" s="7" t="s">
        <v>911</v>
      </c>
      <c r="D179" s="25">
        <v>66.0</v>
      </c>
      <c r="E179" s="25" t="s">
        <v>371</v>
      </c>
      <c r="F179" s="25">
        <v>1749.0</v>
      </c>
      <c r="G179" s="25">
        <f>F179-F178</f>
        <v>166</v>
      </c>
      <c r="J179" s="7" t="s">
        <v>912</v>
      </c>
      <c r="K179" s="25">
        <v>65.0</v>
      </c>
      <c r="L179" s="25" t="s">
        <v>239</v>
      </c>
      <c r="M179" s="25">
        <v>1670.0</v>
      </c>
      <c r="N179" s="25">
        <v>0.0</v>
      </c>
      <c r="Q179" s="7" t="s">
        <v>913</v>
      </c>
      <c r="R179" s="25">
        <v>66.0</v>
      </c>
      <c r="S179" s="25" t="s">
        <v>371</v>
      </c>
      <c r="T179" s="25">
        <v>2454.0</v>
      </c>
      <c r="U179" s="25">
        <v>255.0</v>
      </c>
      <c r="X179" s="7" t="s">
        <v>914</v>
      </c>
      <c r="Y179" s="25">
        <v>65.0</v>
      </c>
      <c r="Z179" s="25" t="s">
        <v>239</v>
      </c>
      <c r="AA179" s="25">
        <v>2845.0</v>
      </c>
      <c r="AB179" s="25">
        <v>0.0</v>
      </c>
    </row>
    <row r="180">
      <c r="A180" s="4"/>
      <c r="C180" s="7" t="s">
        <v>915</v>
      </c>
      <c r="D180" s="25">
        <v>66.0</v>
      </c>
      <c r="E180" s="25" t="s">
        <v>241</v>
      </c>
      <c r="F180" s="25">
        <v>1761.0</v>
      </c>
      <c r="G180" s="25">
        <v>178.0</v>
      </c>
      <c r="J180" s="7" t="s">
        <v>916</v>
      </c>
      <c r="K180" s="25">
        <v>65.0</v>
      </c>
      <c r="L180" s="25" t="s">
        <v>371</v>
      </c>
      <c r="M180" s="25">
        <v>1854.0</v>
      </c>
      <c r="N180" s="25">
        <v>171.0</v>
      </c>
      <c r="Q180" s="7" t="s">
        <v>917</v>
      </c>
      <c r="R180" s="25">
        <v>66.0</v>
      </c>
      <c r="S180" s="25" t="s">
        <v>241</v>
      </c>
      <c r="T180" s="25">
        <v>2466.0</v>
      </c>
      <c r="U180" s="25">
        <v>297.0</v>
      </c>
      <c r="X180" s="7" t="s">
        <v>918</v>
      </c>
      <c r="Y180" s="25">
        <v>65.0</v>
      </c>
      <c r="Z180" s="25" t="s">
        <v>371</v>
      </c>
      <c r="AA180" s="25">
        <v>3332.0</v>
      </c>
      <c r="AB180" s="25">
        <v>326.0</v>
      </c>
    </row>
    <row r="181">
      <c r="A181" s="4"/>
      <c r="C181" s="7" t="s">
        <v>919</v>
      </c>
      <c r="D181" s="25">
        <v>67.0</v>
      </c>
      <c r="E181" s="25" t="s">
        <v>239</v>
      </c>
      <c r="F181" s="25">
        <v>1749.0</v>
      </c>
      <c r="G181" s="25">
        <v>0.0</v>
      </c>
      <c r="J181" s="7" t="s">
        <v>920</v>
      </c>
      <c r="K181" s="25">
        <v>65.0</v>
      </c>
      <c r="L181" s="25" t="s">
        <v>241</v>
      </c>
      <c r="M181" s="25">
        <v>1867.0</v>
      </c>
      <c r="N181" s="25">
        <v>197.0</v>
      </c>
      <c r="Q181" s="7" t="s">
        <v>921</v>
      </c>
      <c r="R181" s="25">
        <v>67.0</v>
      </c>
      <c r="S181" s="25" t="s">
        <v>239</v>
      </c>
      <c r="T181" s="25">
        <v>2454.0</v>
      </c>
      <c r="U181" s="25">
        <v>0.0</v>
      </c>
      <c r="X181" s="7" t="s">
        <v>922</v>
      </c>
      <c r="Y181" s="25">
        <v>65.0</v>
      </c>
      <c r="Z181" s="25" t="s">
        <v>241</v>
      </c>
      <c r="AA181" s="25">
        <v>3360.0</v>
      </c>
      <c r="AB181" s="25">
        <v>515.0</v>
      </c>
    </row>
    <row r="182">
      <c r="A182" s="4"/>
      <c r="C182" s="7" t="s">
        <v>923</v>
      </c>
      <c r="D182" s="25">
        <v>67.0</v>
      </c>
      <c r="E182" s="25" t="s">
        <v>371</v>
      </c>
      <c r="F182" s="25">
        <v>1934.0</v>
      </c>
      <c r="G182" s="25">
        <f>F182-F181</f>
        <v>185</v>
      </c>
      <c r="J182" s="7" t="s">
        <v>924</v>
      </c>
      <c r="K182" s="25">
        <v>66.0</v>
      </c>
      <c r="L182" s="25" t="s">
        <v>239</v>
      </c>
      <c r="M182" s="25">
        <v>1854.0</v>
      </c>
      <c r="N182" s="25">
        <v>0.0</v>
      </c>
      <c r="Q182" s="7" t="s">
        <v>925</v>
      </c>
      <c r="R182" s="25">
        <v>67.0</v>
      </c>
      <c r="S182" s="25" t="s">
        <v>371</v>
      </c>
      <c r="T182" s="25">
        <v>2815.0</v>
      </c>
      <c r="U182" s="25">
        <v>349.0</v>
      </c>
      <c r="X182" s="7" t="s">
        <v>926</v>
      </c>
      <c r="Y182" s="25">
        <v>66.0</v>
      </c>
      <c r="Z182" s="25" t="s">
        <v>239</v>
      </c>
      <c r="AA182" s="25">
        <v>3332.0</v>
      </c>
      <c r="AB182" s="25">
        <v>0.0</v>
      </c>
    </row>
    <row r="183">
      <c r="A183" s="4"/>
      <c r="C183" s="7" t="s">
        <v>927</v>
      </c>
      <c r="D183" s="25">
        <v>67.0</v>
      </c>
      <c r="E183" s="25" t="s">
        <v>241</v>
      </c>
      <c r="F183" s="25">
        <v>1946.0</v>
      </c>
      <c r="G183" s="25">
        <v>197.0</v>
      </c>
      <c r="J183" s="7" t="s">
        <v>928</v>
      </c>
      <c r="K183" s="25">
        <v>66.0</v>
      </c>
      <c r="L183" s="25" t="s">
        <v>371</v>
      </c>
      <c r="M183" s="25">
        <v>2073.0</v>
      </c>
      <c r="N183" s="25">
        <v>206.0</v>
      </c>
      <c r="Q183" s="7" t="s">
        <v>929</v>
      </c>
      <c r="R183" s="25">
        <v>67.0</v>
      </c>
      <c r="S183" s="25" t="s">
        <v>241</v>
      </c>
      <c r="T183" s="25">
        <v>2828.0</v>
      </c>
      <c r="U183" s="25">
        <v>374.0</v>
      </c>
      <c r="X183" s="7" t="s">
        <v>930</v>
      </c>
      <c r="Y183" s="25">
        <v>66.0</v>
      </c>
      <c r="Z183" s="25" t="s">
        <v>371</v>
      </c>
      <c r="AA183" s="25">
        <v>3901.0</v>
      </c>
      <c r="AB183" s="25">
        <v>541.0</v>
      </c>
    </row>
    <row r="184">
      <c r="A184" s="4"/>
      <c r="C184" s="7" t="s">
        <v>931</v>
      </c>
      <c r="D184" s="25">
        <v>68.0</v>
      </c>
      <c r="E184" s="25" t="s">
        <v>239</v>
      </c>
      <c r="F184" s="25">
        <v>1934.0</v>
      </c>
      <c r="G184" s="25">
        <v>0.0</v>
      </c>
      <c r="J184" s="7" t="s">
        <v>932</v>
      </c>
      <c r="K184" s="25">
        <v>66.0</v>
      </c>
      <c r="L184" s="25" t="s">
        <v>241</v>
      </c>
      <c r="M184" s="25">
        <v>2085.0</v>
      </c>
      <c r="N184" s="25">
        <v>231.0</v>
      </c>
      <c r="Q184" s="7" t="s">
        <v>933</v>
      </c>
      <c r="R184" s="25">
        <v>68.0</v>
      </c>
      <c r="S184" s="25" t="s">
        <v>239</v>
      </c>
      <c r="T184" s="25">
        <v>2816.0</v>
      </c>
      <c r="U184" s="25">
        <v>1.0</v>
      </c>
      <c r="X184" s="7" t="s">
        <v>934</v>
      </c>
      <c r="Y184" s="25">
        <v>66.0</v>
      </c>
      <c r="Z184" s="25" t="s">
        <v>241</v>
      </c>
      <c r="AA184" s="25">
        <v>3913.0</v>
      </c>
      <c r="AB184" s="25">
        <v>581.0</v>
      </c>
    </row>
    <row r="185">
      <c r="A185" s="4"/>
      <c r="C185" s="7" t="s">
        <v>935</v>
      </c>
      <c r="D185" s="25">
        <v>68.0</v>
      </c>
      <c r="E185" s="25" t="s">
        <v>371</v>
      </c>
      <c r="F185" s="25">
        <v>2196.0</v>
      </c>
      <c r="G185" s="25">
        <f>F185-F184</f>
        <v>262</v>
      </c>
      <c r="J185" s="7" t="s">
        <v>936</v>
      </c>
      <c r="K185" s="25">
        <v>67.0</v>
      </c>
      <c r="L185" s="25" t="s">
        <v>239</v>
      </c>
      <c r="M185" s="25">
        <v>2073.0</v>
      </c>
      <c r="N185" s="25">
        <v>0.0</v>
      </c>
      <c r="Q185" s="7" t="s">
        <v>937</v>
      </c>
      <c r="R185" s="25">
        <v>68.0</v>
      </c>
      <c r="S185" s="25" t="s">
        <v>371</v>
      </c>
      <c r="T185" s="25">
        <v>3418.0</v>
      </c>
      <c r="U185" s="25">
        <v>590.0</v>
      </c>
      <c r="X185" s="7" t="s">
        <v>938</v>
      </c>
      <c r="Y185" s="25">
        <v>67.0</v>
      </c>
      <c r="Z185" s="25" t="s">
        <v>239</v>
      </c>
      <c r="AA185" s="25">
        <v>3901.0</v>
      </c>
      <c r="AB185" s="25">
        <v>0.0</v>
      </c>
    </row>
    <row r="186">
      <c r="A186" s="4"/>
      <c r="C186" s="7" t="s">
        <v>939</v>
      </c>
      <c r="D186" s="25">
        <v>68.0</v>
      </c>
      <c r="E186" s="25" t="s">
        <v>241</v>
      </c>
      <c r="F186" s="25">
        <v>2209.0</v>
      </c>
      <c r="G186" s="25">
        <v>275.0</v>
      </c>
      <c r="J186" s="7" t="s">
        <v>940</v>
      </c>
      <c r="K186" s="25">
        <v>67.0</v>
      </c>
      <c r="L186" s="25" t="s">
        <v>371</v>
      </c>
      <c r="M186" s="25">
        <v>2334.0</v>
      </c>
      <c r="N186" s="25">
        <v>249.0</v>
      </c>
      <c r="Q186" s="7" t="s">
        <v>941</v>
      </c>
      <c r="R186" s="25">
        <v>68.0</v>
      </c>
      <c r="S186" s="25" t="s">
        <v>241</v>
      </c>
      <c r="T186" s="25">
        <v>3741.0</v>
      </c>
      <c r="U186" s="25">
        <v>925.0</v>
      </c>
      <c r="X186" s="7" t="s">
        <v>942</v>
      </c>
      <c r="Y186" s="25">
        <v>67.0</v>
      </c>
      <c r="Z186" s="25" t="s">
        <v>371</v>
      </c>
      <c r="AA186" s="25">
        <v>4602.0</v>
      </c>
      <c r="AB186" s="25">
        <v>689.0</v>
      </c>
    </row>
    <row r="187">
      <c r="A187" s="4"/>
      <c r="C187" s="7" t="s">
        <v>943</v>
      </c>
      <c r="D187" s="25">
        <v>69.0</v>
      </c>
      <c r="E187" s="25" t="s">
        <v>239</v>
      </c>
      <c r="F187" s="25">
        <v>2197.0</v>
      </c>
      <c r="G187" s="25">
        <v>1.0</v>
      </c>
      <c r="J187" s="7" t="s">
        <v>944</v>
      </c>
      <c r="K187" s="25">
        <v>67.0</v>
      </c>
      <c r="L187" s="25" t="s">
        <v>241</v>
      </c>
      <c r="M187" s="25">
        <v>2344.0</v>
      </c>
      <c r="N187" s="25">
        <v>271.0</v>
      </c>
      <c r="Q187" s="7" t="s">
        <v>945</v>
      </c>
      <c r="R187" s="25">
        <v>69.0</v>
      </c>
      <c r="S187" s="25" t="s">
        <v>239</v>
      </c>
      <c r="T187" s="25">
        <v>3418.0</v>
      </c>
      <c r="U187" s="25">
        <v>0.0</v>
      </c>
      <c r="X187" s="7" t="s">
        <v>946</v>
      </c>
      <c r="Y187" s="25">
        <v>67.0</v>
      </c>
      <c r="Z187" s="25" t="s">
        <v>241</v>
      </c>
      <c r="AA187" s="25">
        <v>4973.0</v>
      </c>
      <c r="AB187" s="25">
        <v>1072.0</v>
      </c>
    </row>
    <row r="188">
      <c r="A188" s="4"/>
      <c r="C188" s="7" t="s">
        <v>947</v>
      </c>
      <c r="D188" s="25">
        <v>69.0</v>
      </c>
      <c r="E188" s="25" t="s">
        <v>371</v>
      </c>
      <c r="F188" s="25">
        <v>2473.0</v>
      </c>
      <c r="G188" s="25">
        <f>F188-F187</f>
        <v>276</v>
      </c>
      <c r="J188" s="7" t="s">
        <v>948</v>
      </c>
      <c r="K188" s="25">
        <v>68.0</v>
      </c>
      <c r="L188" s="25" t="s">
        <v>239</v>
      </c>
      <c r="M188" s="25">
        <v>2334.0</v>
      </c>
      <c r="N188" s="25">
        <v>0.0</v>
      </c>
      <c r="Q188" s="7" t="s">
        <v>949</v>
      </c>
      <c r="R188" s="25">
        <v>69.0</v>
      </c>
      <c r="S188" s="25" t="s">
        <v>371</v>
      </c>
      <c r="T188" s="25">
        <v>3975.0</v>
      </c>
      <c r="U188" s="25">
        <v>234.0</v>
      </c>
      <c r="X188" s="7" t="s">
        <v>950</v>
      </c>
      <c r="Y188" s="25">
        <v>68.0</v>
      </c>
      <c r="Z188" s="25" t="s">
        <v>239</v>
      </c>
      <c r="AA188" s="25">
        <v>4603.0</v>
      </c>
      <c r="AB188" s="25">
        <v>1.0</v>
      </c>
    </row>
    <row r="189">
      <c r="A189" s="4"/>
      <c r="C189" s="7" t="s">
        <v>951</v>
      </c>
      <c r="D189" s="25">
        <v>69.0</v>
      </c>
      <c r="E189" s="25" t="s">
        <v>241</v>
      </c>
      <c r="F189" s="25">
        <v>2485.0</v>
      </c>
      <c r="G189" s="25">
        <v>288.0</v>
      </c>
      <c r="J189" s="7" t="s">
        <v>952</v>
      </c>
      <c r="K189" s="25">
        <v>68.0</v>
      </c>
      <c r="L189" s="25" t="s">
        <v>371</v>
      </c>
      <c r="M189" s="25">
        <v>2677.0</v>
      </c>
      <c r="N189" s="25">
        <v>333.0</v>
      </c>
      <c r="Q189" s="7" t="s">
        <v>953</v>
      </c>
      <c r="R189" s="25">
        <v>69.0</v>
      </c>
      <c r="S189" s="25" t="s">
        <v>241</v>
      </c>
      <c r="T189" s="25">
        <v>3987.0</v>
      </c>
      <c r="U189" s="25">
        <v>569.0</v>
      </c>
      <c r="X189" s="7" t="s">
        <v>954</v>
      </c>
      <c r="Y189" s="25">
        <v>68.0</v>
      </c>
      <c r="Z189" s="25" t="s">
        <v>371</v>
      </c>
      <c r="AA189" s="25">
        <v>5629.0</v>
      </c>
      <c r="AB189" s="25">
        <v>656.0</v>
      </c>
    </row>
    <row r="190">
      <c r="A190" s="4"/>
      <c r="C190" s="7" t="s">
        <v>955</v>
      </c>
      <c r="D190" s="25">
        <v>70.0</v>
      </c>
      <c r="E190" s="25" t="s">
        <v>239</v>
      </c>
      <c r="F190" s="25">
        <v>2473.0</v>
      </c>
      <c r="G190" s="25">
        <v>0.0</v>
      </c>
      <c r="J190" s="7" t="s">
        <v>956</v>
      </c>
      <c r="K190" s="25">
        <v>68.0</v>
      </c>
      <c r="L190" s="25" t="s">
        <v>241</v>
      </c>
      <c r="M190" s="25">
        <v>2689.0</v>
      </c>
      <c r="N190" s="25">
        <v>355.0</v>
      </c>
      <c r="Q190" s="7" t="s">
        <v>957</v>
      </c>
      <c r="R190" s="25">
        <v>70.0</v>
      </c>
      <c r="S190" s="25" t="s">
        <v>239</v>
      </c>
      <c r="T190" s="25">
        <v>3975.0</v>
      </c>
      <c r="U190" s="25">
        <v>0.0</v>
      </c>
      <c r="X190" s="7" t="s">
        <v>958</v>
      </c>
      <c r="Y190" s="25">
        <v>68.0</v>
      </c>
      <c r="Z190" s="25" t="s">
        <v>241</v>
      </c>
      <c r="AA190" s="25">
        <v>6532.0</v>
      </c>
      <c r="AB190" s="25">
        <v>1929.0</v>
      </c>
    </row>
    <row r="191">
      <c r="A191" s="4"/>
      <c r="C191" s="7" t="s">
        <v>959</v>
      </c>
      <c r="D191" s="25">
        <v>70.0</v>
      </c>
      <c r="E191" s="25" t="s">
        <v>371</v>
      </c>
      <c r="F191" s="25">
        <v>2790.0</v>
      </c>
      <c r="G191" s="25">
        <f>F191-F190</f>
        <v>317</v>
      </c>
      <c r="J191" s="7" t="s">
        <v>960</v>
      </c>
      <c r="K191" s="25">
        <v>69.0</v>
      </c>
      <c r="L191" s="25" t="s">
        <v>239</v>
      </c>
      <c r="M191" s="25">
        <v>2677.0</v>
      </c>
      <c r="N191" s="25">
        <v>0.0</v>
      </c>
      <c r="Q191" s="7" t="s">
        <v>961</v>
      </c>
      <c r="R191" s="25">
        <v>70.0</v>
      </c>
      <c r="S191" s="25" t="s">
        <v>371</v>
      </c>
      <c r="T191" s="25">
        <v>4568.0</v>
      </c>
      <c r="U191" s="25">
        <v>581.0</v>
      </c>
      <c r="X191" s="7" t="s">
        <v>962</v>
      </c>
      <c r="Y191" s="25">
        <v>69.0</v>
      </c>
      <c r="Z191" s="25" t="s">
        <v>239</v>
      </c>
      <c r="AA191" s="25">
        <v>5629.0</v>
      </c>
      <c r="AB191" s="25">
        <v>0.0</v>
      </c>
    </row>
    <row r="192">
      <c r="A192" s="4"/>
      <c r="C192" s="7" t="s">
        <v>963</v>
      </c>
      <c r="D192" s="25">
        <v>70.0</v>
      </c>
      <c r="E192" s="25" t="s">
        <v>241</v>
      </c>
      <c r="F192" s="25">
        <v>2802.0</v>
      </c>
      <c r="G192" s="25">
        <v>329.0</v>
      </c>
      <c r="J192" s="7" t="s">
        <v>964</v>
      </c>
      <c r="K192" s="25">
        <v>69.0</v>
      </c>
      <c r="L192" s="25" t="s">
        <v>371</v>
      </c>
      <c r="M192" s="25">
        <v>3058.0</v>
      </c>
      <c r="N192" s="25">
        <v>369.0</v>
      </c>
      <c r="Q192" s="7" t="s">
        <v>965</v>
      </c>
      <c r="R192" s="25">
        <v>70.0</v>
      </c>
      <c r="S192" s="25" t="s">
        <v>241</v>
      </c>
      <c r="T192" s="25">
        <v>4580.0</v>
      </c>
      <c r="U192" s="25">
        <v>605.0</v>
      </c>
      <c r="X192" s="7" t="s">
        <v>966</v>
      </c>
      <c r="Y192" s="25">
        <v>69.0</v>
      </c>
      <c r="Z192" s="25" t="s">
        <v>371</v>
      </c>
      <c r="AA192" s="25">
        <v>6843.0</v>
      </c>
      <c r="AB192" s="25">
        <v>311.0</v>
      </c>
    </row>
    <row r="193">
      <c r="A193" s="4"/>
      <c r="C193" s="7" t="s">
        <v>967</v>
      </c>
      <c r="D193" s="25">
        <v>71.0</v>
      </c>
      <c r="E193" s="25" t="s">
        <v>239</v>
      </c>
      <c r="F193" s="25">
        <v>2790.0</v>
      </c>
      <c r="G193" s="25">
        <v>0.0</v>
      </c>
      <c r="J193" s="7" t="s">
        <v>968</v>
      </c>
      <c r="K193" s="25">
        <v>69.0</v>
      </c>
      <c r="L193" s="25" t="s">
        <v>241</v>
      </c>
      <c r="M193" s="25">
        <v>3070.0</v>
      </c>
      <c r="N193" s="25">
        <v>393.0</v>
      </c>
      <c r="Q193" s="7" t="s">
        <v>969</v>
      </c>
      <c r="R193" s="25">
        <v>71.0</v>
      </c>
      <c r="S193" s="25" t="s">
        <v>239</v>
      </c>
      <c r="T193" s="25">
        <v>4568.0</v>
      </c>
      <c r="U193" s="25">
        <v>0.0</v>
      </c>
      <c r="X193" s="7" t="s">
        <v>970</v>
      </c>
      <c r="Y193" s="25">
        <v>69.0</v>
      </c>
      <c r="Z193" s="25" t="s">
        <v>241</v>
      </c>
      <c r="AA193" s="25">
        <v>6855.0</v>
      </c>
      <c r="AB193" s="25">
        <v>1226.0</v>
      </c>
    </row>
    <row r="194">
      <c r="A194" s="4"/>
      <c r="C194" s="7" t="s">
        <v>971</v>
      </c>
      <c r="D194" s="25">
        <v>71.0</v>
      </c>
      <c r="E194" s="25" t="s">
        <v>371</v>
      </c>
      <c r="F194" s="25">
        <v>3169.0</v>
      </c>
      <c r="G194" s="25">
        <f>F194-F193</f>
        <v>379</v>
      </c>
      <c r="J194" s="7" t="s">
        <v>972</v>
      </c>
      <c r="K194" s="25">
        <v>70.0</v>
      </c>
      <c r="L194" s="25" t="s">
        <v>239</v>
      </c>
      <c r="M194" s="25">
        <v>3058.0</v>
      </c>
      <c r="N194" s="25">
        <v>0.0</v>
      </c>
      <c r="Q194" s="7" t="s">
        <v>973</v>
      </c>
      <c r="R194" s="25">
        <v>71.0</v>
      </c>
      <c r="S194" s="25" t="s">
        <v>371</v>
      </c>
      <c r="T194" s="25">
        <v>5315.0</v>
      </c>
      <c r="U194" s="25">
        <v>735.0</v>
      </c>
      <c r="X194" s="7" t="s">
        <v>974</v>
      </c>
      <c r="Y194" s="25">
        <v>70.0</v>
      </c>
      <c r="Z194" s="25" t="s">
        <v>239</v>
      </c>
      <c r="AA194" s="25">
        <v>6843.0</v>
      </c>
      <c r="AB194" s="25">
        <v>0.0</v>
      </c>
    </row>
    <row r="195">
      <c r="A195" s="4"/>
      <c r="C195" s="7" t="s">
        <v>975</v>
      </c>
      <c r="D195" s="25">
        <v>71.0</v>
      </c>
      <c r="E195" s="25" t="s">
        <v>241</v>
      </c>
      <c r="F195" s="25">
        <v>3182.0</v>
      </c>
      <c r="G195" s="25">
        <v>392.0</v>
      </c>
      <c r="J195" s="7" t="s">
        <v>976</v>
      </c>
      <c r="K195" s="25">
        <v>70.0</v>
      </c>
      <c r="L195" s="25" t="s">
        <v>371</v>
      </c>
      <c r="M195" s="25">
        <v>3479.0</v>
      </c>
      <c r="N195" s="25">
        <v>409.0</v>
      </c>
      <c r="Q195" s="7" t="s">
        <v>977</v>
      </c>
      <c r="R195" s="25">
        <v>71.0</v>
      </c>
      <c r="S195" s="25" t="s">
        <v>241</v>
      </c>
      <c r="T195" s="25">
        <v>5329.0</v>
      </c>
      <c r="U195" s="25">
        <v>761.0</v>
      </c>
      <c r="X195" s="7" t="s">
        <v>978</v>
      </c>
      <c r="Y195" s="25">
        <v>70.0</v>
      </c>
      <c r="Z195" s="25" t="s">
        <v>371</v>
      </c>
      <c r="AA195" s="25">
        <v>8005.0</v>
      </c>
      <c r="AB195" s="25">
        <v>1150.0</v>
      </c>
    </row>
    <row r="196">
      <c r="A196" s="4"/>
      <c r="C196" s="7" t="s">
        <v>979</v>
      </c>
      <c r="D196" s="25">
        <v>72.0</v>
      </c>
      <c r="E196" s="25" t="s">
        <v>239</v>
      </c>
      <c r="F196" s="25">
        <v>3169.0</v>
      </c>
      <c r="G196" s="25">
        <v>0.0</v>
      </c>
      <c r="J196" s="7" t="s">
        <v>980</v>
      </c>
      <c r="K196" s="25">
        <v>70.0</v>
      </c>
      <c r="L196" s="25" t="s">
        <v>241</v>
      </c>
      <c r="M196" s="25">
        <v>3491.0</v>
      </c>
      <c r="N196" s="25">
        <v>433.0</v>
      </c>
      <c r="Q196" s="7" t="s">
        <v>981</v>
      </c>
      <c r="R196" s="25">
        <v>72.0</v>
      </c>
      <c r="S196" s="25" t="s">
        <v>239</v>
      </c>
      <c r="T196" s="25">
        <v>5315.0</v>
      </c>
      <c r="U196" s="25">
        <v>0.0</v>
      </c>
      <c r="X196" s="7" t="s">
        <v>982</v>
      </c>
      <c r="Y196" s="25">
        <v>70.0</v>
      </c>
      <c r="Z196" s="25" t="s">
        <v>241</v>
      </c>
      <c r="AA196" s="25">
        <v>8017.0</v>
      </c>
      <c r="AB196" s="25">
        <v>1174.0</v>
      </c>
    </row>
    <row r="197">
      <c r="A197" s="4"/>
      <c r="C197" s="7" t="s">
        <v>983</v>
      </c>
      <c r="D197" s="25">
        <v>72.0</v>
      </c>
      <c r="E197" s="25" t="s">
        <v>371</v>
      </c>
      <c r="F197" s="25">
        <v>3712.0</v>
      </c>
      <c r="G197" s="25">
        <f>F197-F196</f>
        <v>543</v>
      </c>
      <c r="J197" s="7" t="s">
        <v>984</v>
      </c>
      <c r="K197" s="25">
        <v>71.0</v>
      </c>
      <c r="L197" s="25" t="s">
        <v>239</v>
      </c>
      <c r="M197" s="25">
        <v>3479.0</v>
      </c>
      <c r="N197" s="25">
        <v>0.0</v>
      </c>
      <c r="Q197" s="7" t="s">
        <v>985</v>
      </c>
      <c r="R197" s="25">
        <v>72.0</v>
      </c>
      <c r="S197" s="25" t="s">
        <v>371</v>
      </c>
      <c r="T197" s="25">
        <v>6723.0</v>
      </c>
      <c r="U197" s="25">
        <v>1394.0</v>
      </c>
      <c r="X197" s="7" t="s">
        <v>986</v>
      </c>
      <c r="Y197" s="25">
        <v>71.0</v>
      </c>
      <c r="Z197" s="25" t="s">
        <v>239</v>
      </c>
      <c r="AA197" s="25">
        <v>8005.0</v>
      </c>
      <c r="AB197" s="25">
        <v>0.0</v>
      </c>
    </row>
    <row r="198">
      <c r="A198" s="4"/>
      <c r="C198" s="7" t="s">
        <v>987</v>
      </c>
      <c r="D198" s="25">
        <v>72.0</v>
      </c>
      <c r="E198" s="25" t="s">
        <v>241</v>
      </c>
      <c r="F198" s="25">
        <v>3725.0</v>
      </c>
      <c r="G198" s="25">
        <v>556.0</v>
      </c>
      <c r="J198" s="7" t="s">
        <v>988</v>
      </c>
      <c r="K198" s="25">
        <v>71.0</v>
      </c>
      <c r="L198" s="25" t="s">
        <v>371</v>
      </c>
      <c r="M198" s="25">
        <v>4009.0</v>
      </c>
      <c r="N198" s="25">
        <v>518.0</v>
      </c>
      <c r="Q198" s="7" t="s">
        <v>989</v>
      </c>
      <c r="R198" s="25">
        <v>72.0</v>
      </c>
      <c r="S198" s="25" t="s">
        <v>241</v>
      </c>
      <c r="T198" s="25">
        <v>7616.0</v>
      </c>
      <c r="U198" s="25">
        <v>2301.0</v>
      </c>
      <c r="X198" s="7" t="s">
        <v>990</v>
      </c>
      <c r="Y198" s="25">
        <v>71.0</v>
      </c>
      <c r="Z198" s="25" t="s">
        <v>371</v>
      </c>
      <c r="AA198" s="25">
        <v>9638.0</v>
      </c>
      <c r="AB198" s="25">
        <v>1621.0</v>
      </c>
    </row>
    <row r="199">
      <c r="A199" s="4"/>
      <c r="C199" s="7" t="s">
        <v>991</v>
      </c>
      <c r="D199" s="25">
        <v>73.0</v>
      </c>
      <c r="E199" s="25" t="s">
        <v>239</v>
      </c>
      <c r="F199" s="25">
        <v>3712.0</v>
      </c>
      <c r="G199" s="25">
        <v>0.0</v>
      </c>
      <c r="J199" s="7" t="s">
        <v>992</v>
      </c>
      <c r="K199" s="25">
        <v>71.0</v>
      </c>
      <c r="L199" s="25" t="s">
        <v>241</v>
      </c>
      <c r="M199" s="25">
        <v>4020.0</v>
      </c>
      <c r="N199" s="25">
        <v>541.0</v>
      </c>
      <c r="Q199" s="7" t="s">
        <v>993</v>
      </c>
      <c r="R199" s="25">
        <v>73.0</v>
      </c>
      <c r="S199" s="25" t="s">
        <v>239</v>
      </c>
      <c r="T199" s="25">
        <v>6723.0</v>
      </c>
      <c r="U199" s="25">
        <v>0.0</v>
      </c>
      <c r="X199" s="7" t="s">
        <v>994</v>
      </c>
      <c r="Y199" s="25">
        <v>71.0</v>
      </c>
      <c r="Z199" s="25" t="s">
        <v>241</v>
      </c>
      <c r="AA199" s="25">
        <v>9655.0</v>
      </c>
      <c r="AB199" s="25">
        <v>1650.0</v>
      </c>
    </row>
    <row r="200">
      <c r="A200" s="4"/>
      <c r="C200" s="7" t="s">
        <v>995</v>
      </c>
      <c r="D200" s="25">
        <v>73.0</v>
      </c>
      <c r="E200" s="25" t="s">
        <v>371</v>
      </c>
      <c r="F200" s="25">
        <v>4241.0</v>
      </c>
      <c r="G200" s="25">
        <f>F200-F199</f>
        <v>529</v>
      </c>
      <c r="J200" s="7" t="s">
        <v>996</v>
      </c>
      <c r="K200" s="25">
        <v>72.0</v>
      </c>
      <c r="L200" s="25" t="s">
        <v>239</v>
      </c>
      <c r="M200" s="25">
        <v>4009.0</v>
      </c>
      <c r="N200" s="25">
        <v>0.0</v>
      </c>
      <c r="Q200" s="7" t="s">
        <v>997</v>
      </c>
      <c r="R200" s="25">
        <v>73.0</v>
      </c>
      <c r="S200" s="25" t="s">
        <v>371</v>
      </c>
      <c r="T200" s="25">
        <v>7921.0</v>
      </c>
      <c r="U200" s="25">
        <v>305.0</v>
      </c>
      <c r="X200" s="7" t="s">
        <v>998</v>
      </c>
      <c r="Y200" s="25">
        <v>72.0</v>
      </c>
      <c r="Z200" s="25" t="s">
        <v>239</v>
      </c>
      <c r="AA200" s="25">
        <v>9638.0</v>
      </c>
      <c r="AB200" s="25">
        <v>0.0</v>
      </c>
    </row>
    <row r="201">
      <c r="A201" s="4"/>
      <c r="C201" s="7" t="s">
        <v>999</v>
      </c>
      <c r="D201" s="25">
        <v>73.0</v>
      </c>
      <c r="E201" s="25" t="s">
        <v>241</v>
      </c>
      <c r="F201" s="25">
        <v>4253.0</v>
      </c>
      <c r="G201" s="25">
        <v>541.0</v>
      </c>
      <c r="J201" s="7" t="s">
        <v>1000</v>
      </c>
      <c r="K201" s="25">
        <v>72.0</v>
      </c>
      <c r="L201" s="25" t="s">
        <v>371</v>
      </c>
      <c r="M201" s="25">
        <v>4725.0</v>
      </c>
      <c r="N201" s="25">
        <v>705.0</v>
      </c>
      <c r="Q201" s="7" t="s">
        <v>1001</v>
      </c>
      <c r="R201" s="25">
        <v>73.0</v>
      </c>
      <c r="S201" s="25" t="s">
        <v>241</v>
      </c>
      <c r="T201" s="25">
        <v>7980.0</v>
      </c>
      <c r="U201" s="25">
        <v>1257.0</v>
      </c>
      <c r="X201" s="7" t="s">
        <v>1002</v>
      </c>
      <c r="Y201" s="25">
        <v>72.0</v>
      </c>
      <c r="Z201" s="25" t="s">
        <v>371</v>
      </c>
      <c r="AA201" s="25">
        <v>11896.0</v>
      </c>
      <c r="AB201" s="25">
        <v>2241.0</v>
      </c>
    </row>
    <row r="202">
      <c r="A202" s="4"/>
      <c r="C202" s="7" t="s">
        <v>1003</v>
      </c>
      <c r="D202" s="25">
        <v>74.0</v>
      </c>
      <c r="E202" s="25" t="s">
        <v>239</v>
      </c>
      <c r="F202" s="25">
        <v>4241.0</v>
      </c>
      <c r="G202" s="25">
        <v>0.0</v>
      </c>
      <c r="J202" s="7" t="s">
        <v>1004</v>
      </c>
      <c r="K202" s="25">
        <v>72.0</v>
      </c>
      <c r="L202" s="25" t="s">
        <v>241</v>
      </c>
      <c r="M202" s="25">
        <v>4738.0</v>
      </c>
      <c r="N202" s="25">
        <v>729.0</v>
      </c>
      <c r="Q202" s="7" t="s">
        <v>1005</v>
      </c>
      <c r="R202" s="25">
        <v>74.0</v>
      </c>
      <c r="S202" s="25" t="s">
        <v>239</v>
      </c>
      <c r="T202" s="25">
        <v>7921.0</v>
      </c>
      <c r="U202" s="25">
        <v>0.0</v>
      </c>
      <c r="X202" s="7" t="s">
        <v>1006</v>
      </c>
      <c r="Y202" s="25">
        <v>72.0</v>
      </c>
      <c r="Z202" s="25" t="s">
        <v>241</v>
      </c>
      <c r="AA202" s="25">
        <v>13073.0</v>
      </c>
      <c r="AB202" s="25">
        <v>3435.0</v>
      </c>
    </row>
    <row r="203">
      <c r="A203" s="4"/>
      <c r="C203" s="7" t="s">
        <v>1007</v>
      </c>
      <c r="D203" s="25">
        <v>74.0</v>
      </c>
      <c r="E203" s="25" t="s">
        <v>371</v>
      </c>
      <c r="F203" s="25">
        <v>4892.0</v>
      </c>
      <c r="G203" s="25">
        <f>F203-F202</f>
        <v>651</v>
      </c>
      <c r="J203" s="7" t="s">
        <v>1008</v>
      </c>
      <c r="K203" s="25">
        <v>73.0</v>
      </c>
      <c r="L203" s="25" t="s">
        <v>239</v>
      </c>
      <c r="M203" s="25">
        <v>4725.0</v>
      </c>
      <c r="N203" s="25">
        <v>0.0</v>
      </c>
      <c r="Q203" s="7" t="s">
        <v>1009</v>
      </c>
      <c r="R203" s="25">
        <v>74.0</v>
      </c>
      <c r="S203" s="25" t="s">
        <v>371</v>
      </c>
      <c r="T203" s="25">
        <v>9359.0</v>
      </c>
      <c r="U203" s="25">
        <v>1379.0</v>
      </c>
      <c r="X203" s="7" t="s">
        <v>1010</v>
      </c>
      <c r="Y203" s="25">
        <v>73.0</v>
      </c>
      <c r="Z203" s="25" t="s">
        <v>239</v>
      </c>
      <c r="AA203" s="25">
        <v>11901.0</v>
      </c>
      <c r="AB203" s="25">
        <v>5.0</v>
      </c>
    </row>
    <row r="204">
      <c r="A204" s="4"/>
      <c r="C204" s="7" t="s">
        <v>1011</v>
      </c>
      <c r="D204" s="25">
        <v>74.0</v>
      </c>
      <c r="E204" s="25" t="s">
        <v>241</v>
      </c>
      <c r="F204" s="25">
        <v>4905.0</v>
      </c>
      <c r="G204" s="25">
        <v>664.0</v>
      </c>
      <c r="J204" s="7" t="s">
        <v>1012</v>
      </c>
      <c r="K204" s="25">
        <v>73.0</v>
      </c>
      <c r="L204" s="25" t="s">
        <v>371</v>
      </c>
      <c r="M204" s="25">
        <v>5470.0</v>
      </c>
      <c r="N204" s="25">
        <v>732.0</v>
      </c>
      <c r="Q204" s="7" t="s">
        <v>1013</v>
      </c>
      <c r="R204" s="25">
        <v>74.0</v>
      </c>
      <c r="S204" s="25" t="s">
        <v>241</v>
      </c>
      <c r="T204" s="25">
        <v>9388.0</v>
      </c>
      <c r="U204" s="25">
        <v>1467.0</v>
      </c>
      <c r="X204" s="7" t="s">
        <v>1014</v>
      </c>
      <c r="Y204" s="25">
        <v>73.0</v>
      </c>
      <c r="Z204" s="25" t="s">
        <v>371</v>
      </c>
      <c r="AA204" s="25">
        <v>14461.0</v>
      </c>
      <c r="AB204" s="25">
        <v>1388.0</v>
      </c>
    </row>
    <row r="205">
      <c r="A205" s="4"/>
      <c r="C205" s="7" t="s">
        <v>1015</v>
      </c>
      <c r="D205" s="25">
        <v>75.0</v>
      </c>
      <c r="E205" s="25" t="s">
        <v>239</v>
      </c>
      <c r="F205" s="25">
        <v>4893.0</v>
      </c>
      <c r="G205" s="25">
        <v>1.0</v>
      </c>
      <c r="J205" s="7" t="s">
        <v>1016</v>
      </c>
      <c r="K205" s="25">
        <v>73.0</v>
      </c>
      <c r="L205" s="25" t="s">
        <v>241</v>
      </c>
      <c r="M205" s="25">
        <v>5481.0</v>
      </c>
      <c r="N205" s="25">
        <v>756.0</v>
      </c>
      <c r="Q205" s="7" t="s">
        <v>1017</v>
      </c>
      <c r="R205" s="25">
        <v>75.0</v>
      </c>
      <c r="S205" s="25" t="s">
        <v>239</v>
      </c>
      <c r="T205" s="25">
        <v>9359.0</v>
      </c>
      <c r="U205" s="25">
        <v>0.0</v>
      </c>
      <c r="X205" s="7" t="s">
        <v>1018</v>
      </c>
      <c r="Y205" s="25">
        <v>73.0</v>
      </c>
      <c r="Z205" s="25" t="s">
        <v>241</v>
      </c>
      <c r="AA205" s="25">
        <v>17749.0</v>
      </c>
      <c r="AB205" s="25">
        <v>5848.0</v>
      </c>
    </row>
    <row r="206">
      <c r="A206" s="4"/>
      <c r="C206" s="7" t="s">
        <v>1019</v>
      </c>
      <c r="D206" s="25">
        <v>75.0</v>
      </c>
      <c r="E206" s="25" t="s">
        <v>371</v>
      </c>
      <c r="F206" s="25">
        <v>5729.0</v>
      </c>
      <c r="G206" s="25">
        <f>F206-F205</f>
        <v>836</v>
      </c>
      <c r="J206" s="7" t="s">
        <v>1020</v>
      </c>
      <c r="K206" s="25">
        <v>74.0</v>
      </c>
      <c r="L206" s="25" t="s">
        <v>239</v>
      </c>
      <c r="M206" s="25">
        <v>5470.0</v>
      </c>
      <c r="N206" s="25">
        <v>0.0</v>
      </c>
      <c r="Q206" s="7" t="s">
        <v>1021</v>
      </c>
      <c r="R206" s="25">
        <v>75.0</v>
      </c>
      <c r="S206" s="25" t="s">
        <v>371</v>
      </c>
      <c r="T206" s="25">
        <v>11510.0</v>
      </c>
      <c r="U206" s="25">
        <v>2122.0</v>
      </c>
      <c r="X206" s="7" t="s">
        <v>1022</v>
      </c>
      <c r="Y206" s="25">
        <v>74.0</v>
      </c>
      <c r="Z206" s="25" t="s">
        <v>239</v>
      </c>
      <c r="AA206" s="25">
        <v>14461.0</v>
      </c>
      <c r="AB206" s="25">
        <v>0.0</v>
      </c>
    </row>
    <row r="207">
      <c r="A207" s="4"/>
      <c r="C207" s="7" t="s">
        <v>1023</v>
      </c>
      <c r="D207" s="25">
        <v>75.0</v>
      </c>
      <c r="E207" s="25" t="s">
        <v>241</v>
      </c>
      <c r="F207" s="25">
        <v>5740.0</v>
      </c>
      <c r="G207" s="25">
        <v>847.0</v>
      </c>
      <c r="J207" s="7" t="s">
        <v>1024</v>
      </c>
      <c r="K207" s="25">
        <v>74.0</v>
      </c>
      <c r="L207" s="25" t="s">
        <v>371</v>
      </c>
      <c r="M207" s="25">
        <v>6346.0</v>
      </c>
      <c r="N207" s="25">
        <v>865.0</v>
      </c>
      <c r="Q207" s="7" t="s">
        <v>1025</v>
      </c>
      <c r="R207" s="25">
        <v>75.0</v>
      </c>
      <c r="S207" s="25" t="s">
        <v>241</v>
      </c>
      <c r="T207" s="25">
        <v>11544.0</v>
      </c>
      <c r="U207" s="25">
        <v>2185.0</v>
      </c>
      <c r="X207" s="7" t="s">
        <v>1026</v>
      </c>
      <c r="Y207" s="25">
        <v>74.0</v>
      </c>
      <c r="Z207" s="25" t="s">
        <v>371</v>
      </c>
      <c r="AA207" s="25">
        <v>17729.0</v>
      </c>
      <c r="AB207" s="25">
        <v>-20.0</v>
      </c>
    </row>
    <row r="208">
      <c r="A208" s="4"/>
      <c r="C208" s="7" t="s">
        <v>1027</v>
      </c>
      <c r="D208" s="25">
        <v>76.0</v>
      </c>
      <c r="E208" s="25" t="s">
        <v>239</v>
      </c>
      <c r="F208" s="25">
        <v>5729.0</v>
      </c>
      <c r="G208" s="25">
        <v>0.0</v>
      </c>
      <c r="J208" s="7" t="s">
        <v>1028</v>
      </c>
      <c r="K208" s="25">
        <v>74.0</v>
      </c>
      <c r="L208" s="25" t="s">
        <v>241</v>
      </c>
      <c r="M208" s="25">
        <v>6359.0</v>
      </c>
      <c r="N208" s="25">
        <v>889.0</v>
      </c>
      <c r="Q208" s="7" t="s">
        <v>1029</v>
      </c>
      <c r="R208" s="25">
        <v>76.0</v>
      </c>
      <c r="S208" s="25" t="s">
        <v>239</v>
      </c>
      <c r="T208" s="25">
        <v>11510.0</v>
      </c>
      <c r="U208" s="25">
        <v>0.0</v>
      </c>
      <c r="X208" s="7" t="s">
        <v>1030</v>
      </c>
      <c r="Y208" s="25">
        <v>74.0</v>
      </c>
      <c r="Z208" s="25" t="s">
        <v>241</v>
      </c>
      <c r="AA208" s="25">
        <v>18042.0</v>
      </c>
      <c r="AB208" s="25">
        <v>3581.0</v>
      </c>
    </row>
    <row r="209">
      <c r="A209" s="4"/>
      <c r="C209" s="7" t="s">
        <v>1031</v>
      </c>
      <c r="D209" s="25">
        <v>76.0</v>
      </c>
      <c r="E209" s="25" t="s">
        <v>371</v>
      </c>
      <c r="F209" s="25">
        <v>6844.0</v>
      </c>
      <c r="G209" s="25">
        <f>F209-F208</f>
        <v>1115</v>
      </c>
      <c r="J209" s="7" t="s">
        <v>1032</v>
      </c>
      <c r="K209" s="25">
        <v>75.0</v>
      </c>
      <c r="L209" s="25" t="s">
        <v>239</v>
      </c>
      <c r="M209" s="25">
        <v>6346.0</v>
      </c>
      <c r="N209" s="25">
        <v>0.0</v>
      </c>
      <c r="Q209" s="7" t="s">
        <v>1033</v>
      </c>
      <c r="R209" s="25">
        <v>76.0</v>
      </c>
      <c r="S209" s="25" t="s">
        <v>371</v>
      </c>
      <c r="T209" s="25">
        <v>14766.0</v>
      </c>
      <c r="U209" s="25">
        <v>3222.0</v>
      </c>
      <c r="X209" s="7" t="s">
        <v>1034</v>
      </c>
      <c r="Y209" s="25">
        <v>75.0</v>
      </c>
      <c r="Z209" s="25" t="s">
        <v>239</v>
      </c>
      <c r="AA209" s="25">
        <v>17734.0</v>
      </c>
      <c r="AB209" s="25">
        <v>5.0</v>
      </c>
    </row>
    <row r="210">
      <c r="A210" s="4"/>
      <c r="C210" s="7" t="s">
        <v>1035</v>
      </c>
      <c r="D210" s="25">
        <v>76.0</v>
      </c>
      <c r="E210" s="25" t="s">
        <v>241</v>
      </c>
      <c r="F210" s="25">
        <v>6857.0</v>
      </c>
      <c r="G210" s="25">
        <v>1128.0</v>
      </c>
      <c r="J210" s="7" t="s">
        <v>1036</v>
      </c>
      <c r="K210" s="25">
        <v>75.0</v>
      </c>
      <c r="L210" s="25" t="s">
        <v>371</v>
      </c>
      <c r="M210" s="25">
        <v>7476.0</v>
      </c>
      <c r="N210" s="25">
        <v>1117.0</v>
      </c>
      <c r="Q210" s="7" t="s">
        <v>1037</v>
      </c>
      <c r="R210" s="25">
        <v>76.0</v>
      </c>
      <c r="S210" s="25" t="s">
        <v>241</v>
      </c>
      <c r="T210" s="25">
        <v>17136.0</v>
      </c>
      <c r="U210" s="25">
        <v>5626.0</v>
      </c>
      <c r="X210" s="7" t="s">
        <v>1038</v>
      </c>
      <c r="Y210" s="25">
        <v>75.0</v>
      </c>
      <c r="Z210" s="25" t="s">
        <v>371</v>
      </c>
      <c r="AA210" s="25">
        <v>21523.0</v>
      </c>
      <c r="AB210" s="25">
        <v>3481.0</v>
      </c>
    </row>
    <row r="211">
      <c r="A211" s="4"/>
      <c r="C211" s="7" t="s">
        <v>1039</v>
      </c>
      <c r="D211" s="25">
        <v>77.0</v>
      </c>
      <c r="E211" s="25" t="s">
        <v>239</v>
      </c>
      <c r="F211" s="25">
        <v>6844.0</v>
      </c>
      <c r="G211" s="25">
        <v>0.0</v>
      </c>
      <c r="J211" s="7" t="s">
        <v>1040</v>
      </c>
      <c r="K211" s="25">
        <v>75.0</v>
      </c>
      <c r="L211" s="25" t="s">
        <v>241</v>
      </c>
      <c r="M211" s="25">
        <v>7488.0</v>
      </c>
      <c r="N211" s="25">
        <v>1142.0</v>
      </c>
      <c r="Q211" s="7" t="s">
        <v>1041</v>
      </c>
      <c r="R211" s="25">
        <v>77.0</v>
      </c>
      <c r="S211" s="25" t="s">
        <v>239</v>
      </c>
      <c r="T211" s="25">
        <v>14766.0</v>
      </c>
      <c r="U211" s="25">
        <v>0.0</v>
      </c>
      <c r="X211" s="7" t="s">
        <v>1042</v>
      </c>
      <c r="Y211" s="25">
        <v>75.0</v>
      </c>
      <c r="Z211" s="25" t="s">
        <v>241</v>
      </c>
      <c r="AA211" s="25">
        <v>21549.0</v>
      </c>
      <c r="AB211" s="25">
        <v>3815.0</v>
      </c>
    </row>
    <row r="212">
      <c r="A212" s="4"/>
      <c r="C212" s="7" t="s">
        <v>1043</v>
      </c>
      <c r="D212" s="25">
        <v>77.0</v>
      </c>
      <c r="E212" s="25" t="s">
        <v>371</v>
      </c>
      <c r="F212" s="25">
        <v>7921.0</v>
      </c>
      <c r="G212" s="25">
        <f>F212-F211</f>
        <v>1077</v>
      </c>
      <c r="J212" s="7" t="s">
        <v>1044</v>
      </c>
      <c r="K212" s="25">
        <v>76.0</v>
      </c>
      <c r="L212" s="25" t="s">
        <v>239</v>
      </c>
      <c r="M212" s="25">
        <v>7476.0</v>
      </c>
      <c r="N212" s="25">
        <v>0.0</v>
      </c>
      <c r="Q212" s="7" t="s">
        <v>1045</v>
      </c>
      <c r="R212" s="25">
        <v>77.0</v>
      </c>
      <c r="S212" s="25" t="s">
        <v>371</v>
      </c>
      <c r="T212" s="25">
        <v>17507.0</v>
      </c>
      <c r="U212" s="25">
        <v>371.0</v>
      </c>
      <c r="X212" s="7" t="s">
        <v>1046</v>
      </c>
      <c r="Y212" s="25">
        <v>76.0</v>
      </c>
      <c r="Z212" s="25" t="s">
        <v>239</v>
      </c>
      <c r="AA212" s="25">
        <v>21523.0</v>
      </c>
      <c r="AB212" s="25">
        <v>0.0</v>
      </c>
    </row>
    <row r="213">
      <c r="A213" s="4"/>
      <c r="C213" s="7" t="s">
        <v>1047</v>
      </c>
      <c r="D213" s="25">
        <v>77.0</v>
      </c>
      <c r="E213" s="25" t="s">
        <v>241</v>
      </c>
      <c r="F213" s="25">
        <v>7934.0</v>
      </c>
      <c r="G213" s="25">
        <v>1090.0</v>
      </c>
      <c r="J213" s="7" t="s">
        <v>1048</v>
      </c>
      <c r="K213" s="25">
        <v>76.0</v>
      </c>
      <c r="L213" s="25" t="s">
        <v>371</v>
      </c>
      <c r="M213" s="25">
        <v>8920.0</v>
      </c>
      <c r="N213" s="25">
        <v>1432.0</v>
      </c>
      <c r="Q213" s="7" t="s">
        <v>1049</v>
      </c>
      <c r="R213" s="25">
        <v>77.0</v>
      </c>
      <c r="S213" s="25" t="s">
        <v>241</v>
      </c>
      <c r="T213" s="25">
        <v>17547.0</v>
      </c>
      <c r="U213" s="25">
        <v>2781.0</v>
      </c>
      <c r="X213" s="7" t="s">
        <v>1050</v>
      </c>
      <c r="Y213" s="25">
        <v>76.0</v>
      </c>
      <c r="Z213" s="25" t="s">
        <v>371</v>
      </c>
      <c r="AA213" s="25">
        <v>26842.0</v>
      </c>
      <c r="AB213" s="25">
        <v>5293.0</v>
      </c>
    </row>
    <row r="214">
      <c r="A214" s="4"/>
      <c r="C214" s="7" t="s">
        <v>1051</v>
      </c>
      <c r="D214" s="25">
        <v>78.0</v>
      </c>
      <c r="E214" s="25" t="s">
        <v>239</v>
      </c>
      <c r="F214" s="25">
        <v>7921.0</v>
      </c>
      <c r="G214" s="25">
        <v>0.0</v>
      </c>
      <c r="J214" s="7" t="s">
        <v>1052</v>
      </c>
      <c r="K214" s="25">
        <v>76.0</v>
      </c>
      <c r="L214" s="25" t="s">
        <v>241</v>
      </c>
      <c r="M214" s="25">
        <v>8933.0</v>
      </c>
      <c r="N214" s="25">
        <v>1457.0</v>
      </c>
      <c r="Q214" s="7" t="s">
        <v>1053</v>
      </c>
      <c r="R214" s="25">
        <v>78.0</v>
      </c>
      <c r="S214" s="25" t="s">
        <v>239</v>
      </c>
      <c r="T214" s="25">
        <v>17507.0</v>
      </c>
      <c r="U214" s="25">
        <v>0.0</v>
      </c>
      <c r="X214" s="7" t="s">
        <v>1054</v>
      </c>
      <c r="Y214" s="25">
        <v>76.0</v>
      </c>
      <c r="Z214" s="25" t="s">
        <v>241</v>
      </c>
      <c r="AA214" s="25">
        <v>29265.0</v>
      </c>
      <c r="AB214" s="25">
        <v>7742.0</v>
      </c>
    </row>
    <row r="215">
      <c r="A215" s="4"/>
      <c r="C215" s="7" t="s">
        <v>1055</v>
      </c>
      <c r="D215" s="25">
        <v>78.0</v>
      </c>
      <c r="E215" s="25" t="s">
        <v>371</v>
      </c>
      <c r="F215" s="25">
        <v>9304.0</v>
      </c>
      <c r="G215" s="25">
        <f>F215-F214</f>
        <v>1383</v>
      </c>
      <c r="J215" s="7" t="s">
        <v>1056</v>
      </c>
      <c r="K215" s="25">
        <v>77.0</v>
      </c>
      <c r="L215" s="25" t="s">
        <v>239</v>
      </c>
      <c r="M215" s="25">
        <v>8920.0</v>
      </c>
      <c r="N215" s="25">
        <v>0.0</v>
      </c>
      <c r="Q215" s="7" t="s">
        <v>1057</v>
      </c>
      <c r="R215" s="25">
        <v>78.0</v>
      </c>
      <c r="S215" s="25" t="s">
        <v>371</v>
      </c>
      <c r="T215" s="25">
        <v>20918.0</v>
      </c>
      <c r="U215" s="25">
        <v>3371.0</v>
      </c>
      <c r="X215" s="7" t="s">
        <v>1058</v>
      </c>
      <c r="Y215" s="25">
        <v>77.0</v>
      </c>
      <c r="Z215" s="25" t="s">
        <v>239</v>
      </c>
      <c r="AA215" s="25">
        <v>26842.0</v>
      </c>
      <c r="AB215" s="25">
        <v>0.0</v>
      </c>
    </row>
    <row r="216">
      <c r="A216" s="4"/>
      <c r="C216" s="7" t="s">
        <v>1059</v>
      </c>
      <c r="D216" s="25">
        <v>78.0</v>
      </c>
      <c r="E216" s="25" t="s">
        <v>241</v>
      </c>
      <c r="F216" s="25">
        <v>9316.0</v>
      </c>
      <c r="G216" s="25">
        <v>1395.0</v>
      </c>
      <c r="J216" s="7" t="s">
        <v>1060</v>
      </c>
      <c r="K216" s="25">
        <v>77.0</v>
      </c>
      <c r="L216" s="25" t="s">
        <v>371</v>
      </c>
      <c r="M216" s="25">
        <v>10447.0</v>
      </c>
      <c r="N216" s="25">
        <v>1514.0</v>
      </c>
      <c r="Q216" s="7" t="s">
        <v>1061</v>
      </c>
      <c r="R216" s="25">
        <v>78.0</v>
      </c>
      <c r="S216" s="25" t="s">
        <v>241</v>
      </c>
      <c r="T216" s="25">
        <v>21003.0</v>
      </c>
      <c r="U216" s="25">
        <v>3496.0</v>
      </c>
      <c r="X216" s="7" t="s">
        <v>1062</v>
      </c>
      <c r="Y216" s="25">
        <v>77.0</v>
      </c>
      <c r="Z216" s="25" t="s">
        <v>371</v>
      </c>
      <c r="AA216" s="25">
        <v>33060.0</v>
      </c>
      <c r="AB216" s="25">
        <v>3795.0</v>
      </c>
    </row>
    <row r="217">
      <c r="A217" s="4"/>
      <c r="C217" s="7" t="s">
        <v>1063</v>
      </c>
      <c r="D217" s="25">
        <v>79.0</v>
      </c>
      <c r="E217" s="25" t="s">
        <v>239</v>
      </c>
      <c r="F217" s="25">
        <v>9304.0</v>
      </c>
      <c r="G217" s="25">
        <v>0.0</v>
      </c>
      <c r="J217" s="7" t="s">
        <v>1064</v>
      </c>
      <c r="K217" s="25">
        <v>77.0</v>
      </c>
      <c r="L217" s="25" t="s">
        <v>241</v>
      </c>
      <c r="M217" s="25">
        <v>10459.0</v>
      </c>
      <c r="N217" s="25">
        <v>1539.0</v>
      </c>
      <c r="Q217" s="7" t="s">
        <v>1065</v>
      </c>
      <c r="R217" s="25">
        <v>79.0</v>
      </c>
      <c r="S217" s="25" t="s">
        <v>239</v>
      </c>
      <c r="T217" s="25">
        <v>20918.0</v>
      </c>
      <c r="U217" s="25">
        <v>0.0</v>
      </c>
      <c r="X217" s="7" t="s">
        <v>1066</v>
      </c>
      <c r="Y217" s="25">
        <v>77.0</v>
      </c>
      <c r="Z217" s="25" t="s">
        <v>241</v>
      </c>
      <c r="AA217" s="25">
        <v>36658.0</v>
      </c>
      <c r="AB217" s="25">
        <v>9816.0</v>
      </c>
    </row>
    <row r="218">
      <c r="A218" s="4"/>
      <c r="C218" s="7" t="s">
        <v>1067</v>
      </c>
      <c r="D218" s="25">
        <v>79.0</v>
      </c>
      <c r="E218" s="25" t="s">
        <v>371</v>
      </c>
      <c r="F218" s="25">
        <v>10877.0</v>
      </c>
      <c r="G218" s="25">
        <f>F218-F217</f>
        <v>1573</v>
      </c>
      <c r="J218" s="7" t="s">
        <v>1068</v>
      </c>
      <c r="K218" s="25">
        <v>78.0</v>
      </c>
      <c r="L218" s="25" t="s">
        <v>239</v>
      </c>
      <c r="M218" s="25">
        <v>10447.0</v>
      </c>
      <c r="N218" s="25">
        <v>0.0</v>
      </c>
      <c r="Q218" s="7" t="s">
        <v>1069</v>
      </c>
      <c r="R218" s="25">
        <v>79.0</v>
      </c>
      <c r="S218" s="25" t="s">
        <v>371</v>
      </c>
      <c r="T218" s="25">
        <v>24641.0</v>
      </c>
      <c r="U218" s="25">
        <v>3638.0</v>
      </c>
      <c r="X218" s="7" t="s">
        <v>1070</v>
      </c>
      <c r="Y218" s="25">
        <v>78.0</v>
      </c>
      <c r="Z218" s="25" t="s">
        <v>239</v>
      </c>
      <c r="AA218" s="25">
        <v>33061.0</v>
      </c>
      <c r="AB218" s="25">
        <v>1.0</v>
      </c>
    </row>
    <row r="219">
      <c r="A219" s="4"/>
      <c r="C219" s="7" t="s">
        <v>1071</v>
      </c>
      <c r="D219" s="25">
        <v>79.0</v>
      </c>
      <c r="E219" s="25" t="s">
        <v>241</v>
      </c>
      <c r="F219" s="25">
        <v>10890.0</v>
      </c>
      <c r="G219" s="25">
        <v>1586.0</v>
      </c>
      <c r="J219" s="7" t="s">
        <v>1072</v>
      </c>
      <c r="K219" s="25">
        <v>78.0</v>
      </c>
      <c r="L219" s="25" t="s">
        <v>371</v>
      </c>
      <c r="M219" s="25">
        <v>12300.0</v>
      </c>
      <c r="N219" s="25">
        <v>1841.0</v>
      </c>
      <c r="Q219" s="7" t="s">
        <v>1073</v>
      </c>
      <c r="R219" s="25">
        <v>79.0</v>
      </c>
      <c r="S219" s="25" t="s">
        <v>241</v>
      </c>
      <c r="T219" s="25">
        <v>24694.0</v>
      </c>
      <c r="U219" s="25">
        <v>3776.0</v>
      </c>
      <c r="X219" s="7" t="s">
        <v>1074</v>
      </c>
      <c r="Y219" s="25">
        <v>78.0</v>
      </c>
      <c r="Z219" s="25" t="s">
        <v>371</v>
      </c>
      <c r="AA219" s="25">
        <v>40944.0</v>
      </c>
      <c r="AB219" s="25">
        <v>4286.0</v>
      </c>
    </row>
    <row r="220">
      <c r="A220" s="4"/>
      <c r="C220" s="7" t="s">
        <v>1075</v>
      </c>
      <c r="D220" s="25">
        <v>80.0</v>
      </c>
      <c r="E220" s="25" t="s">
        <v>239</v>
      </c>
      <c r="F220" s="25">
        <v>10877.0</v>
      </c>
      <c r="G220" s="25">
        <v>0.0</v>
      </c>
      <c r="J220" s="7" t="s">
        <v>1076</v>
      </c>
      <c r="K220" s="25">
        <v>78.0</v>
      </c>
      <c r="L220" s="25" t="s">
        <v>241</v>
      </c>
      <c r="M220" s="25">
        <v>12312.0</v>
      </c>
      <c r="N220" s="25">
        <v>1865.0</v>
      </c>
      <c r="Q220" s="7" t="s">
        <v>1077</v>
      </c>
      <c r="R220" s="25">
        <v>80.0</v>
      </c>
      <c r="S220" s="25" t="s">
        <v>239</v>
      </c>
      <c r="T220" s="25">
        <v>24642.0</v>
      </c>
      <c r="U220" s="25">
        <v>1.0</v>
      </c>
      <c r="X220" s="7" t="s">
        <v>1078</v>
      </c>
      <c r="Y220" s="25">
        <v>78.0</v>
      </c>
      <c r="Z220" s="25" t="s">
        <v>241</v>
      </c>
      <c r="AA220" s="25">
        <v>53419.0</v>
      </c>
      <c r="AB220" s="25">
        <v>20358.0</v>
      </c>
    </row>
    <row r="221">
      <c r="A221" s="4"/>
      <c r="C221" s="7" t="s">
        <v>1079</v>
      </c>
      <c r="D221" s="25">
        <v>80.0</v>
      </c>
      <c r="E221" s="25" t="s">
        <v>371</v>
      </c>
      <c r="F221" s="25">
        <v>13098.0</v>
      </c>
      <c r="G221" s="25">
        <f>F221-F220</f>
        <v>2221</v>
      </c>
      <c r="J221" s="7" t="s">
        <v>1080</v>
      </c>
      <c r="K221" s="25">
        <v>79.0</v>
      </c>
      <c r="L221" s="25" t="s">
        <v>239</v>
      </c>
      <c r="M221" s="25">
        <v>12300.0</v>
      </c>
      <c r="N221" s="25">
        <v>0.0</v>
      </c>
      <c r="Q221" s="7" t="s">
        <v>1081</v>
      </c>
      <c r="R221" s="25">
        <v>80.0</v>
      </c>
      <c r="S221" s="25" t="s">
        <v>371</v>
      </c>
      <c r="T221" s="25">
        <v>31448.0</v>
      </c>
      <c r="U221" s="25">
        <v>6754.0</v>
      </c>
      <c r="X221" s="7" t="s">
        <v>1082</v>
      </c>
      <c r="Y221" s="25">
        <v>79.0</v>
      </c>
      <c r="Z221" s="25" t="s">
        <v>239</v>
      </c>
      <c r="AA221" s="25">
        <v>40946.0</v>
      </c>
      <c r="AB221" s="25">
        <v>2.0</v>
      </c>
    </row>
    <row r="222">
      <c r="A222" s="4"/>
      <c r="C222" s="7" t="s">
        <v>1083</v>
      </c>
      <c r="D222" s="25">
        <v>80.0</v>
      </c>
      <c r="E222" s="25" t="s">
        <v>241</v>
      </c>
      <c r="F222" s="25">
        <v>13111.0</v>
      </c>
      <c r="G222" s="25">
        <v>2234.0</v>
      </c>
      <c r="J222" s="7" t="s">
        <v>1084</v>
      </c>
      <c r="K222" s="25">
        <v>79.0</v>
      </c>
      <c r="L222" s="25" t="s">
        <v>371</v>
      </c>
      <c r="M222" s="25">
        <v>14476.0</v>
      </c>
      <c r="N222" s="25">
        <v>2164.0</v>
      </c>
      <c r="Q222" s="7" t="s">
        <v>1085</v>
      </c>
      <c r="R222" s="25">
        <v>80.0</v>
      </c>
      <c r="S222" s="25" t="s">
        <v>241</v>
      </c>
      <c r="T222" s="25">
        <v>38730.0</v>
      </c>
      <c r="U222" s="25">
        <v>14088.0</v>
      </c>
      <c r="X222" s="7" t="s">
        <v>1086</v>
      </c>
      <c r="Y222" s="25">
        <v>79.0</v>
      </c>
      <c r="Z222" s="25" t="s">
        <v>371</v>
      </c>
      <c r="AA222" s="25">
        <v>51603.0</v>
      </c>
      <c r="AB222" s="25">
        <v>-1816.0</v>
      </c>
    </row>
    <row r="223">
      <c r="A223" s="4"/>
      <c r="C223" s="7" t="s">
        <v>1087</v>
      </c>
      <c r="D223" s="25">
        <v>81.0</v>
      </c>
      <c r="E223" s="25" t="s">
        <v>239</v>
      </c>
      <c r="F223" s="25">
        <v>13098.0</v>
      </c>
      <c r="G223" s="25">
        <v>0.0</v>
      </c>
      <c r="J223" s="7" t="s">
        <v>1088</v>
      </c>
      <c r="K223" s="25">
        <v>79.0</v>
      </c>
      <c r="L223" s="25" t="s">
        <v>241</v>
      </c>
      <c r="M223" s="25">
        <v>14489.0</v>
      </c>
      <c r="N223" s="25">
        <v>2189.0</v>
      </c>
      <c r="Q223" s="7" t="s">
        <v>1089</v>
      </c>
      <c r="R223" s="25">
        <v>81.0</v>
      </c>
      <c r="S223" s="25" t="s">
        <v>239</v>
      </c>
      <c r="T223" s="25">
        <v>31448.0</v>
      </c>
      <c r="U223" s="25">
        <v>0.0</v>
      </c>
      <c r="X223" s="7" t="s">
        <v>1090</v>
      </c>
      <c r="Y223" s="25">
        <v>79.0</v>
      </c>
      <c r="Z223" s="25" t="s">
        <v>241</v>
      </c>
      <c r="AA223" s="25">
        <v>51983.0</v>
      </c>
      <c r="AB223" s="25">
        <v>11037.0</v>
      </c>
    </row>
    <row r="224">
      <c r="A224" s="4"/>
      <c r="C224" s="7" t="s">
        <v>1091</v>
      </c>
      <c r="D224" s="25">
        <v>81.0</v>
      </c>
      <c r="E224" s="25" t="s">
        <v>371</v>
      </c>
      <c r="F224" s="25">
        <v>15422.0</v>
      </c>
      <c r="G224" s="25">
        <f>F224-F223</f>
        <v>2324</v>
      </c>
      <c r="J224" s="7" t="s">
        <v>1092</v>
      </c>
      <c r="K224" s="25">
        <v>80.0</v>
      </c>
      <c r="L224" s="25" t="s">
        <v>239</v>
      </c>
      <c r="M224" s="25">
        <v>14476.0</v>
      </c>
      <c r="N224" s="25">
        <v>0.0</v>
      </c>
      <c r="Q224" s="7" t="s">
        <v>1093</v>
      </c>
      <c r="R224" s="25">
        <v>81.0</v>
      </c>
      <c r="S224" s="25" t="s">
        <v>371</v>
      </c>
      <c r="T224" s="25">
        <v>39102.0</v>
      </c>
      <c r="U224" s="25">
        <v>372.0</v>
      </c>
      <c r="X224" s="7" t="s">
        <v>1094</v>
      </c>
      <c r="Y224" s="25">
        <v>80.0</v>
      </c>
      <c r="Z224" s="25" t="s">
        <v>239</v>
      </c>
      <c r="AA224" s="25">
        <v>51603.0</v>
      </c>
      <c r="AB224" s="25">
        <v>0.0</v>
      </c>
    </row>
    <row r="225">
      <c r="A225" s="4"/>
      <c r="C225" s="7" t="s">
        <v>1095</v>
      </c>
      <c r="D225" s="25">
        <v>81.0</v>
      </c>
      <c r="E225" s="25" t="s">
        <v>241</v>
      </c>
      <c r="F225" s="25">
        <v>15434.0</v>
      </c>
      <c r="G225" s="25">
        <v>2336.0</v>
      </c>
      <c r="J225" s="7" t="s">
        <v>1096</v>
      </c>
      <c r="K225" s="25">
        <v>80.0</v>
      </c>
      <c r="L225" s="25" t="s">
        <v>371</v>
      </c>
      <c r="M225" s="25">
        <v>17372.0</v>
      </c>
      <c r="N225" s="25">
        <v>2883.0</v>
      </c>
      <c r="Q225" s="7" t="s">
        <v>1097</v>
      </c>
      <c r="R225" s="25">
        <v>81.0</v>
      </c>
      <c r="S225" s="25" t="s">
        <v>241</v>
      </c>
      <c r="T225" s="25">
        <v>39220.0</v>
      </c>
      <c r="U225" s="25">
        <v>7772.0</v>
      </c>
      <c r="X225" s="7" t="s">
        <v>1098</v>
      </c>
      <c r="Y225" s="25">
        <v>80.0</v>
      </c>
      <c r="Z225" s="25" t="s">
        <v>371</v>
      </c>
      <c r="AA225" s="25">
        <v>63838.0</v>
      </c>
      <c r="AB225" s="25">
        <v>11855.0</v>
      </c>
    </row>
    <row r="226">
      <c r="A226" s="4"/>
      <c r="C226" s="7" t="s">
        <v>1099</v>
      </c>
      <c r="D226" s="25">
        <v>82.0</v>
      </c>
      <c r="E226" s="25" t="s">
        <v>239</v>
      </c>
      <c r="F226" s="25">
        <v>15422.0</v>
      </c>
      <c r="G226" s="25">
        <v>0.0</v>
      </c>
      <c r="J226" s="7" t="s">
        <v>1100</v>
      </c>
      <c r="K226" s="25">
        <v>80.0</v>
      </c>
      <c r="L226" s="25" t="s">
        <v>241</v>
      </c>
      <c r="M226" s="25">
        <v>17386.0</v>
      </c>
      <c r="N226" s="25">
        <v>2910.0</v>
      </c>
      <c r="Q226" s="7" t="s">
        <v>1101</v>
      </c>
      <c r="R226" s="25">
        <v>82.0</v>
      </c>
      <c r="S226" s="25" t="s">
        <v>239</v>
      </c>
      <c r="T226" s="25">
        <v>39102.0</v>
      </c>
      <c r="U226" s="25">
        <v>0.0</v>
      </c>
      <c r="X226" s="7" t="s">
        <v>1102</v>
      </c>
      <c r="Y226" s="25">
        <v>80.0</v>
      </c>
      <c r="Z226" s="25" t="s">
        <v>241</v>
      </c>
      <c r="AA226" s="25">
        <v>69476.0</v>
      </c>
      <c r="AB226" s="25">
        <v>17873.0</v>
      </c>
    </row>
    <row r="227">
      <c r="A227" s="4"/>
      <c r="C227" s="7" t="s">
        <v>1103</v>
      </c>
      <c r="D227" s="25">
        <v>82.0</v>
      </c>
      <c r="E227" s="25" t="s">
        <v>371</v>
      </c>
      <c r="F227" s="25">
        <v>18089.0</v>
      </c>
      <c r="G227" s="25">
        <f>F227-F226</f>
        <v>2667</v>
      </c>
      <c r="J227" s="7" t="s">
        <v>1104</v>
      </c>
      <c r="K227" s="25">
        <v>81.0</v>
      </c>
      <c r="L227" s="25" t="s">
        <v>239</v>
      </c>
      <c r="M227" s="25">
        <v>17373.0</v>
      </c>
      <c r="N227" s="25">
        <v>1.0</v>
      </c>
      <c r="Q227" s="7" t="s">
        <v>1105</v>
      </c>
      <c r="R227" s="25">
        <v>82.0</v>
      </c>
      <c r="S227" s="25" t="s">
        <v>371</v>
      </c>
      <c r="T227" s="25">
        <v>47245.0</v>
      </c>
      <c r="U227" s="25">
        <v>8025.0</v>
      </c>
      <c r="X227" s="7" t="s">
        <v>1106</v>
      </c>
      <c r="Y227" s="25">
        <v>81.0</v>
      </c>
      <c r="Z227" s="25" t="s">
        <v>239</v>
      </c>
      <c r="AA227" s="25">
        <v>63839.0</v>
      </c>
      <c r="AB227" s="25">
        <v>1.0</v>
      </c>
    </row>
    <row r="228">
      <c r="A228" s="4"/>
      <c r="C228" s="7" t="s">
        <v>1107</v>
      </c>
      <c r="D228" s="25">
        <v>82.0</v>
      </c>
      <c r="E228" s="25" t="s">
        <v>241</v>
      </c>
      <c r="F228" s="25">
        <v>18101.0</v>
      </c>
      <c r="G228" s="25">
        <v>2679.0</v>
      </c>
      <c r="J228" s="7" t="s">
        <v>1108</v>
      </c>
      <c r="K228" s="25">
        <v>81.0</v>
      </c>
      <c r="L228" s="25" t="s">
        <v>371</v>
      </c>
      <c r="M228" s="25">
        <v>20565.0</v>
      </c>
      <c r="N228" s="25">
        <v>3179.0</v>
      </c>
      <c r="Q228" s="7" t="s">
        <v>1109</v>
      </c>
      <c r="R228" s="25">
        <v>82.0</v>
      </c>
      <c r="S228" s="25" t="s">
        <v>241</v>
      </c>
      <c r="T228" s="25">
        <v>47331.0</v>
      </c>
      <c r="U228" s="25">
        <v>8229.0</v>
      </c>
      <c r="X228" s="7" t="s">
        <v>1110</v>
      </c>
      <c r="Y228" s="25">
        <v>81.0</v>
      </c>
      <c r="Z228" s="25" t="s">
        <v>371</v>
      </c>
      <c r="AA228" s="25">
        <v>78696.0</v>
      </c>
      <c r="AB228" s="25">
        <v>9220.0</v>
      </c>
    </row>
    <row r="229">
      <c r="A229" s="4"/>
      <c r="C229" s="7" t="s">
        <v>1111</v>
      </c>
      <c r="D229" s="25">
        <v>83.0</v>
      </c>
      <c r="E229" s="25" t="s">
        <v>239</v>
      </c>
      <c r="F229" s="25">
        <v>18090.0</v>
      </c>
      <c r="G229" s="25">
        <v>1.0</v>
      </c>
      <c r="J229" s="7" t="s">
        <v>1112</v>
      </c>
      <c r="K229" s="25">
        <v>81.0</v>
      </c>
      <c r="L229" s="25" t="s">
        <v>241</v>
      </c>
      <c r="M229" s="25">
        <v>20578.0</v>
      </c>
      <c r="N229" s="25">
        <v>3205.0</v>
      </c>
      <c r="Q229" s="7" t="s">
        <v>1113</v>
      </c>
      <c r="R229" s="25">
        <v>83.0</v>
      </c>
      <c r="S229" s="25" t="s">
        <v>239</v>
      </c>
      <c r="T229" s="25">
        <v>47245.0</v>
      </c>
      <c r="U229" s="25">
        <v>0.0</v>
      </c>
      <c r="X229" s="7" t="s">
        <v>1114</v>
      </c>
      <c r="Y229" s="25">
        <v>81.0</v>
      </c>
      <c r="Z229" s="25" t="s">
        <v>241</v>
      </c>
      <c r="AA229" s="25">
        <v>85072.0</v>
      </c>
      <c r="AB229" s="25">
        <v>21233.0</v>
      </c>
    </row>
    <row r="230">
      <c r="A230" s="4"/>
      <c r="C230" s="7" t="s">
        <v>1115</v>
      </c>
      <c r="D230" s="25">
        <v>83.0</v>
      </c>
      <c r="E230" s="25" t="s">
        <v>371</v>
      </c>
      <c r="F230" s="25">
        <v>21258.0</v>
      </c>
      <c r="G230" s="25">
        <f>F230-F229</f>
        <v>3168</v>
      </c>
      <c r="J230" s="7" t="s">
        <v>1116</v>
      </c>
      <c r="K230" s="25">
        <v>82.0</v>
      </c>
      <c r="L230" s="25" t="s">
        <v>239</v>
      </c>
      <c r="M230" s="25">
        <v>20565.0</v>
      </c>
      <c r="N230" s="25">
        <v>0.0</v>
      </c>
      <c r="Q230" s="7" t="s">
        <v>1117</v>
      </c>
      <c r="R230" s="25">
        <v>83.0</v>
      </c>
      <c r="S230" s="25" t="s">
        <v>371</v>
      </c>
      <c r="T230" s="25">
        <v>55870.0</v>
      </c>
      <c r="U230" s="25">
        <v>8539.0</v>
      </c>
      <c r="X230" s="7" t="s">
        <v>1118</v>
      </c>
      <c r="Y230" s="25">
        <v>82.0</v>
      </c>
      <c r="Z230" s="25" t="s">
        <v>239</v>
      </c>
      <c r="AA230" s="25">
        <v>78697.0</v>
      </c>
      <c r="AB230" s="25">
        <v>1.0</v>
      </c>
    </row>
    <row r="231">
      <c r="A231" s="4"/>
      <c r="C231" s="7" t="s">
        <v>1119</v>
      </c>
      <c r="D231" s="25">
        <v>83.0</v>
      </c>
      <c r="E231" s="25" t="s">
        <v>241</v>
      </c>
      <c r="F231" s="25">
        <v>21271.0</v>
      </c>
      <c r="G231" s="25">
        <v>3181.0</v>
      </c>
      <c r="J231" s="7" t="s">
        <v>1120</v>
      </c>
      <c r="K231" s="25">
        <v>82.0</v>
      </c>
      <c r="L231" s="25" t="s">
        <v>371</v>
      </c>
      <c r="M231" s="25">
        <v>24171.0</v>
      </c>
      <c r="N231" s="25">
        <v>3593.0</v>
      </c>
      <c r="Q231" s="7" t="s">
        <v>1121</v>
      </c>
      <c r="R231" s="25">
        <v>83.0</v>
      </c>
      <c r="S231" s="25" t="s">
        <v>241</v>
      </c>
      <c r="T231" s="25">
        <v>56035.0</v>
      </c>
      <c r="U231" s="25">
        <v>8790.0</v>
      </c>
      <c r="X231" s="7" t="s">
        <v>1122</v>
      </c>
      <c r="Y231" s="25">
        <v>82.0</v>
      </c>
      <c r="Z231" s="25" t="s">
        <v>371</v>
      </c>
      <c r="AA231" s="25">
        <v>95327.0</v>
      </c>
      <c r="AB231" s="25">
        <v>10255.0</v>
      </c>
    </row>
    <row r="232">
      <c r="A232" s="4"/>
      <c r="C232" s="7" t="s">
        <v>1123</v>
      </c>
      <c r="D232" s="25">
        <v>84.0</v>
      </c>
      <c r="E232" s="25" t="s">
        <v>239</v>
      </c>
      <c r="F232" s="25">
        <v>21258.0</v>
      </c>
      <c r="G232" s="25">
        <v>0.0</v>
      </c>
      <c r="J232" s="7" t="s">
        <v>1124</v>
      </c>
      <c r="K232" s="25">
        <v>82.0</v>
      </c>
      <c r="L232" s="25" t="s">
        <v>241</v>
      </c>
      <c r="M232" s="25">
        <v>24184.0</v>
      </c>
      <c r="N232" s="25">
        <v>3619.0</v>
      </c>
      <c r="Q232" s="7" t="s">
        <v>1125</v>
      </c>
      <c r="R232" s="25">
        <v>84.0</v>
      </c>
      <c r="S232" s="25" t="s">
        <v>239</v>
      </c>
      <c r="T232" s="25">
        <v>55870.0</v>
      </c>
      <c r="U232" s="25">
        <v>0.0</v>
      </c>
      <c r="X232" s="7" t="s">
        <v>1126</v>
      </c>
      <c r="Y232" s="25">
        <v>82.0</v>
      </c>
      <c r="Z232" s="25" t="s">
        <v>241</v>
      </c>
      <c r="AA232" s="25">
        <v>105843.0</v>
      </c>
      <c r="AB232" s="25">
        <v>27146.0</v>
      </c>
    </row>
    <row r="233">
      <c r="A233" s="4"/>
      <c r="C233" s="7" t="s">
        <v>1127</v>
      </c>
      <c r="D233" s="25">
        <v>84.0</v>
      </c>
      <c r="E233" s="25" t="s">
        <v>371</v>
      </c>
      <c r="F233" s="25">
        <v>25917.0</v>
      </c>
      <c r="G233" s="25">
        <f>F233-F232</f>
        <v>4659</v>
      </c>
      <c r="J233" s="7" t="s">
        <v>1128</v>
      </c>
      <c r="K233" s="25">
        <v>83.0</v>
      </c>
      <c r="L233" s="25" t="s">
        <v>239</v>
      </c>
      <c r="M233" s="25">
        <v>24171.0</v>
      </c>
      <c r="N233" s="25">
        <v>0.0</v>
      </c>
      <c r="Q233" s="7" t="s">
        <v>1129</v>
      </c>
      <c r="R233" s="25">
        <v>84.0</v>
      </c>
      <c r="S233" s="25" t="s">
        <v>371</v>
      </c>
      <c r="T233" s="25">
        <v>74327.0</v>
      </c>
      <c r="U233" s="25">
        <v>18292.0</v>
      </c>
      <c r="X233" s="7" t="s">
        <v>1130</v>
      </c>
      <c r="Y233" s="25">
        <v>83.0</v>
      </c>
      <c r="Z233" s="25" t="s">
        <v>239</v>
      </c>
      <c r="AA233" s="25">
        <v>95327.0</v>
      </c>
      <c r="AB233" s="25">
        <v>0.0</v>
      </c>
    </row>
    <row r="234">
      <c r="A234" s="4"/>
      <c r="C234" s="7" t="s">
        <v>1131</v>
      </c>
      <c r="D234" s="25">
        <v>84.0</v>
      </c>
      <c r="E234" s="25" t="s">
        <v>241</v>
      </c>
      <c r="F234" s="25">
        <v>25930.0</v>
      </c>
      <c r="G234" s="25">
        <v>4672.0</v>
      </c>
      <c r="J234" s="7" t="s">
        <v>1132</v>
      </c>
      <c r="K234" s="25">
        <v>83.0</v>
      </c>
      <c r="L234" s="25" t="s">
        <v>371</v>
      </c>
      <c r="M234" s="25">
        <v>28601.0</v>
      </c>
      <c r="N234" s="25">
        <v>4417.0</v>
      </c>
      <c r="Q234" s="7" t="s">
        <v>1133</v>
      </c>
      <c r="R234" s="25">
        <v>84.0</v>
      </c>
      <c r="S234" s="25" t="s">
        <v>241</v>
      </c>
      <c r="T234" s="25">
        <v>88877.0</v>
      </c>
      <c r="U234" s="25">
        <v>33007.0</v>
      </c>
      <c r="X234" s="7" t="s">
        <v>1134</v>
      </c>
      <c r="Y234" s="25">
        <v>83.0</v>
      </c>
      <c r="Z234" s="25" t="s">
        <v>371</v>
      </c>
      <c r="AA234" s="25">
        <v>117558.0</v>
      </c>
      <c r="AB234" s="25">
        <v>11715.0</v>
      </c>
    </row>
    <row r="235">
      <c r="A235" s="4"/>
      <c r="C235" s="7" t="s">
        <v>1135</v>
      </c>
      <c r="D235" s="25">
        <v>85.0</v>
      </c>
      <c r="E235" s="25" t="s">
        <v>239</v>
      </c>
      <c r="F235" s="25">
        <v>25917.0</v>
      </c>
      <c r="G235" s="25">
        <v>0.0</v>
      </c>
      <c r="J235" s="7" t="s">
        <v>1136</v>
      </c>
      <c r="K235" s="25">
        <v>83.0</v>
      </c>
      <c r="L235" s="25" t="s">
        <v>241</v>
      </c>
      <c r="M235" s="25">
        <v>28614.0</v>
      </c>
      <c r="N235" s="25">
        <v>4443.0</v>
      </c>
      <c r="Q235" s="7" t="s">
        <v>1137</v>
      </c>
      <c r="R235" s="25">
        <v>85.0</v>
      </c>
      <c r="S235" s="25" t="s">
        <v>239</v>
      </c>
      <c r="T235" s="25">
        <v>74328.0</v>
      </c>
      <c r="U235" s="25">
        <v>1.0</v>
      </c>
      <c r="X235" s="7" t="s">
        <v>1138</v>
      </c>
      <c r="Y235" s="25">
        <v>83.0</v>
      </c>
      <c r="Z235" s="25" t="s">
        <v>241</v>
      </c>
      <c r="AA235" s="25">
        <v>157944.0</v>
      </c>
      <c r="AB235" s="25">
        <v>62617.0</v>
      </c>
    </row>
    <row r="236">
      <c r="A236" s="4"/>
      <c r="C236" s="7" t="s">
        <v>1139</v>
      </c>
      <c r="D236" s="25">
        <v>85.0</v>
      </c>
      <c r="E236" s="25" t="s">
        <v>371</v>
      </c>
      <c r="F236" s="25">
        <v>30540.0</v>
      </c>
      <c r="G236" s="25">
        <f>F236-F235</f>
        <v>4623</v>
      </c>
      <c r="J236" s="7" t="s">
        <v>1140</v>
      </c>
      <c r="K236" s="25">
        <v>84.0</v>
      </c>
      <c r="L236" s="25" t="s">
        <v>239</v>
      </c>
      <c r="M236" s="25">
        <v>28601.0</v>
      </c>
      <c r="N236" s="25">
        <v>0.0</v>
      </c>
      <c r="Q236" s="7" t="s">
        <v>1141</v>
      </c>
      <c r="R236" s="25">
        <v>85.0</v>
      </c>
      <c r="S236" s="25" t="s">
        <v>371</v>
      </c>
      <c r="T236" s="25">
        <v>88526.0</v>
      </c>
      <c r="U236" s="25">
        <v>-351.0</v>
      </c>
      <c r="X236" s="7" t="s">
        <v>1142</v>
      </c>
      <c r="Y236" s="25">
        <v>84.0</v>
      </c>
      <c r="Z236" s="25" t="s">
        <v>239</v>
      </c>
      <c r="AA236" s="25">
        <v>117558.0</v>
      </c>
      <c r="AB236" s="25">
        <v>0.0</v>
      </c>
    </row>
    <row r="237">
      <c r="A237" s="4"/>
      <c r="C237" s="7" t="s">
        <v>1143</v>
      </c>
      <c r="D237" s="25">
        <v>85.0</v>
      </c>
      <c r="E237" s="25" t="s">
        <v>241</v>
      </c>
      <c r="F237" s="25">
        <v>30550.0</v>
      </c>
      <c r="G237" s="25">
        <v>4633.0</v>
      </c>
      <c r="J237" s="7" t="s">
        <v>1144</v>
      </c>
      <c r="K237" s="25">
        <v>84.0</v>
      </c>
      <c r="L237" s="25" t="s">
        <v>371</v>
      </c>
      <c r="M237" s="25">
        <v>34659.0</v>
      </c>
      <c r="N237" s="25">
        <v>6045.0</v>
      </c>
      <c r="Q237" s="7" t="s">
        <v>1145</v>
      </c>
      <c r="R237" s="25">
        <v>85.0</v>
      </c>
      <c r="S237" s="25" t="s">
        <v>241</v>
      </c>
      <c r="T237" s="25">
        <v>88716.0</v>
      </c>
      <c r="U237" s="25">
        <v>14388.0</v>
      </c>
      <c r="X237" s="7" t="s">
        <v>1146</v>
      </c>
      <c r="Y237" s="25">
        <v>84.0</v>
      </c>
      <c r="Z237" s="25" t="s">
        <v>371</v>
      </c>
      <c r="AA237" s="25">
        <v>155291.0</v>
      </c>
      <c r="AB237" s="25">
        <v>-2653.0</v>
      </c>
    </row>
    <row r="238">
      <c r="A238" s="4"/>
      <c r="C238" s="7" t="s">
        <v>1147</v>
      </c>
      <c r="D238" s="25">
        <v>86.0</v>
      </c>
      <c r="E238" s="25" t="s">
        <v>239</v>
      </c>
      <c r="F238" s="25">
        <v>30540.0</v>
      </c>
      <c r="G238" s="25">
        <v>0.0</v>
      </c>
      <c r="J238" s="7" t="s">
        <v>1148</v>
      </c>
      <c r="K238" s="25">
        <v>84.0</v>
      </c>
      <c r="L238" s="25" t="s">
        <v>241</v>
      </c>
      <c r="M238" s="25">
        <v>34671.0</v>
      </c>
      <c r="N238" s="25">
        <v>6070.0</v>
      </c>
      <c r="Q238" s="7" t="s">
        <v>1149</v>
      </c>
      <c r="R238" s="25">
        <v>86.0</v>
      </c>
      <c r="S238" s="25" t="s">
        <v>239</v>
      </c>
      <c r="T238" s="25">
        <v>88526.0</v>
      </c>
      <c r="U238" s="25">
        <v>0.0</v>
      </c>
      <c r="X238" s="7" t="s">
        <v>1150</v>
      </c>
      <c r="Y238" s="25">
        <v>84.0</v>
      </c>
      <c r="Z238" s="25" t="s">
        <v>241</v>
      </c>
      <c r="AA238" s="25">
        <v>170840.0</v>
      </c>
      <c r="AB238" s="25">
        <v>53282.0</v>
      </c>
    </row>
    <row r="239">
      <c r="A239" s="4"/>
      <c r="C239" s="7" t="s">
        <v>1151</v>
      </c>
      <c r="D239" s="25">
        <v>86.0</v>
      </c>
      <c r="E239" s="25" t="s">
        <v>371</v>
      </c>
      <c r="F239" s="25">
        <v>35968.0</v>
      </c>
      <c r="G239" s="25">
        <f>F239-F238</f>
        <v>5428</v>
      </c>
      <c r="J239" s="7" t="s">
        <v>1152</v>
      </c>
      <c r="K239" s="25">
        <v>85.0</v>
      </c>
      <c r="L239" s="25" t="s">
        <v>239</v>
      </c>
      <c r="M239" s="25">
        <v>34659.0</v>
      </c>
      <c r="N239" s="25">
        <v>0.0</v>
      </c>
      <c r="Q239" s="7" t="s">
        <v>1153</v>
      </c>
      <c r="R239" s="25">
        <v>86.0</v>
      </c>
      <c r="S239" s="25" t="s">
        <v>371</v>
      </c>
      <c r="T239" s="25">
        <v>102900.0</v>
      </c>
      <c r="U239" s="25">
        <v>14184.0</v>
      </c>
      <c r="X239" s="7" t="s">
        <v>1154</v>
      </c>
      <c r="Y239" s="25">
        <v>85.0</v>
      </c>
      <c r="Z239" s="25" t="s">
        <v>239</v>
      </c>
      <c r="AA239" s="25">
        <v>155292.0</v>
      </c>
      <c r="AB239" s="25">
        <v>1.0</v>
      </c>
    </row>
    <row r="240">
      <c r="A240" s="4"/>
      <c r="C240" s="7" t="s">
        <v>1155</v>
      </c>
      <c r="D240" s="25">
        <v>86.0</v>
      </c>
      <c r="E240" s="25" t="s">
        <v>241</v>
      </c>
      <c r="F240" s="25">
        <v>35980.0</v>
      </c>
      <c r="G240" s="25">
        <v>5440.0</v>
      </c>
      <c r="J240" s="7" t="s">
        <v>1156</v>
      </c>
      <c r="K240" s="25">
        <v>85.0</v>
      </c>
      <c r="L240" s="25" t="s">
        <v>371</v>
      </c>
      <c r="M240" s="25">
        <v>41055.0</v>
      </c>
      <c r="N240" s="25">
        <v>6384.0</v>
      </c>
      <c r="Q240" s="7" t="s">
        <v>1157</v>
      </c>
      <c r="R240" s="25">
        <v>86.0</v>
      </c>
      <c r="S240" s="25" t="s">
        <v>241</v>
      </c>
      <c r="T240" s="25">
        <v>103077.0</v>
      </c>
      <c r="U240" s="25">
        <v>14551.0</v>
      </c>
      <c r="X240" s="7" t="s">
        <v>1158</v>
      </c>
      <c r="Y240" s="25">
        <v>85.0</v>
      </c>
      <c r="Z240" s="25" t="s">
        <v>371</v>
      </c>
      <c r="AA240" s="25">
        <v>187293.0</v>
      </c>
      <c r="AB240" s="25">
        <v>16453.0</v>
      </c>
    </row>
    <row r="241">
      <c r="A241" s="4"/>
      <c r="C241" s="7" t="s">
        <v>1159</v>
      </c>
      <c r="D241" s="25">
        <v>87.0</v>
      </c>
      <c r="E241" s="25" t="s">
        <v>239</v>
      </c>
      <c r="F241" s="25">
        <v>35968.0</v>
      </c>
      <c r="G241" s="25">
        <v>0.0</v>
      </c>
      <c r="J241" s="7" t="s">
        <v>1160</v>
      </c>
      <c r="K241" s="25">
        <v>85.0</v>
      </c>
      <c r="L241" s="25" t="s">
        <v>241</v>
      </c>
      <c r="M241" s="25">
        <v>41069.0</v>
      </c>
      <c r="N241" s="25">
        <v>6410.0</v>
      </c>
      <c r="Q241" s="7" t="s">
        <v>1161</v>
      </c>
      <c r="R241" s="25">
        <v>87.0</v>
      </c>
      <c r="S241" s="25" t="s">
        <v>239</v>
      </c>
      <c r="T241" s="25">
        <v>102900.0</v>
      </c>
      <c r="U241" s="25">
        <v>0.0</v>
      </c>
      <c r="X241" s="7" t="s">
        <v>1162</v>
      </c>
      <c r="Y241" s="25">
        <v>85.0</v>
      </c>
      <c r="Z241" s="25" t="s">
        <v>241</v>
      </c>
      <c r="AA241" s="25">
        <v>193775.0</v>
      </c>
      <c r="AB241" s="25">
        <v>38483.0</v>
      </c>
    </row>
    <row r="242">
      <c r="A242" s="4"/>
      <c r="C242" s="7" t="s">
        <v>1163</v>
      </c>
      <c r="D242" s="25">
        <v>87.0</v>
      </c>
      <c r="E242" s="25" t="s">
        <v>371</v>
      </c>
      <c r="F242" s="25">
        <v>42740.0</v>
      </c>
      <c r="G242" s="25">
        <f>F242-F241</f>
        <v>6772</v>
      </c>
      <c r="J242" s="7" t="s">
        <v>1164</v>
      </c>
      <c r="K242" s="25">
        <v>86.0</v>
      </c>
      <c r="L242" s="25" t="s">
        <v>239</v>
      </c>
      <c r="M242" s="25">
        <v>41056.0</v>
      </c>
      <c r="N242" s="25">
        <v>1.0</v>
      </c>
      <c r="Q242" s="7" t="s">
        <v>1165</v>
      </c>
      <c r="R242" s="25">
        <v>87.0</v>
      </c>
      <c r="S242" s="25" t="s">
        <v>371</v>
      </c>
      <c r="T242" s="25">
        <v>125652.0</v>
      </c>
      <c r="U242" s="25">
        <v>22575.0</v>
      </c>
      <c r="X242" s="7" t="s">
        <v>1166</v>
      </c>
      <c r="Y242" s="25">
        <v>86.0</v>
      </c>
      <c r="Z242" s="25" t="s">
        <v>239</v>
      </c>
      <c r="AA242" s="25">
        <v>187293.0</v>
      </c>
      <c r="AB242" s="25">
        <v>0.0</v>
      </c>
    </row>
    <row r="243">
      <c r="A243" s="4"/>
      <c r="C243" s="7" t="s">
        <v>1167</v>
      </c>
      <c r="D243" s="25">
        <v>87.0</v>
      </c>
      <c r="E243" s="25" t="s">
        <v>241</v>
      </c>
      <c r="F243" s="25">
        <v>42753.0</v>
      </c>
      <c r="G243" s="25">
        <v>6785.0</v>
      </c>
      <c r="J243" s="7" t="s">
        <v>1168</v>
      </c>
      <c r="K243" s="25">
        <v>86.0</v>
      </c>
      <c r="L243" s="25" t="s">
        <v>371</v>
      </c>
      <c r="M243" s="25">
        <v>48362.0</v>
      </c>
      <c r="N243" s="25">
        <v>7293.0</v>
      </c>
      <c r="Q243" s="7" t="s">
        <v>1169</v>
      </c>
      <c r="R243" s="25">
        <v>87.0</v>
      </c>
      <c r="S243" s="25" t="s">
        <v>241</v>
      </c>
      <c r="T243" s="25">
        <v>127012.0</v>
      </c>
      <c r="U243" s="25">
        <v>24112.0</v>
      </c>
      <c r="X243" s="7" t="s">
        <v>1170</v>
      </c>
      <c r="Y243" s="25">
        <v>86.0</v>
      </c>
      <c r="Z243" s="25" t="s">
        <v>371</v>
      </c>
      <c r="AA243" s="25">
        <v>219834.0</v>
      </c>
      <c r="AB243" s="25">
        <v>26059.0</v>
      </c>
    </row>
    <row r="244">
      <c r="A244" s="4"/>
      <c r="C244" s="7" t="s">
        <v>1171</v>
      </c>
      <c r="D244" s="25">
        <v>88.0</v>
      </c>
      <c r="E244" s="25" t="s">
        <v>239</v>
      </c>
      <c r="F244" s="25">
        <v>42740.0</v>
      </c>
      <c r="G244" s="25">
        <v>0.0</v>
      </c>
      <c r="J244" s="7" t="s">
        <v>1172</v>
      </c>
      <c r="K244" s="25">
        <v>86.0</v>
      </c>
      <c r="L244" s="25" t="s">
        <v>241</v>
      </c>
      <c r="M244" s="25">
        <v>48375.0</v>
      </c>
      <c r="N244" s="25">
        <v>7319.0</v>
      </c>
      <c r="Q244" s="7" t="s">
        <v>1173</v>
      </c>
      <c r="R244" s="25">
        <v>88.0</v>
      </c>
      <c r="S244" s="25" t="s">
        <v>239</v>
      </c>
      <c r="T244" s="25">
        <v>125652.0</v>
      </c>
      <c r="U244" s="25">
        <v>0.0</v>
      </c>
      <c r="X244" s="7" t="s">
        <v>1174</v>
      </c>
      <c r="Y244" s="25">
        <v>86.0</v>
      </c>
      <c r="Z244" s="25" t="s">
        <v>241</v>
      </c>
      <c r="AA244" s="25">
        <v>236185.0</v>
      </c>
      <c r="AB244" s="25">
        <v>48892.0</v>
      </c>
    </row>
    <row r="245">
      <c r="A245" s="4"/>
      <c r="C245" s="7" t="s">
        <v>1175</v>
      </c>
      <c r="D245" s="25">
        <v>88.0</v>
      </c>
      <c r="E245" s="25" t="s">
        <v>371</v>
      </c>
      <c r="F245" s="25">
        <v>51835.0</v>
      </c>
      <c r="G245" s="25">
        <f>F245-F244</f>
        <v>9095</v>
      </c>
      <c r="J245" s="7" t="s">
        <v>1176</v>
      </c>
      <c r="K245" s="25">
        <v>87.0</v>
      </c>
      <c r="L245" s="25" t="s">
        <v>239</v>
      </c>
      <c r="M245" s="25">
        <v>48362.0</v>
      </c>
      <c r="N245" s="25">
        <v>0.0</v>
      </c>
      <c r="Q245" s="7" t="s">
        <v>1177</v>
      </c>
      <c r="R245" s="25">
        <v>88.0</v>
      </c>
      <c r="S245" s="25" t="s">
        <v>371</v>
      </c>
      <c r="T245" s="25">
        <v>165892.0</v>
      </c>
      <c r="U245" s="25">
        <v>38880.0</v>
      </c>
      <c r="X245" s="7" t="s">
        <v>1178</v>
      </c>
      <c r="Y245" s="25">
        <v>87.0</v>
      </c>
      <c r="Z245" s="25" t="s">
        <v>239</v>
      </c>
      <c r="AA245" s="25">
        <v>219835.0</v>
      </c>
      <c r="AB245" s="25">
        <v>1.0</v>
      </c>
    </row>
    <row r="246">
      <c r="A246" s="4"/>
      <c r="C246" s="7" t="s">
        <v>1179</v>
      </c>
      <c r="D246" s="25">
        <v>88.0</v>
      </c>
      <c r="E246" s="25" t="s">
        <v>241</v>
      </c>
      <c r="F246" s="25">
        <v>51848.0</v>
      </c>
      <c r="G246" s="25">
        <v>9108.0</v>
      </c>
      <c r="J246" s="7" t="s">
        <v>1180</v>
      </c>
      <c r="K246" s="25">
        <v>87.0</v>
      </c>
      <c r="L246" s="25" t="s">
        <v>371</v>
      </c>
      <c r="M246" s="25">
        <v>57547.0</v>
      </c>
      <c r="N246" s="25">
        <v>9172.0</v>
      </c>
      <c r="Q246" s="7" t="s">
        <v>1181</v>
      </c>
      <c r="R246" s="25">
        <v>88.0</v>
      </c>
      <c r="S246" s="25" t="s">
        <v>241</v>
      </c>
      <c r="T246" s="25">
        <v>200672.0</v>
      </c>
      <c r="U246" s="25">
        <v>75020.0</v>
      </c>
      <c r="X246" s="7" t="s">
        <v>1182</v>
      </c>
      <c r="Y246" s="25">
        <v>87.0</v>
      </c>
      <c r="Z246" s="25" t="s">
        <v>371</v>
      </c>
      <c r="AA246" s="25">
        <v>264980.0</v>
      </c>
      <c r="AB246" s="25">
        <v>28795.0</v>
      </c>
    </row>
    <row r="247">
      <c r="A247" s="4"/>
      <c r="C247" s="7" t="s">
        <v>1183</v>
      </c>
      <c r="D247" s="25">
        <v>89.0</v>
      </c>
      <c r="E247" s="25" t="s">
        <v>239</v>
      </c>
      <c r="F247" s="25">
        <v>51836.0</v>
      </c>
      <c r="G247" s="25">
        <v>1.0</v>
      </c>
      <c r="J247" s="7" t="s">
        <v>1184</v>
      </c>
      <c r="K247" s="25">
        <v>87.0</v>
      </c>
      <c r="L247" s="25" t="s">
        <v>241</v>
      </c>
      <c r="M247" s="25">
        <v>57560.0</v>
      </c>
      <c r="N247" s="25">
        <v>9198.0</v>
      </c>
      <c r="Q247" s="7" t="s">
        <v>1185</v>
      </c>
      <c r="R247" s="25">
        <v>89.0</v>
      </c>
      <c r="S247" s="25" t="s">
        <v>239</v>
      </c>
      <c r="T247" s="25">
        <v>165892.0</v>
      </c>
      <c r="U247" s="25">
        <v>0.0</v>
      </c>
      <c r="X247" s="7" t="s">
        <v>1186</v>
      </c>
      <c r="Y247" s="25">
        <v>87.0</v>
      </c>
      <c r="Z247" s="25" t="s">
        <v>241</v>
      </c>
      <c r="AA247" s="25">
        <v>286850.0</v>
      </c>
      <c r="AB247" s="25">
        <v>67015.0</v>
      </c>
    </row>
    <row r="248">
      <c r="A248" s="4"/>
      <c r="C248" s="7" t="s">
        <v>1187</v>
      </c>
      <c r="D248" s="25">
        <v>89.0</v>
      </c>
      <c r="E248" s="25" t="s">
        <v>371</v>
      </c>
      <c r="F248" s="25">
        <v>60829.0</v>
      </c>
      <c r="G248" s="25">
        <f>F248-F247</f>
        <v>8993</v>
      </c>
      <c r="J248" s="7" t="s">
        <v>1188</v>
      </c>
      <c r="K248" s="25">
        <v>88.0</v>
      </c>
      <c r="L248" s="25" t="s">
        <v>239</v>
      </c>
      <c r="M248" s="25">
        <v>57547.0</v>
      </c>
      <c r="N248" s="25">
        <v>0.0</v>
      </c>
      <c r="Q248" s="7" t="s">
        <v>1189</v>
      </c>
      <c r="R248" s="25">
        <v>89.0</v>
      </c>
      <c r="S248" s="25" t="s">
        <v>371</v>
      </c>
      <c r="T248" s="25">
        <v>198436.0</v>
      </c>
      <c r="U248" s="25">
        <v>-2236.0</v>
      </c>
      <c r="X248" s="7" t="s">
        <v>1190</v>
      </c>
      <c r="Y248" s="25">
        <v>88.0</v>
      </c>
      <c r="Z248" s="25" t="s">
        <v>239</v>
      </c>
      <c r="AA248" s="25">
        <v>264980.0</v>
      </c>
      <c r="AB248" s="25">
        <v>0.0</v>
      </c>
    </row>
    <row r="249">
      <c r="A249" s="4"/>
      <c r="C249" s="7" t="s">
        <v>1191</v>
      </c>
      <c r="D249" s="25">
        <v>89.0</v>
      </c>
      <c r="E249" s="25" t="s">
        <v>241</v>
      </c>
      <c r="F249" s="25">
        <v>60843.0</v>
      </c>
      <c r="G249" s="25">
        <v>9007.0</v>
      </c>
      <c r="J249" s="7" t="s">
        <v>1192</v>
      </c>
      <c r="K249" s="25">
        <v>88.0</v>
      </c>
      <c r="L249" s="25" t="s">
        <v>371</v>
      </c>
      <c r="M249" s="25">
        <v>69334.0</v>
      </c>
      <c r="N249" s="25">
        <v>11774.0</v>
      </c>
      <c r="Q249" s="7" t="s">
        <v>1193</v>
      </c>
      <c r="R249" s="25">
        <v>89.0</v>
      </c>
      <c r="S249" s="25" t="s">
        <v>241</v>
      </c>
      <c r="T249" s="25">
        <v>198709.0</v>
      </c>
      <c r="U249" s="25">
        <v>32817.0</v>
      </c>
      <c r="X249" s="7" t="s">
        <v>1194</v>
      </c>
      <c r="Y249" s="25">
        <v>88.0</v>
      </c>
      <c r="Z249" s="25" t="s">
        <v>371</v>
      </c>
      <c r="AA249" s="25">
        <v>346139.0</v>
      </c>
      <c r="AB249" s="25">
        <v>59289.0</v>
      </c>
    </row>
    <row r="250">
      <c r="A250" s="4"/>
      <c r="C250" s="7" t="s">
        <v>1195</v>
      </c>
      <c r="D250" s="25">
        <v>90.0</v>
      </c>
      <c r="E250" s="25" t="s">
        <v>239</v>
      </c>
      <c r="F250" s="25">
        <v>60830.0</v>
      </c>
      <c r="G250" s="25">
        <v>1.0</v>
      </c>
      <c r="J250" s="7" t="s">
        <v>1196</v>
      </c>
      <c r="K250" s="25">
        <v>88.0</v>
      </c>
      <c r="L250" s="25" t="s">
        <v>241</v>
      </c>
      <c r="M250" s="25">
        <v>69346.0</v>
      </c>
      <c r="N250" s="25">
        <v>11799.0</v>
      </c>
      <c r="Q250" s="7" t="s">
        <v>1197</v>
      </c>
      <c r="R250" s="25">
        <v>90.0</v>
      </c>
      <c r="S250" s="25" t="s">
        <v>239</v>
      </c>
      <c r="T250" s="25">
        <v>198436.0</v>
      </c>
      <c r="U250" s="25">
        <v>0.0</v>
      </c>
      <c r="X250" s="7" t="s">
        <v>1198</v>
      </c>
      <c r="Y250" s="25">
        <v>88.0</v>
      </c>
      <c r="Z250" s="25" t="s">
        <v>241</v>
      </c>
      <c r="AA250" s="25">
        <v>452882.0</v>
      </c>
      <c r="AB250" s="25">
        <v>187902.0</v>
      </c>
    </row>
    <row r="251">
      <c r="A251" s="4"/>
      <c r="C251" s="7" t="s">
        <v>1199</v>
      </c>
      <c r="D251" s="25">
        <v>90.0</v>
      </c>
      <c r="E251" s="25" t="s">
        <v>371</v>
      </c>
      <c r="F251" s="25">
        <v>72409.0</v>
      </c>
      <c r="G251" s="25">
        <f>F251-F250</f>
        <v>11579</v>
      </c>
      <c r="J251" s="7" t="s">
        <v>1200</v>
      </c>
      <c r="K251" s="25">
        <v>89.0</v>
      </c>
      <c r="L251" s="25" t="s">
        <v>239</v>
      </c>
      <c r="M251" s="25">
        <v>69334.0</v>
      </c>
      <c r="N251" s="25">
        <v>0.0</v>
      </c>
      <c r="Q251" s="7" t="s">
        <v>1201</v>
      </c>
      <c r="R251" s="25">
        <v>90.0</v>
      </c>
      <c r="S251" s="25" t="s">
        <v>371</v>
      </c>
      <c r="T251" s="25">
        <v>243970.0</v>
      </c>
      <c r="U251" s="25">
        <v>45261.0</v>
      </c>
      <c r="X251" s="7" t="s">
        <v>1202</v>
      </c>
      <c r="Y251" s="25">
        <v>89.0</v>
      </c>
      <c r="Z251" s="25" t="s">
        <v>239</v>
      </c>
      <c r="AA251" s="25">
        <v>346139.0</v>
      </c>
      <c r="AB251" s="25">
        <v>0.0</v>
      </c>
    </row>
    <row r="252">
      <c r="A252" s="4"/>
      <c r="C252" s="7" t="s">
        <v>1203</v>
      </c>
      <c r="D252" s="25">
        <v>90.0</v>
      </c>
      <c r="E252" s="25" t="s">
        <v>241</v>
      </c>
      <c r="F252" s="25">
        <v>72422.0</v>
      </c>
      <c r="G252" s="25">
        <v>11592.0</v>
      </c>
      <c r="J252" s="7" t="s">
        <v>1204</v>
      </c>
      <c r="K252" s="25">
        <v>89.0</v>
      </c>
      <c r="L252" s="25" t="s">
        <v>371</v>
      </c>
      <c r="M252" s="25">
        <v>81930.0</v>
      </c>
      <c r="N252" s="25">
        <v>12584.0</v>
      </c>
      <c r="Q252" s="7" t="s">
        <v>1205</v>
      </c>
      <c r="R252" s="25">
        <v>90.0</v>
      </c>
      <c r="S252" s="25" t="s">
        <v>241</v>
      </c>
      <c r="T252" s="25">
        <v>244746.0</v>
      </c>
      <c r="U252" s="25">
        <v>46310.0</v>
      </c>
      <c r="X252" s="7" t="s">
        <v>1206</v>
      </c>
      <c r="Y252" s="25">
        <v>89.0</v>
      </c>
      <c r="Z252" s="25" t="s">
        <v>371</v>
      </c>
      <c r="AA252" s="25">
        <v>421137.0</v>
      </c>
      <c r="AB252" s="25">
        <v>-31745.0</v>
      </c>
    </row>
    <row r="253">
      <c r="A253" s="4"/>
      <c r="C253" s="7" t="s">
        <v>1207</v>
      </c>
      <c r="D253" s="25">
        <v>91.0</v>
      </c>
      <c r="E253" s="25" t="s">
        <v>239</v>
      </c>
      <c r="F253" s="25">
        <v>72410.0</v>
      </c>
      <c r="G253" s="25">
        <v>1.0</v>
      </c>
      <c r="J253" s="7" t="s">
        <v>1208</v>
      </c>
      <c r="K253" s="25">
        <v>89.0</v>
      </c>
      <c r="L253" s="25" t="s">
        <v>241</v>
      </c>
      <c r="M253" s="25">
        <v>81943.0</v>
      </c>
      <c r="N253" s="25">
        <v>12609.0</v>
      </c>
      <c r="Q253" s="7" t="s">
        <v>1209</v>
      </c>
      <c r="R253" s="25">
        <v>91.0</v>
      </c>
      <c r="S253" s="25" t="s">
        <v>239</v>
      </c>
      <c r="T253" s="25">
        <v>243970.0</v>
      </c>
      <c r="U253" s="25">
        <v>0.0</v>
      </c>
      <c r="X253" s="7" t="s">
        <v>1210</v>
      </c>
      <c r="Y253" s="25">
        <v>89.0</v>
      </c>
      <c r="Z253" s="25" t="s">
        <v>241</v>
      </c>
      <c r="AA253" s="25">
        <v>454381.0</v>
      </c>
      <c r="AB253" s="25">
        <v>108242.0</v>
      </c>
    </row>
    <row r="254">
      <c r="A254" s="4"/>
      <c r="C254" s="7" t="s">
        <v>1211</v>
      </c>
      <c r="D254" s="25">
        <v>91.0</v>
      </c>
      <c r="E254" s="25" t="s">
        <v>371</v>
      </c>
      <c r="F254" s="25">
        <v>84988.0</v>
      </c>
      <c r="G254" s="25">
        <f>F254-F253</f>
        <v>12578</v>
      </c>
      <c r="J254" s="7" t="s">
        <v>1212</v>
      </c>
      <c r="K254" s="25">
        <v>90.0</v>
      </c>
      <c r="L254" s="25" t="s">
        <v>239</v>
      </c>
      <c r="M254" s="25">
        <v>81930.0</v>
      </c>
      <c r="N254" s="25">
        <v>0.0</v>
      </c>
      <c r="Q254" s="7" t="s">
        <v>1213</v>
      </c>
      <c r="R254" s="25">
        <v>91.0</v>
      </c>
      <c r="S254" s="25" t="s">
        <v>371</v>
      </c>
      <c r="T254" s="25">
        <v>284076.0</v>
      </c>
      <c r="U254" s="25">
        <v>39330.0</v>
      </c>
      <c r="X254" s="7" t="s">
        <v>1214</v>
      </c>
      <c r="Y254" s="25">
        <v>90.0</v>
      </c>
      <c r="Z254" s="25" t="s">
        <v>239</v>
      </c>
      <c r="AA254" s="25">
        <v>421139.0</v>
      </c>
      <c r="AB254" s="25">
        <v>2.0</v>
      </c>
    </row>
    <row r="255">
      <c r="A255" s="4"/>
      <c r="C255" s="7" t="s">
        <v>1215</v>
      </c>
      <c r="D255" s="25">
        <v>91.0</v>
      </c>
      <c r="E255" s="25" t="s">
        <v>241</v>
      </c>
      <c r="F255" s="25">
        <v>85003.0</v>
      </c>
      <c r="G255" s="25">
        <v>12593.0</v>
      </c>
      <c r="J255" s="7" t="s">
        <v>1216</v>
      </c>
      <c r="K255" s="25">
        <v>90.0</v>
      </c>
      <c r="L255" s="25" t="s">
        <v>371</v>
      </c>
      <c r="M255" s="25">
        <v>97142.0</v>
      </c>
      <c r="N255" s="25">
        <v>15199.0</v>
      </c>
      <c r="Q255" s="7" t="s">
        <v>1217</v>
      </c>
      <c r="R255" s="25">
        <v>91.0</v>
      </c>
      <c r="S255" s="25" t="s">
        <v>241</v>
      </c>
      <c r="T255" s="25">
        <v>284559.0</v>
      </c>
      <c r="U255" s="25">
        <v>40589.0</v>
      </c>
      <c r="X255" s="7" t="s">
        <v>1218</v>
      </c>
      <c r="Y255" s="25">
        <v>90.0</v>
      </c>
      <c r="Z255" s="25" t="s">
        <v>371</v>
      </c>
      <c r="AA255" s="25">
        <v>515725.0</v>
      </c>
      <c r="AB255" s="25">
        <v>61344.0</v>
      </c>
    </row>
    <row r="256">
      <c r="A256" s="4"/>
      <c r="C256" s="7" t="s">
        <v>1219</v>
      </c>
      <c r="D256" s="25">
        <v>92.0</v>
      </c>
      <c r="E256" s="25" t="s">
        <v>239</v>
      </c>
      <c r="F256" s="25">
        <v>84988.0</v>
      </c>
      <c r="G256" s="25">
        <v>0.0</v>
      </c>
      <c r="J256" s="7" t="s">
        <v>1220</v>
      </c>
      <c r="K256" s="25">
        <v>90.0</v>
      </c>
      <c r="L256" s="25" t="s">
        <v>241</v>
      </c>
      <c r="M256" s="25">
        <v>97155.0</v>
      </c>
      <c r="N256" s="25">
        <v>15225.0</v>
      </c>
      <c r="Q256" s="7" t="s">
        <v>1221</v>
      </c>
      <c r="R256" s="25">
        <v>92.0</v>
      </c>
      <c r="S256" s="25" t="s">
        <v>239</v>
      </c>
      <c r="T256" s="25">
        <v>284076.0</v>
      </c>
      <c r="U256" s="25">
        <v>0.0</v>
      </c>
      <c r="X256" s="7" t="s">
        <v>1222</v>
      </c>
      <c r="Y256" s="25">
        <v>90.0</v>
      </c>
      <c r="Z256" s="25" t="s">
        <v>241</v>
      </c>
      <c r="AA256" s="25">
        <v>544748.0</v>
      </c>
      <c r="AB256" s="25">
        <v>123609.0</v>
      </c>
    </row>
    <row r="257">
      <c r="A257" s="4"/>
      <c r="C257" s="7" t="s">
        <v>1223</v>
      </c>
      <c r="D257" s="25">
        <v>92.0</v>
      </c>
      <c r="E257" s="25" t="s">
        <v>371</v>
      </c>
      <c r="F257" s="25">
        <v>103499.0</v>
      </c>
      <c r="G257" s="25">
        <f>F257-F256</f>
        <v>18511</v>
      </c>
      <c r="J257" s="7" t="s">
        <v>1224</v>
      </c>
      <c r="K257" s="25">
        <v>91.0</v>
      </c>
      <c r="L257" s="25" t="s">
        <v>239</v>
      </c>
      <c r="M257" s="25">
        <v>97142.0</v>
      </c>
      <c r="N257" s="25">
        <v>0.0</v>
      </c>
      <c r="Q257" s="7" t="s">
        <v>1225</v>
      </c>
      <c r="R257" s="25">
        <v>92.0</v>
      </c>
      <c r="S257" s="25" t="s">
        <v>371</v>
      </c>
      <c r="T257" s="25">
        <v>374286.0</v>
      </c>
      <c r="U257" s="25">
        <v>89727.0</v>
      </c>
      <c r="X257" s="7" t="s">
        <v>1226</v>
      </c>
      <c r="Y257" s="25">
        <v>91.0</v>
      </c>
      <c r="Z257" s="25" t="s">
        <v>239</v>
      </c>
      <c r="AA257" s="25">
        <v>515726.0</v>
      </c>
      <c r="AB257" s="25">
        <v>1.0</v>
      </c>
    </row>
    <row r="258">
      <c r="A258" s="4"/>
      <c r="C258" s="7" t="s">
        <v>1227</v>
      </c>
      <c r="D258" s="25">
        <v>92.0</v>
      </c>
      <c r="E258" s="25" t="s">
        <v>241</v>
      </c>
      <c r="F258" s="25">
        <v>103523.0</v>
      </c>
      <c r="G258" s="25">
        <v>18535.0</v>
      </c>
      <c r="J258" s="7" t="s">
        <v>1228</v>
      </c>
      <c r="K258" s="25">
        <v>91.0</v>
      </c>
      <c r="L258" s="25" t="s">
        <v>371</v>
      </c>
      <c r="M258" s="25">
        <v>114450.0</v>
      </c>
      <c r="N258" s="25">
        <v>17295.0</v>
      </c>
      <c r="Q258" s="7" t="s">
        <v>1229</v>
      </c>
      <c r="R258" s="25">
        <v>92.0</v>
      </c>
      <c r="S258" s="25" t="s">
        <v>241</v>
      </c>
      <c r="T258" s="25">
        <v>455314.0</v>
      </c>
      <c r="U258" s="25">
        <v>171238.0</v>
      </c>
      <c r="X258" s="7" t="s">
        <v>1230</v>
      </c>
      <c r="Y258" s="25">
        <v>91.0</v>
      </c>
      <c r="Z258" s="25" t="s">
        <v>371</v>
      </c>
      <c r="AA258" s="25">
        <v>614869.0</v>
      </c>
      <c r="AB258" s="25">
        <v>70121.0</v>
      </c>
    </row>
    <row r="259">
      <c r="A259" s="4"/>
      <c r="C259" s="7" t="s">
        <v>1231</v>
      </c>
      <c r="D259" s="25">
        <v>93.0</v>
      </c>
      <c r="E259" s="25" t="s">
        <v>239</v>
      </c>
      <c r="F259" s="25">
        <v>103499.0</v>
      </c>
      <c r="G259" s="25">
        <v>0.0</v>
      </c>
      <c r="J259" s="7" t="s">
        <v>1232</v>
      </c>
      <c r="K259" s="25">
        <v>91.0</v>
      </c>
      <c r="L259" s="25" t="s">
        <v>241</v>
      </c>
      <c r="M259" s="25">
        <v>114467.0</v>
      </c>
      <c r="N259" s="25">
        <v>17325.0</v>
      </c>
      <c r="Q259" s="7" t="s">
        <v>1233</v>
      </c>
      <c r="R259" s="25">
        <v>93.0</v>
      </c>
      <c r="S259" s="25" t="s">
        <v>239</v>
      </c>
      <c r="T259" s="25">
        <v>374286.0</v>
      </c>
      <c r="U259" s="25">
        <v>0.0</v>
      </c>
      <c r="X259" s="7" t="s">
        <v>1234</v>
      </c>
      <c r="Y259" s="25">
        <v>91.0</v>
      </c>
      <c r="Z259" s="25" t="s">
        <v>241</v>
      </c>
      <c r="AA259" s="25">
        <v>689600.0</v>
      </c>
      <c r="AB259" s="25">
        <v>173874.0</v>
      </c>
    </row>
    <row r="260">
      <c r="A260" s="4"/>
      <c r="C260" s="7" t="s">
        <v>1235</v>
      </c>
      <c r="D260" s="25">
        <v>93.0</v>
      </c>
      <c r="E260" s="25" t="s">
        <v>371</v>
      </c>
      <c r="F260" s="25">
        <v>122136.0</v>
      </c>
      <c r="G260" s="25">
        <f>F260-F259</f>
        <v>18637</v>
      </c>
      <c r="J260" s="7" t="s">
        <v>1236</v>
      </c>
      <c r="K260" s="25">
        <v>92.0</v>
      </c>
      <c r="L260" s="25" t="s">
        <v>239</v>
      </c>
      <c r="M260" s="25">
        <v>114450.0</v>
      </c>
      <c r="N260" s="25">
        <v>0.0</v>
      </c>
      <c r="Q260" s="7" t="s">
        <v>1237</v>
      </c>
      <c r="R260" s="25">
        <v>93.0</v>
      </c>
      <c r="S260" s="25" t="s">
        <v>371</v>
      </c>
      <c r="T260" s="25">
        <v>450175.0</v>
      </c>
      <c r="U260" s="25">
        <v>-5139.0</v>
      </c>
      <c r="X260" s="7" t="s">
        <v>1238</v>
      </c>
      <c r="Y260" s="25">
        <v>92.0</v>
      </c>
      <c r="Z260" s="25" t="s">
        <v>239</v>
      </c>
      <c r="AA260" s="25">
        <v>614869.0</v>
      </c>
      <c r="AB260" s="25">
        <v>0.0</v>
      </c>
    </row>
    <row r="261">
      <c r="A261" s="4"/>
      <c r="C261" s="7" t="s">
        <v>1239</v>
      </c>
      <c r="D261" s="25">
        <v>93.0</v>
      </c>
      <c r="E261" s="25" t="s">
        <v>241</v>
      </c>
      <c r="F261" s="25">
        <v>122173.0</v>
      </c>
      <c r="G261" s="25">
        <v>18674.0</v>
      </c>
      <c r="J261" s="7" t="s">
        <v>1240</v>
      </c>
      <c r="K261" s="25">
        <v>92.0</v>
      </c>
      <c r="L261" s="25" t="s">
        <v>371</v>
      </c>
      <c r="M261" s="25">
        <v>138288.0</v>
      </c>
      <c r="N261" s="25">
        <v>23821.0</v>
      </c>
      <c r="Q261" s="7" t="s">
        <v>1241</v>
      </c>
      <c r="R261" s="25">
        <v>93.0</v>
      </c>
      <c r="S261" s="25" t="s">
        <v>241</v>
      </c>
      <c r="T261" s="25">
        <v>450852.0</v>
      </c>
      <c r="U261" s="25">
        <v>76566.0</v>
      </c>
      <c r="X261" s="7" t="s">
        <v>1242</v>
      </c>
      <c r="Y261" s="25">
        <v>92.0</v>
      </c>
      <c r="Z261" s="25" t="s">
        <v>371</v>
      </c>
      <c r="AA261" s="25">
        <v>779027.0</v>
      </c>
      <c r="AB261" s="25">
        <v>89427.0</v>
      </c>
    </row>
    <row r="262">
      <c r="A262" s="4"/>
      <c r="C262" s="7" t="s">
        <v>1243</v>
      </c>
      <c r="D262" s="25">
        <v>94.0</v>
      </c>
      <c r="E262" s="25" t="s">
        <v>239</v>
      </c>
      <c r="F262" s="25">
        <v>122137.0</v>
      </c>
      <c r="G262" s="25">
        <v>1.0</v>
      </c>
      <c r="J262" s="7" t="s">
        <v>1244</v>
      </c>
      <c r="K262" s="25">
        <v>92.0</v>
      </c>
      <c r="L262" s="25" t="s">
        <v>241</v>
      </c>
      <c r="M262" s="25">
        <v>138324.0</v>
      </c>
      <c r="N262" s="25">
        <v>23874.0</v>
      </c>
      <c r="Q262" s="7" t="s">
        <v>1245</v>
      </c>
      <c r="R262" s="25">
        <v>94.0</v>
      </c>
      <c r="S262" s="25" t="s">
        <v>239</v>
      </c>
      <c r="T262" s="25">
        <v>450175.0</v>
      </c>
      <c r="U262" s="25">
        <v>0.0</v>
      </c>
      <c r="X262" s="7" t="s">
        <v>1246</v>
      </c>
      <c r="Y262" s="25">
        <v>92.0</v>
      </c>
      <c r="Z262" s="25" t="s">
        <v>241</v>
      </c>
      <c r="AA262" s="25">
        <v>856312.0</v>
      </c>
      <c r="AB262" s="25">
        <v>241443.0</v>
      </c>
    </row>
    <row r="263">
      <c r="A263" s="4"/>
      <c r="C263" s="7" t="s">
        <v>1247</v>
      </c>
      <c r="D263" s="25">
        <v>94.0</v>
      </c>
      <c r="E263" s="25" t="s">
        <v>371</v>
      </c>
      <c r="F263" s="25">
        <v>143109.0</v>
      </c>
      <c r="G263" s="25">
        <f>F263-F262</f>
        <v>20972</v>
      </c>
      <c r="J263" s="7" t="s">
        <v>1248</v>
      </c>
      <c r="K263" s="25">
        <v>93.0</v>
      </c>
      <c r="L263" s="25" t="s">
        <v>239</v>
      </c>
      <c r="M263" s="25">
        <v>138288.0</v>
      </c>
      <c r="N263" s="25">
        <v>0.0</v>
      </c>
      <c r="Q263" s="7" t="s">
        <v>1249</v>
      </c>
      <c r="R263" s="25">
        <v>94.0</v>
      </c>
      <c r="S263" s="25" t="s">
        <v>371</v>
      </c>
      <c r="T263" s="25">
        <v>519084.0</v>
      </c>
      <c r="U263" s="25">
        <v>68232.0</v>
      </c>
      <c r="X263" s="7" t="s">
        <v>1250</v>
      </c>
      <c r="Y263" s="25">
        <v>93.0</v>
      </c>
      <c r="Z263" s="25" t="s">
        <v>239</v>
      </c>
      <c r="AA263" s="25">
        <v>779027.0</v>
      </c>
      <c r="AB263" s="25">
        <v>0.0</v>
      </c>
    </row>
    <row r="264">
      <c r="A264" s="4"/>
      <c r="C264" s="7" t="s">
        <v>1251</v>
      </c>
      <c r="D264" s="25">
        <v>94.0</v>
      </c>
      <c r="E264" s="25" t="s">
        <v>241</v>
      </c>
      <c r="F264" s="25">
        <v>143146.0</v>
      </c>
      <c r="G264" s="25">
        <v>21009.0</v>
      </c>
      <c r="J264" s="7" t="s">
        <v>1252</v>
      </c>
      <c r="K264" s="25">
        <v>93.0</v>
      </c>
      <c r="L264" s="25" t="s">
        <v>371</v>
      </c>
      <c r="M264" s="25">
        <v>163603.0</v>
      </c>
      <c r="N264" s="25">
        <v>25279.0</v>
      </c>
      <c r="Q264" s="7" t="s">
        <v>1253</v>
      </c>
      <c r="R264" s="25">
        <v>94.0</v>
      </c>
      <c r="S264" s="25" t="s">
        <v>241</v>
      </c>
      <c r="T264" s="25">
        <v>519764.0</v>
      </c>
      <c r="U264" s="25">
        <v>69589.0</v>
      </c>
      <c r="X264" s="7" t="s">
        <v>1254</v>
      </c>
      <c r="Y264" s="25">
        <v>93.0</v>
      </c>
      <c r="Z264" s="25" t="s">
        <v>371</v>
      </c>
      <c r="AA264" s="25">
        <v>940140.0</v>
      </c>
      <c r="AB264" s="25">
        <v>83828.0</v>
      </c>
    </row>
    <row r="265">
      <c r="A265" s="4"/>
      <c r="C265" s="7" t="s">
        <v>1255</v>
      </c>
      <c r="D265" s="25">
        <v>95.0</v>
      </c>
      <c r="E265" s="25" t="s">
        <v>239</v>
      </c>
      <c r="F265" s="25">
        <v>143109.0</v>
      </c>
      <c r="G265" s="25">
        <v>0.0</v>
      </c>
      <c r="J265" s="7" t="s">
        <v>1256</v>
      </c>
      <c r="K265" s="25">
        <v>93.0</v>
      </c>
      <c r="L265" s="25" t="s">
        <v>241</v>
      </c>
      <c r="M265" s="25">
        <v>163647.0</v>
      </c>
      <c r="N265" s="25">
        <v>25359.0</v>
      </c>
      <c r="Q265" s="7" t="s">
        <v>1257</v>
      </c>
      <c r="R265" s="25">
        <v>95.0</v>
      </c>
      <c r="S265" s="25" t="s">
        <v>239</v>
      </c>
      <c r="T265" s="25">
        <v>519084.0</v>
      </c>
      <c r="U265" s="25">
        <v>0.0</v>
      </c>
      <c r="X265" s="7" t="s">
        <v>1258</v>
      </c>
      <c r="Y265" s="25">
        <v>93.0</v>
      </c>
      <c r="Z265" s="25" t="s">
        <v>241</v>
      </c>
      <c r="AA265" s="25">
        <v>1244070.0</v>
      </c>
      <c r="AB265" s="25">
        <v>465043.0</v>
      </c>
    </row>
    <row r="266">
      <c r="A266" s="4"/>
      <c r="C266" s="7" t="s">
        <v>1259</v>
      </c>
      <c r="D266" s="25">
        <v>95.0</v>
      </c>
      <c r="E266" s="25" t="s">
        <v>371</v>
      </c>
      <c r="F266" s="25">
        <v>168690.0</v>
      </c>
      <c r="G266" s="25">
        <f>F266-F265</f>
        <v>25581</v>
      </c>
      <c r="J266" s="7" t="s">
        <v>1260</v>
      </c>
      <c r="K266" s="25">
        <v>94.0</v>
      </c>
      <c r="L266" s="25" t="s">
        <v>239</v>
      </c>
      <c r="M266" s="25">
        <v>163603.0</v>
      </c>
      <c r="N266" s="25">
        <v>0.0</v>
      </c>
      <c r="Q266" s="7" t="s">
        <v>1261</v>
      </c>
      <c r="R266" s="25">
        <v>95.0</v>
      </c>
      <c r="S266" s="25" t="s">
        <v>371</v>
      </c>
      <c r="T266" s="25">
        <v>616585.0</v>
      </c>
      <c r="U266" s="25">
        <v>96821.0</v>
      </c>
      <c r="X266" s="7" t="s">
        <v>1262</v>
      </c>
      <c r="Y266" s="25">
        <v>94.0</v>
      </c>
      <c r="Z266" s="25" t="s">
        <v>239</v>
      </c>
      <c r="AA266" s="25">
        <v>940140.0</v>
      </c>
      <c r="AB266" s="25">
        <v>0.0</v>
      </c>
    </row>
    <row r="267">
      <c r="A267" s="4"/>
      <c r="C267" s="7" t="s">
        <v>1263</v>
      </c>
      <c r="D267" s="25">
        <v>95.0</v>
      </c>
      <c r="E267" s="25" t="s">
        <v>241</v>
      </c>
      <c r="F267" s="25">
        <v>168734.0</v>
      </c>
      <c r="G267" s="25">
        <v>25625.0</v>
      </c>
      <c r="J267" s="7" t="s">
        <v>1264</v>
      </c>
      <c r="K267" s="25">
        <v>94.0</v>
      </c>
      <c r="L267" s="25" t="s">
        <v>371</v>
      </c>
      <c r="M267" s="25">
        <v>191754.0</v>
      </c>
      <c r="N267" s="25">
        <v>28107.0</v>
      </c>
      <c r="Q267" s="7" t="s">
        <v>1265</v>
      </c>
      <c r="R267" s="25">
        <v>95.0</v>
      </c>
      <c r="S267" s="25" t="s">
        <v>241</v>
      </c>
      <c r="T267" s="25">
        <v>617410.0</v>
      </c>
      <c r="U267" s="25">
        <v>98326.0</v>
      </c>
      <c r="X267" s="7" t="s">
        <v>1266</v>
      </c>
      <c r="Y267" s="25">
        <v>94.0</v>
      </c>
      <c r="Z267" s="25" t="s">
        <v>371</v>
      </c>
      <c r="AA267" s="25">
        <v>1104157.0</v>
      </c>
      <c r="AB267" s="25">
        <v>-139913.0</v>
      </c>
    </row>
    <row r="268">
      <c r="A268" s="4"/>
      <c r="C268" s="7" t="s">
        <v>1267</v>
      </c>
      <c r="D268" s="25">
        <v>96.0</v>
      </c>
      <c r="E268" s="25" t="s">
        <v>239</v>
      </c>
      <c r="F268" s="25">
        <v>168690.0</v>
      </c>
      <c r="G268" s="25">
        <v>0.0</v>
      </c>
      <c r="J268" s="7" t="s">
        <v>1268</v>
      </c>
      <c r="K268" s="25">
        <v>94.0</v>
      </c>
      <c r="L268" s="25" t="s">
        <v>241</v>
      </c>
      <c r="M268" s="25">
        <v>191796.0</v>
      </c>
      <c r="N268" s="25">
        <v>28193.0</v>
      </c>
      <c r="Q268" s="7" t="s">
        <v>1269</v>
      </c>
      <c r="R268" s="25">
        <v>96.0</v>
      </c>
      <c r="S268" s="25" t="s">
        <v>239</v>
      </c>
      <c r="T268" s="25">
        <v>616586.0</v>
      </c>
      <c r="U268" s="25">
        <v>1.0</v>
      </c>
      <c r="X268" s="7" t="s">
        <v>1270</v>
      </c>
      <c r="Y268" s="25">
        <v>94.0</v>
      </c>
      <c r="Z268" s="25" t="s">
        <v>241</v>
      </c>
      <c r="AA268" s="25">
        <v>1225914.0</v>
      </c>
      <c r="AB268" s="25">
        <v>285774.0</v>
      </c>
    </row>
    <row r="269">
      <c r="A269" s="4"/>
      <c r="C269" s="7" t="s">
        <v>1271</v>
      </c>
      <c r="D269" s="25">
        <v>96.0</v>
      </c>
      <c r="E269" s="25" t="s">
        <v>371</v>
      </c>
      <c r="F269" s="25">
        <v>204240.0</v>
      </c>
      <c r="G269" s="25">
        <f>F269-F268</f>
        <v>35550</v>
      </c>
      <c r="J269" s="7" t="s">
        <v>1272</v>
      </c>
      <c r="K269" s="25">
        <v>95.0</v>
      </c>
      <c r="L269" s="25" t="s">
        <v>239</v>
      </c>
      <c r="M269" s="25">
        <v>191754.0</v>
      </c>
      <c r="N269" s="25">
        <v>0.0</v>
      </c>
      <c r="Q269" s="7" t="s">
        <v>1273</v>
      </c>
      <c r="R269" s="25">
        <v>96.0</v>
      </c>
      <c r="S269" s="25" t="s">
        <v>371</v>
      </c>
      <c r="T269" s="25">
        <v>779937.0</v>
      </c>
      <c r="U269" s="25">
        <v>162527.0</v>
      </c>
      <c r="X269" s="7" t="s">
        <v>1274</v>
      </c>
      <c r="Y269" s="25">
        <v>95.0</v>
      </c>
      <c r="Z269" s="25" t="s">
        <v>239</v>
      </c>
      <c r="AA269" s="25">
        <v>1104157.0</v>
      </c>
      <c r="AB269" s="25">
        <v>0.0</v>
      </c>
    </row>
    <row r="270">
      <c r="A270" s="4"/>
      <c r="C270" s="7" t="s">
        <v>1275</v>
      </c>
      <c r="D270" s="25">
        <v>96.0</v>
      </c>
      <c r="E270" s="25" t="s">
        <v>241</v>
      </c>
      <c r="F270" s="25">
        <v>204301.0</v>
      </c>
      <c r="G270" s="25">
        <v>35611.0</v>
      </c>
      <c r="J270" s="7" t="s">
        <v>1276</v>
      </c>
      <c r="K270" s="25">
        <v>95.0</v>
      </c>
      <c r="L270" s="25" t="s">
        <v>371</v>
      </c>
      <c r="M270" s="25">
        <v>226483.0</v>
      </c>
      <c r="N270" s="25">
        <v>34687.0</v>
      </c>
      <c r="Q270" s="7" t="s">
        <v>1277</v>
      </c>
      <c r="R270" s="25">
        <v>96.0</v>
      </c>
      <c r="S270" s="25" t="s">
        <v>241</v>
      </c>
      <c r="T270" s="25">
        <v>951249.0</v>
      </c>
      <c r="U270" s="25">
        <v>334663.0</v>
      </c>
      <c r="X270" s="7" t="s">
        <v>1278</v>
      </c>
      <c r="Y270" s="25">
        <v>95.0</v>
      </c>
      <c r="Z270" s="25" t="s">
        <v>371</v>
      </c>
      <c r="AA270" s="25">
        <v>1337730.0</v>
      </c>
      <c r="AB270" s="25">
        <v>111816.0</v>
      </c>
    </row>
    <row r="271">
      <c r="A271" s="4"/>
      <c r="C271" s="7" t="s">
        <v>1279</v>
      </c>
      <c r="D271" s="25">
        <v>97.0</v>
      </c>
      <c r="E271" s="25" t="s">
        <v>239</v>
      </c>
      <c r="F271" s="25">
        <v>204240.0</v>
      </c>
      <c r="G271" s="25">
        <v>0.0</v>
      </c>
      <c r="J271" s="7" t="s">
        <v>1280</v>
      </c>
      <c r="K271" s="25">
        <v>95.0</v>
      </c>
      <c r="L271" s="25" t="s">
        <v>241</v>
      </c>
      <c r="M271" s="25">
        <v>226525.0</v>
      </c>
      <c r="N271" s="25">
        <v>34771.0</v>
      </c>
      <c r="Q271" s="7" t="s">
        <v>1281</v>
      </c>
      <c r="R271" s="25">
        <v>97.0</v>
      </c>
      <c r="S271" s="25" t="s">
        <v>239</v>
      </c>
      <c r="T271" s="25">
        <v>779937.0</v>
      </c>
      <c r="U271" s="25">
        <v>0.0</v>
      </c>
      <c r="X271" s="7" t="s">
        <v>1282</v>
      </c>
      <c r="Y271" s="25">
        <v>95.0</v>
      </c>
      <c r="Z271" s="25" t="s">
        <v>241</v>
      </c>
      <c r="AA271" s="25">
        <v>1391456.0</v>
      </c>
      <c r="AB271" s="25">
        <v>287299.0</v>
      </c>
    </row>
    <row r="272">
      <c r="A272" s="4"/>
      <c r="C272" s="7" t="s">
        <v>1283</v>
      </c>
      <c r="D272" s="25">
        <v>97.0</v>
      </c>
      <c r="E272" s="25" t="s">
        <v>371</v>
      </c>
      <c r="F272" s="25">
        <v>238910.0</v>
      </c>
      <c r="G272" s="25">
        <f>F272-F271</f>
        <v>34670</v>
      </c>
      <c r="J272" s="7" t="s">
        <v>1284</v>
      </c>
      <c r="K272" s="25">
        <v>96.0</v>
      </c>
      <c r="L272" s="25" t="s">
        <v>239</v>
      </c>
      <c r="M272" s="25">
        <v>226484.0</v>
      </c>
      <c r="N272" s="25">
        <v>1.0</v>
      </c>
      <c r="Q272" s="7" t="s">
        <v>1285</v>
      </c>
      <c r="R272" s="25">
        <v>97.0</v>
      </c>
      <c r="S272" s="25" t="s">
        <v>371</v>
      </c>
      <c r="T272" s="25">
        <v>922119.0</v>
      </c>
      <c r="U272" s="25">
        <v>-29130.0</v>
      </c>
      <c r="X272" s="7" t="s">
        <v>1286</v>
      </c>
      <c r="Y272" s="25">
        <v>96.0</v>
      </c>
      <c r="Z272" s="25" t="s">
        <v>239</v>
      </c>
      <c r="AA272" s="25">
        <v>1337731.0</v>
      </c>
      <c r="AB272" s="25">
        <v>1.0</v>
      </c>
    </row>
    <row r="273">
      <c r="A273" s="4"/>
      <c r="C273" s="7" t="s">
        <v>1287</v>
      </c>
      <c r="D273" s="25">
        <v>97.0</v>
      </c>
      <c r="E273" s="25" t="s">
        <v>241</v>
      </c>
      <c r="F273" s="25">
        <v>239011.0</v>
      </c>
      <c r="G273" s="25">
        <v>34771.0</v>
      </c>
      <c r="J273" s="7" t="s">
        <v>1288</v>
      </c>
      <c r="K273" s="25">
        <v>96.0</v>
      </c>
      <c r="L273" s="25" t="s">
        <v>371</v>
      </c>
      <c r="M273" s="25">
        <v>272359.0</v>
      </c>
      <c r="N273" s="25">
        <v>45834.0</v>
      </c>
      <c r="Q273" s="7" t="s">
        <v>1289</v>
      </c>
      <c r="R273" s="25">
        <v>97.0</v>
      </c>
      <c r="S273" s="25" t="s">
        <v>241</v>
      </c>
      <c r="T273" s="25">
        <v>927927.0</v>
      </c>
      <c r="U273" s="25">
        <v>147990.0</v>
      </c>
      <c r="X273" s="7" t="s">
        <v>1290</v>
      </c>
      <c r="Y273" s="25">
        <v>96.0</v>
      </c>
      <c r="Z273" s="25" t="s">
        <v>371</v>
      </c>
      <c r="AA273" s="25">
        <v>1665229.0</v>
      </c>
      <c r="AB273" s="25">
        <v>273773.0</v>
      </c>
    </row>
    <row r="274">
      <c r="A274" s="4"/>
      <c r="C274" s="7" t="s">
        <v>1291</v>
      </c>
      <c r="D274" s="25">
        <v>98.0</v>
      </c>
      <c r="E274" s="25" t="s">
        <v>239</v>
      </c>
      <c r="F274" s="25">
        <v>238910.0</v>
      </c>
      <c r="G274" s="25">
        <v>0.0</v>
      </c>
      <c r="J274" s="7" t="s">
        <v>1292</v>
      </c>
      <c r="K274" s="25">
        <v>96.0</v>
      </c>
      <c r="L274" s="25" t="s">
        <v>241</v>
      </c>
      <c r="M274" s="25">
        <v>272420.0</v>
      </c>
      <c r="N274" s="25">
        <v>45936.0</v>
      </c>
      <c r="Q274" s="7" t="s">
        <v>1293</v>
      </c>
      <c r="R274" s="25">
        <v>98.0</v>
      </c>
      <c r="S274" s="25" t="s">
        <v>239</v>
      </c>
      <c r="T274" s="25">
        <v>922120.0</v>
      </c>
      <c r="U274" s="25">
        <v>1.0</v>
      </c>
      <c r="X274" s="7" t="s">
        <v>1294</v>
      </c>
      <c r="Y274" s="25">
        <v>96.0</v>
      </c>
      <c r="Z274" s="25" t="s">
        <v>241</v>
      </c>
      <c r="AA274" s="25">
        <v>1841866.0</v>
      </c>
      <c r="AB274" s="25">
        <v>504135.0</v>
      </c>
    </row>
    <row r="275">
      <c r="A275" s="4"/>
      <c r="C275" s="7" t="s">
        <v>1295</v>
      </c>
      <c r="D275" s="25">
        <v>98.0</v>
      </c>
      <c r="E275" s="25" t="s">
        <v>371</v>
      </c>
      <c r="F275" s="25">
        <v>279887.0</v>
      </c>
      <c r="G275" s="25">
        <f>F275-F274</f>
        <v>40977</v>
      </c>
      <c r="J275" s="7" t="s">
        <v>1296</v>
      </c>
      <c r="K275" s="25">
        <v>97.0</v>
      </c>
      <c r="L275" s="25" t="s">
        <v>239</v>
      </c>
      <c r="M275" s="25">
        <v>272359.0</v>
      </c>
      <c r="N275" s="25">
        <v>0.0</v>
      </c>
      <c r="Q275" s="7" t="s">
        <v>1297</v>
      </c>
      <c r="R275" s="25">
        <v>98.0</v>
      </c>
      <c r="S275" s="25" t="s">
        <v>371</v>
      </c>
      <c r="T275" s="25">
        <v>1081580.0</v>
      </c>
      <c r="U275" s="25">
        <v>153653.0</v>
      </c>
      <c r="X275" s="7" t="s">
        <v>1298</v>
      </c>
      <c r="Y275" s="25">
        <v>97.0</v>
      </c>
      <c r="Z275" s="25" t="s">
        <v>239</v>
      </c>
      <c r="AA275" s="25">
        <v>1665230.0</v>
      </c>
      <c r="AB275" s="25">
        <v>1.0</v>
      </c>
    </row>
    <row r="276">
      <c r="A276" s="4"/>
      <c r="C276" s="7" t="s">
        <v>1299</v>
      </c>
      <c r="D276" s="25">
        <v>98.0</v>
      </c>
      <c r="E276" s="25" t="s">
        <v>241</v>
      </c>
      <c r="F276" s="25">
        <v>280051.0</v>
      </c>
      <c r="G276" s="25">
        <v>41141.0</v>
      </c>
      <c r="J276" s="7" t="s">
        <v>1300</v>
      </c>
      <c r="K276" s="25">
        <v>97.0</v>
      </c>
      <c r="L276" s="25" t="s">
        <v>371</v>
      </c>
      <c r="M276" s="25">
        <v>319997.0</v>
      </c>
      <c r="N276" s="25">
        <v>47577.0</v>
      </c>
      <c r="Q276" s="7" t="s">
        <v>1301</v>
      </c>
      <c r="R276" s="25">
        <v>98.0</v>
      </c>
      <c r="S276" s="25" t="s">
        <v>241</v>
      </c>
      <c r="T276" s="25">
        <v>1088343.0</v>
      </c>
      <c r="U276" s="25">
        <v>166223.0</v>
      </c>
      <c r="X276" s="7" t="s">
        <v>1302</v>
      </c>
      <c r="Y276" s="25">
        <v>97.0</v>
      </c>
      <c r="Z276" s="25" t="s">
        <v>371</v>
      </c>
      <c r="AA276" s="25">
        <v>2017819.0</v>
      </c>
      <c r="AB276" s="25">
        <v>175953.0</v>
      </c>
    </row>
    <row r="277">
      <c r="A277" s="4"/>
      <c r="C277" s="7" t="s">
        <v>1303</v>
      </c>
      <c r="D277" s="25">
        <v>99.0</v>
      </c>
      <c r="E277" s="25" t="s">
        <v>239</v>
      </c>
      <c r="F277" s="25">
        <v>279887.0</v>
      </c>
      <c r="G277" s="25">
        <v>0.0</v>
      </c>
      <c r="J277" s="7" t="s">
        <v>1304</v>
      </c>
      <c r="K277" s="25">
        <v>97.0</v>
      </c>
      <c r="L277" s="25" t="s">
        <v>241</v>
      </c>
      <c r="M277" s="25">
        <v>320156.0</v>
      </c>
      <c r="N277" s="25">
        <v>47797.0</v>
      </c>
      <c r="Q277" s="7" t="s">
        <v>1305</v>
      </c>
      <c r="R277" s="25">
        <v>99.0</v>
      </c>
      <c r="S277" s="25" t="s">
        <v>239</v>
      </c>
      <c r="T277" s="25">
        <v>1081580.0</v>
      </c>
      <c r="U277" s="25">
        <v>0.0</v>
      </c>
      <c r="X277" s="7" t="s">
        <v>1306</v>
      </c>
      <c r="Y277" s="25">
        <v>97.0</v>
      </c>
      <c r="Z277" s="25" t="s">
        <v>241</v>
      </c>
      <c r="AA277" s="25">
        <v>2166506.0</v>
      </c>
      <c r="AB277" s="25">
        <v>501276.0</v>
      </c>
    </row>
    <row r="278">
      <c r="A278" s="4"/>
      <c r="C278" s="7" t="s">
        <v>1307</v>
      </c>
      <c r="D278" s="25">
        <v>99.0</v>
      </c>
      <c r="E278" s="25" t="s">
        <v>371</v>
      </c>
      <c r="F278" s="25">
        <v>330881.0</v>
      </c>
      <c r="G278" s="25">
        <f>F278-F277</f>
        <v>50994</v>
      </c>
      <c r="J278" s="7" t="s">
        <v>1308</v>
      </c>
      <c r="K278" s="25">
        <v>98.0</v>
      </c>
      <c r="L278" s="25" t="s">
        <v>239</v>
      </c>
      <c r="M278" s="25">
        <v>319997.0</v>
      </c>
      <c r="N278" s="25">
        <v>0.0</v>
      </c>
      <c r="Q278" s="7" t="s">
        <v>1309</v>
      </c>
      <c r="R278" s="25">
        <v>99.0</v>
      </c>
      <c r="S278" s="25" t="s">
        <v>371</v>
      </c>
      <c r="T278" s="25">
        <v>1305802.0</v>
      </c>
      <c r="U278" s="25">
        <v>217459.0</v>
      </c>
      <c r="X278" s="7" t="s">
        <v>1310</v>
      </c>
      <c r="Y278" s="25">
        <v>98.0</v>
      </c>
      <c r="Z278" s="25" t="s">
        <v>239</v>
      </c>
      <c r="AA278" s="25">
        <v>2017819.0</v>
      </c>
      <c r="AB278" s="25">
        <v>0.0</v>
      </c>
    </row>
    <row r="279">
      <c r="A279" s="4"/>
      <c r="C279" s="7" t="s">
        <v>1311</v>
      </c>
      <c r="D279" s="25">
        <v>99.0</v>
      </c>
      <c r="E279" s="25" t="s">
        <v>241</v>
      </c>
      <c r="F279" s="25">
        <v>330946.0</v>
      </c>
      <c r="G279" s="25">
        <v>51059.0</v>
      </c>
      <c r="J279" s="7" t="s">
        <v>1312</v>
      </c>
      <c r="K279" s="25">
        <v>98.0</v>
      </c>
      <c r="L279" s="25" t="s">
        <v>371</v>
      </c>
      <c r="M279" s="25">
        <v>374624.0</v>
      </c>
      <c r="N279" s="25">
        <v>54468.0</v>
      </c>
      <c r="Q279" s="7" t="s">
        <v>1313</v>
      </c>
      <c r="R279" s="25">
        <v>99.0</v>
      </c>
      <c r="S279" s="25" t="s">
        <v>241</v>
      </c>
      <c r="T279" s="25">
        <v>1307669.0</v>
      </c>
      <c r="U279" s="25">
        <v>226089.0</v>
      </c>
      <c r="X279" s="7" t="s">
        <v>1314</v>
      </c>
      <c r="Y279" s="25">
        <v>98.0</v>
      </c>
      <c r="Z279" s="25" t="s">
        <v>371</v>
      </c>
      <c r="AA279" s="25">
        <v>2384098.0</v>
      </c>
      <c r="AB279" s="25">
        <v>217592.0</v>
      </c>
    </row>
    <row r="280">
      <c r="A280" s="4"/>
      <c r="C280" s="7" t="s">
        <v>1315</v>
      </c>
      <c r="D280" s="25">
        <v>100.0</v>
      </c>
      <c r="E280" s="25" t="s">
        <v>239</v>
      </c>
      <c r="F280" s="25">
        <v>330882.0</v>
      </c>
      <c r="G280" s="25">
        <v>1.0</v>
      </c>
      <c r="J280" s="7" t="s">
        <v>1316</v>
      </c>
      <c r="K280" s="25">
        <v>98.0</v>
      </c>
      <c r="L280" s="25" t="s">
        <v>241</v>
      </c>
      <c r="M280" s="25">
        <v>374770.0</v>
      </c>
      <c r="N280" s="25">
        <v>54773.0</v>
      </c>
      <c r="Q280" s="7" t="s">
        <v>1317</v>
      </c>
      <c r="R280" s="25">
        <v>100.0</v>
      </c>
      <c r="S280" s="25" t="s">
        <v>239</v>
      </c>
      <c r="T280" s="25">
        <v>1305803.0</v>
      </c>
      <c r="U280" s="25">
        <v>1.0</v>
      </c>
      <c r="X280" s="7" t="s">
        <v>1318</v>
      </c>
      <c r="Y280" s="25">
        <v>98.0</v>
      </c>
      <c r="Z280" s="25" t="s">
        <v>241</v>
      </c>
      <c r="AA280" s="25">
        <v>3833304.0</v>
      </c>
      <c r="AB280" s="25">
        <v>1815485.0</v>
      </c>
    </row>
    <row r="281">
      <c r="A281" s="4"/>
      <c r="C281" s="7" t="s">
        <v>1319</v>
      </c>
      <c r="D281" s="25">
        <v>100.0</v>
      </c>
      <c r="E281" s="25" t="s">
        <v>371</v>
      </c>
      <c r="F281" s="25">
        <v>401153.0</v>
      </c>
      <c r="G281" s="25">
        <f>F281-F280</f>
        <v>70271</v>
      </c>
      <c r="J281" s="7" t="s">
        <v>1320</v>
      </c>
      <c r="K281" s="25">
        <v>99.0</v>
      </c>
      <c r="L281" s="25" t="s">
        <v>239</v>
      </c>
      <c r="M281" s="25">
        <v>374624.0</v>
      </c>
      <c r="N281" s="25">
        <v>0.0</v>
      </c>
      <c r="Q281" s="7" t="s">
        <v>1321</v>
      </c>
      <c r="R281" s="25">
        <v>100.0</v>
      </c>
      <c r="S281" s="25" t="s">
        <v>371</v>
      </c>
      <c r="T281" s="25">
        <v>1763816.0</v>
      </c>
      <c r="U281" s="25">
        <v>456147.0</v>
      </c>
      <c r="X281" s="7" t="s">
        <v>1322</v>
      </c>
      <c r="Y281" s="25">
        <v>99.0</v>
      </c>
      <c r="Z281" s="25" t="s">
        <v>239</v>
      </c>
      <c r="AA281" s="25">
        <v>2384098.0</v>
      </c>
      <c r="AB281" s="25">
        <v>0.0</v>
      </c>
    </row>
    <row r="282">
      <c r="A282" s="4"/>
      <c r="C282" s="7" t="s">
        <v>1323</v>
      </c>
      <c r="D282" s="25">
        <v>100.0</v>
      </c>
      <c r="E282" s="25" t="s">
        <v>241</v>
      </c>
      <c r="F282" s="25">
        <v>401209.0</v>
      </c>
      <c r="G282" s="25">
        <v>70327.0</v>
      </c>
      <c r="J282" s="7" t="s">
        <v>1324</v>
      </c>
      <c r="K282" s="25">
        <v>99.0</v>
      </c>
      <c r="L282" s="25" t="s">
        <v>371</v>
      </c>
      <c r="M282" s="25">
        <v>440251.0</v>
      </c>
      <c r="N282" s="25">
        <v>65481.0</v>
      </c>
      <c r="Q282" s="7" t="s">
        <v>1325</v>
      </c>
      <c r="R282" s="25">
        <v>100.0</v>
      </c>
      <c r="S282" s="25" t="s">
        <v>241</v>
      </c>
      <c r="T282" s="25">
        <v>2086321.0</v>
      </c>
      <c r="U282" s="25">
        <v>780518.0</v>
      </c>
      <c r="X282" s="7" t="s">
        <v>1326</v>
      </c>
      <c r="Y282" s="25">
        <v>99.0</v>
      </c>
      <c r="Z282" s="25" t="s">
        <v>371</v>
      </c>
      <c r="AA282" s="25">
        <v>2943705.0</v>
      </c>
      <c r="AB282" s="25">
        <v>-889599.0</v>
      </c>
    </row>
    <row r="283">
      <c r="A283" s="4"/>
      <c r="J283" s="7" t="s">
        <v>1327</v>
      </c>
      <c r="K283" s="25">
        <v>99.0</v>
      </c>
      <c r="L283" s="25" t="s">
        <v>241</v>
      </c>
      <c r="M283" s="25">
        <v>440303.0</v>
      </c>
      <c r="N283" s="25">
        <v>65679.0</v>
      </c>
      <c r="X283" s="7" t="s">
        <v>1328</v>
      </c>
      <c r="Y283" s="25">
        <v>99.0</v>
      </c>
      <c r="Z283" s="25" t="s">
        <v>241</v>
      </c>
      <c r="AA283" s="25">
        <v>3413768.0</v>
      </c>
      <c r="AB283" s="25">
        <v>1029670.0</v>
      </c>
    </row>
    <row r="284">
      <c r="A284" s="4"/>
      <c r="J284" s="7" t="s">
        <v>1329</v>
      </c>
      <c r="K284" s="25">
        <v>100.0</v>
      </c>
      <c r="L284" s="25" t="s">
        <v>239</v>
      </c>
      <c r="M284" s="25">
        <v>440251.0</v>
      </c>
      <c r="N284" s="25">
        <v>0.0</v>
      </c>
      <c r="X284" s="7" t="s">
        <v>1330</v>
      </c>
      <c r="Y284" s="25">
        <v>100.0</v>
      </c>
      <c r="Z284" s="25" t="s">
        <v>239</v>
      </c>
      <c r="AA284" s="25">
        <v>2943705.0</v>
      </c>
      <c r="AB284" s="25">
        <v>0.0</v>
      </c>
    </row>
    <row r="285">
      <c r="A285" s="4"/>
      <c r="J285" s="7" t="s">
        <v>1331</v>
      </c>
      <c r="K285" s="25">
        <v>100.0</v>
      </c>
      <c r="L285" s="25" t="s">
        <v>371</v>
      </c>
      <c r="M285" s="25">
        <v>528310.0</v>
      </c>
      <c r="N285" s="25">
        <v>88007.0</v>
      </c>
      <c r="X285" s="7" t="s">
        <v>1332</v>
      </c>
      <c r="Y285" s="25">
        <v>100.0</v>
      </c>
      <c r="Z285" s="25" t="s">
        <v>371</v>
      </c>
      <c r="AA285" s="25">
        <v>4309646.0</v>
      </c>
      <c r="AB285" s="25">
        <v>895878.0</v>
      </c>
    </row>
    <row r="286">
      <c r="A286" s="4"/>
      <c r="F286" s="25">
        <f>F282+F318</f>
        <v>2084103</v>
      </c>
      <c r="G286" s="25">
        <f>1000*60*60*360</f>
        <v>1296000000</v>
      </c>
      <c r="H286" s="25">
        <f>G286/F286</f>
        <v>621.8502636</v>
      </c>
      <c r="J286" s="7" t="s">
        <v>1333</v>
      </c>
      <c r="K286" s="25">
        <v>100.0</v>
      </c>
      <c r="L286" s="25" t="s">
        <v>241</v>
      </c>
      <c r="M286" s="25">
        <v>528361.0</v>
      </c>
      <c r="N286" s="25">
        <v>88110.0</v>
      </c>
      <c r="X286" s="7" t="s">
        <v>1334</v>
      </c>
      <c r="Y286" s="25">
        <v>100.0</v>
      </c>
      <c r="Z286" s="25" t="s">
        <v>241</v>
      </c>
      <c r="AA286" s="25">
        <v>4620649.0</v>
      </c>
      <c r="AB286" s="25">
        <v>1676944.0</v>
      </c>
    </row>
    <row r="287">
      <c r="A287" s="4"/>
    </row>
    <row r="288">
      <c r="A288" s="4"/>
    </row>
    <row r="289">
      <c r="A289" s="40">
        <v>2.40720156302E11</v>
      </c>
      <c r="C289" s="7" t="s">
        <v>1335</v>
      </c>
      <c r="D289" s="25">
        <v>101.0</v>
      </c>
      <c r="E289" s="25" t="s">
        <v>239</v>
      </c>
      <c r="F289" s="25">
        <v>0.0</v>
      </c>
    </row>
    <row r="290">
      <c r="A290" s="4"/>
      <c r="C290" s="7" t="s">
        <v>1336</v>
      </c>
      <c r="D290" s="25">
        <v>101.0</v>
      </c>
      <c r="E290" s="25" t="s">
        <v>371</v>
      </c>
      <c r="F290" s="25">
        <v>69367.0</v>
      </c>
    </row>
    <row r="291">
      <c r="A291" s="4"/>
      <c r="C291" s="7" t="s">
        <v>1337</v>
      </c>
      <c r="D291" s="25">
        <v>101.0</v>
      </c>
      <c r="E291" s="25" t="s">
        <v>241</v>
      </c>
      <c r="F291" s="25">
        <v>69458.0</v>
      </c>
      <c r="G291" s="25">
        <v>69458.0</v>
      </c>
    </row>
    <row r="292">
      <c r="A292" s="4"/>
      <c r="C292" s="7" t="s">
        <v>1338</v>
      </c>
      <c r="D292" s="25">
        <v>102.0</v>
      </c>
      <c r="E292" s="25" t="s">
        <v>239</v>
      </c>
      <c r="F292" s="25">
        <v>69367.0</v>
      </c>
      <c r="G292" s="25">
        <v>0.0</v>
      </c>
    </row>
    <row r="293">
      <c r="A293" s="4"/>
      <c r="C293" s="7" t="s">
        <v>1339</v>
      </c>
      <c r="D293" s="25">
        <v>102.0</v>
      </c>
      <c r="E293" s="25" t="s">
        <v>371</v>
      </c>
      <c r="F293" s="25">
        <v>151784.0</v>
      </c>
      <c r="G293" s="25">
        <v>82326.0</v>
      </c>
    </row>
    <row r="294">
      <c r="A294" s="4"/>
      <c r="C294" s="7" t="s">
        <v>1340</v>
      </c>
      <c r="D294" s="25">
        <v>102.0</v>
      </c>
      <c r="E294" s="25" t="s">
        <v>241</v>
      </c>
      <c r="F294" s="25">
        <v>151839.0</v>
      </c>
      <c r="G294" s="25">
        <v>82472.0</v>
      </c>
      <c r="J294" s="7" t="s">
        <v>1341</v>
      </c>
    </row>
    <row r="295">
      <c r="A295" s="4"/>
      <c r="C295" s="7" t="s">
        <v>1342</v>
      </c>
      <c r="D295" s="25">
        <v>103.0</v>
      </c>
      <c r="E295" s="25" t="s">
        <v>239</v>
      </c>
      <c r="F295" s="25">
        <v>151784.0</v>
      </c>
      <c r="G295" s="25">
        <v>0.0</v>
      </c>
      <c r="J295" s="7" t="s">
        <v>1343</v>
      </c>
    </row>
    <row r="296">
      <c r="A296" s="4"/>
      <c r="C296" s="7" t="s">
        <v>1344</v>
      </c>
      <c r="D296" s="25">
        <v>103.0</v>
      </c>
      <c r="E296" s="25" t="s">
        <v>371</v>
      </c>
      <c r="F296" s="25">
        <v>247326.0</v>
      </c>
      <c r="G296" s="25">
        <v>95487.0</v>
      </c>
      <c r="J296" s="7" t="s">
        <v>1345</v>
      </c>
    </row>
    <row r="297">
      <c r="A297" s="4"/>
      <c r="C297" s="7" t="s">
        <v>1346</v>
      </c>
      <c r="D297" s="25">
        <v>103.0</v>
      </c>
      <c r="E297" s="25" t="s">
        <v>241</v>
      </c>
      <c r="F297" s="25">
        <v>247417.0</v>
      </c>
      <c r="G297" s="25">
        <v>95633.0</v>
      </c>
      <c r="J297" s="7" t="s">
        <v>1347</v>
      </c>
    </row>
    <row r="298">
      <c r="A298" s="4"/>
      <c r="C298" s="7" t="s">
        <v>1348</v>
      </c>
      <c r="D298" s="25">
        <v>104.0</v>
      </c>
      <c r="E298" s="25" t="s">
        <v>239</v>
      </c>
      <c r="F298" s="25">
        <v>247327.0</v>
      </c>
      <c r="G298" s="25">
        <v>1.0</v>
      </c>
      <c r="J298" s="7" t="s">
        <v>1349</v>
      </c>
    </row>
    <row r="299">
      <c r="A299" s="4"/>
      <c r="C299" s="7" t="s">
        <v>1350</v>
      </c>
      <c r="D299" s="25">
        <v>104.0</v>
      </c>
      <c r="E299" s="25" t="s">
        <v>371</v>
      </c>
      <c r="F299" s="25">
        <v>386046.0</v>
      </c>
      <c r="G299" s="25">
        <v>138629.0</v>
      </c>
      <c r="J299" s="7" t="s">
        <v>1351</v>
      </c>
    </row>
    <row r="300">
      <c r="A300" s="4"/>
      <c r="C300" s="7" t="s">
        <v>1352</v>
      </c>
      <c r="D300" s="25">
        <v>104.0</v>
      </c>
      <c r="E300" s="25" t="s">
        <v>241</v>
      </c>
      <c r="F300" s="25">
        <v>386118.0</v>
      </c>
      <c r="G300" s="25">
        <v>138791.0</v>
      </c>
      <c r="J300" s="7" t="s">
        <v>1353</v>
      </c>
    </row>
    <row r="301">
      <c r="A301" s="4"/>
      <c r="C301" s="7" t="s">
        <v>1354</v>
      </c>
      <c r="D301" s="25">
        <v>105.0</v>
      </c>
      <c r="E301" s="25" t="s">
        <v>239</v>
      </c>
      <c r="F301" s="25">
        <v>386047.0</v>
      </c>
      <c r="G301" s="25">
        <v>1.0</v>
      </c>
      <c r="J301" s="7" t="s">
        <v>1355</v>
      </c>
    </row>
    <row r="302">
      <c r="A302" s="4"/>
      <c r="C302" s="7" t="s">
        <v>1356</v>
      </c>
      <c r="D302" s="25">
        <v>105.0</v>
      </c>
      <c r="E302" s="25" t="s">
        <v>371</v>
      </c>
      <c r="F302" s="25">
        <v>533300.0</v>
      </c>
      <c r="G302" s="25">
        <v>147182.0</v>
      </c>
      <c r="J302" s="7" t="s">
        <v>1357</v>
      </c>
    </row>
    <row r="303">
      <c r="A303" s="4"/>
      <c r="C303" s="7" t="s">
        <v>1358</v>
      </c>
      <c r="D303" s="25">
        <v>105.0</v>
      </c>
      <c r="E303" s="25" t="s">
        <v>241</v>
      </c>
      <c r="F303" s="25">
        <v>533385.0</v>
      </c>
      <c r="G303" s="25">
        <v>147338.0</v>
      </c>
      <c r="J303" s="7" t="s">
        <v>1359</v>
      </c>
    </row>
    <row r="304">
      <c r="A304" s="4"/>
      <c r="C304" s="7" t="s">
        <v>1360</v>
      </c>
      <c r="D304" s="25">
        <v>106.0</v>
      </c>
      <c r="E304" s="25" t="s">
        <v>239</v>
      </c>
      <c r="F304" s="25">
        <v>533301.0</v>
      </c>
      <c r="G304" s="25">
        <v>1.0</v>
      </c>
      <c r="J304" s="7" t="s">
        <v>1361</v>
      </c>
    </row>
    <row r="305">
      <c r="A305" s="4"/>
      <c r="C305" s="7" t="s">
        <v>1362</v>
      </c>
      <c r="D305" s="25">
        <v>106.0</v>
      </c>
      <c r="E305" s="25" t="s">
        <v>371</v>
      </c>
      <c r="F305" s="25">
        <v>696376.0</v>
      </c>
      <c r="G305" s="25">
        <v>162991.0</v>
      </c>
      <c r="J305" s="7" t="s">
        <v>1363</v>
      </c>
    </row>
    <row r="306">
      <c r="A306" s="4"/>
      <c r="C306" s="7" t="s">
        <v>1364</v>
      </c>
      <c r="D306" s="25">
        <v>106.0</v>
      </c>
      <c r="E306" s="25" t="s">
        <v>241</v>
      </c>
      <c r="F306" s="25">
        <v>696481.0</v>
      </c>
      <c r="G306" s="25">
        <v>163180.0</v>
      </c>
      <c r="J306" s="7" t="s">
        <v>1365</v>
      </c>
    </row>
    <row r="307">
      <c r="A307" s="4"/>
      <c r="C307" s="7" t="s">
        <v>1366</v>
      </c>
      <c r="D307" s="25">
        <v>107.0</v>
      </c>
      <c r="E307" s="25" t="s">
        <v>239</v>
      </c>
      <c r="F307" s="25">
        <v>696376.0</v>
      </c>
      <c r="G307" s="25">
        <v>0.0</v>
      </c>
      <c r="J307" s="7" t="s">
        <v>1367</v>
      </c>
    </row>
    <row r="308">
      <c r="A308" s="4"/>
      <c r="C308" s="7" t="s">
        <v>1368</v>
      </c>
      <c r="D308" s="25">
        <v>107.0</v>
      </c>
      <c r="E308" s="25" t="s">
        <v>371</v>
      </c>
      <c r="F308" s="25">
        <v>882078.0</v>
      </c>
      <c r="G308" s="25">
        <v>185597.0</v>
      </c>
      <c r="J308" s="7" t="s">
        <v>1369</v>
      </c>
    </row>
    <row r="309">
      <c r="A309" s="4"/>
      <c r="C309" s="7" t="s">
        <v>1370</v>
      </c>
      <c r="D309" s="25">
        <v>107.0</v>
      </c>
      <c r="E309" s="25" t="s">
        <v>241</v>
      </c>
      <c r="F309" s="25">
        <v>882190.0</v>
      </c>
      <c r="G309" s="25">
        <v>185814.0</v>
      </c>
      <c r="J309" s="7" t="s">
        <v>1371</v>
      </c>
    </row>
    <row r="310">
      <c r="A310" s="4"/>
      <c r="C310" s="7" t="s">
        <v>1372</v>
      </c>
      <c r="D310" s="25">
        <v>108.0</v>
      </c>
      <c r="E310" s="25" t="s">
        <v>239</v>
      </c>
      <c r="F310" s="25">
        <v>882078.0</v>
      </c>
      <c r="G310" s="25">
        <v>0.0</v>
      </c>
      <c r="J310" s="7" t="s">
        <v>1373</v>
      </c>
    </row>
    <row r="311">
      <c r="A311" s="4"/>
      <c r="C311" s="7" t="s">
        <v>1374</v>
      </c>
      <c r="D311" s="25">
        <v>108.0</v>
      </c>
      <c r="E311" s="25" t="s">
        <v>371</v>
      </c>
      <c r="F311" s="25">
        <v>1147380.0</v>
      </c>
      <c r="G311" s="25">
        <v>265190.0</v>
      </c>
      <c r="J311" s="7" t="s">
        <v>1375</v>
      </c>
    </row>
    <row r="312">
      <c r="A312" s="4"/>
      <c r="C312" s="7" t="s">
        <v>1376</v>
      </c>
      <c r="D312" s="25">
        <v>108.0</v>
      </c>
      <c r="E312" s="25" t="s">
        <v>241</v>
      </c>
      <c r="F312" s="25">
        <v>1147532.0</v>
      </c>
      <c r="G312" s="25">
        <v>265454.0</v>
      </c>
      <c r="J312" s="7" t="s">
        <v>1377</v>
      </c>
    </row>
    <row r="313">
      <c r="A313" s="4"/>
      <c r="C313" s="7" t="s">
        <v>1378</v>
      </c>
      <c r="D313" s="25">
        <v>109.0</v>
      </c>
      <c r="E313" s="25" t="s">
        <v>239</v>
      </c>
      <c r="F313" s="25">
        <v>1147382.0</v>
      </c>
      <c r="G313" s="25">
        <v>2.0</v>
      </c>
      <c r="J313" s="7" t="s">
        <v>1379</v>
      </c>
    </row>
    <row r="314">
      <c r="A314" s="4"/>
      <c r="C314" s="7" t="s">
        <v>1380</v>
      </c>
      <c r="D314" s="25">
        <v>109.0</v>
      </c>
      <c r="E314" s="25" t="s">
        <v>371</v>
      </c>
      <c r="F314" s="25">
        <v>1393032.0</v>
      </c>
      <c r="G314" s="25">
        <v>245500.0</v>
      </c>
      <c r="J314" s="7" t="s">
        <v>1381</v>
      </c>
    </row>
    <row r="315">
      <c r="A315" s="4"/>
      <c r="C315" s="7" t="s">
        <v>1382</v>
      </c>
      <c r="D315" s="25">
        <v>109.0</v>
      </c>
      <c r="E315" s="25" t="s">
        <v>241</v>
      </c>
      <c r="F315" s="25">
        <v>1393190.0</v>
      </c>
      <c r="G315" s="25">
        <v>245808.0</v>
      </c>
      <c r="J315" s="7" t="s">
        <v>1383</v>
      </c>
    </row>
    <row r="316">
      <c r="A316" s="4"/>
      <c r="C316" s="7" t="s">
        <v>1384</v>
      </c>
      <c r="D316" s="25">
        <v>110.0</v>
      </c>
      <c r="E316" s="25" t="s">
        <v>239</v>
      </c>
      <c r="F316" s="25">
        <v>1393034.0</v>
      </c>
      <c r="G316" s="25">
        <v>2.0</v>
      </c>
      <c r="J316" s="7" t="s">
        <v>1385</v>
      </c>
    </row>
    <row r="317">
      <c r="A317" s="4"/>
      <c r="C317" s="7" t="s">
        <v>1386</v>
      </c>
      <c r="D317" s="25">
        <v>110.0</v>
      </c>
      <c r="E317" s="25" t="s">
        <v>371</v>
      </c>
      <c r="F317" s="25">
        <v>1682761.0</v>
      </c>
      <c r="G317" s="25">
        <v>289571.0</v>
      </c>
      <c r="J317" s="7" t="s">
        <v>1387</v>
      </c>
    </row>
    <row r="318">
      <c r="A318" s="4"/>
      <c r="C318" s="7" t="s">
        <v>1388</v>
      </c>
      <c r="D318" s="25">
        <v>110.0</v>
      </c>
      <c r="E318" s="25" t="s">
        <v>241</v>
      </c>
      <c r="F318" s="25">
        <v>1682894.0</v>
      </c>
      <c r="G318" s="25">
        <v>289860.0</v>
      </c>
      <c r="J318" s="7" t="s">
        <v>1389</v>
      </c>
    </row>
    <row r="319">
      <c r="A319" s="4">
        <f>A289+A3</f>
        <v>298507837306</v>
      </c>
      <c r="J319" s="7" t="s">
        <v>1390</v>
      </c>
    </row>
    <row r="320">
      <c r="A320" s="4"/>
      <c r="J320" s="7" t="s">
        <v>1391</v>
      </c>
    </row>
    <row r="321">
      <c r="A321" s="40">
        <v>1.217284738722E12</v>
      </c>
      <c r="C321" s="7" t="s">
        <v>1392</v>
      </c>
      <c r="D321" s="25">
        <v>111.0</v>
      </c>
      <c r="E321" s="25" t="s">
        <v>239</v>
      </c>
      <c r="F321" s="25">
        <v>0.0</v>
      </c>
      <c r="J321" s="7" t="s">
        <v>1393</v>
      </c>
    </row>
    <row r="322">
      <c r="A322" s="4"/>
      <c r="C322" s="7" t="s">
        <v>1394</v>
      </c>
      <c r="D322" s="25">
        <v>111.0</v>
      </c>
      <c r="E322" s="25" t="s">
        <v>371</v>
      </c>
      <c r="F322" s="25">
        <v>356283.0</v>
      </c>
      <c r="J322" s="7" t="s">
        <v>1395</v>
      </c>
    </row>
    <row r="323">
      <c r="A323" s="4"/>
      <c r="C323" s="7" t="s">
        <v>1396</v>
      </c>
      <c r="D323" s="25">
        <v>111.0</v>
      </c>
      <c r="E323" s="25" t="s">
        <v>241</v>
      </c>
      <c r="F323" s="25">
        <v>356492.0</v>
      </c>
      <c r="G323" s="25">
        <v>356492.0</v>
      </c>
      <c r="H323" s="78">
        <f>G323*H$352</f>
        <v>0.004126064815</v>
      </c>
      <c r="J323" s="7" t="s">
        <v>1397</v>
      </c>
    </row>
    <row r="324">
      <c r="A324" s="4"/>
      <c r="C324" s="7" t="s">
        <v>1398</v>
      </c>
      <c r="D324" s="25">
        <v>112.0</v>
      </c>
      <c r="E324" s="25" t="s">
        <v>239</v>
      </c>
      <c r="F324" s="25">
        <v>356284.0</v>
      </c>
      <c r="G324" s="25">
        <v>1.0</v>
      </c>
      <c r="J324" s="7" t="s">
        <v>1399</v>
      </c>
    </row>
    <row r="325">
      <c r="A325" s="4"/>
      <c r="C325" s="7" t="s">
        <v>1400</v>
      </c>
      <c r="D325" s="25">
        <v>112.0</v>
      </c>
      <c r="E325" s="25" t="s">
        <v>371</v>
      </c>
      <c r="F325" s="25">
        <v>835725.0</v>
      </c>
      <c r="G325" s="25">
        <v>479233.0</v>
      </c>
      <c r="J325" s="7" t="s">
        <v>1401</v>
      </c>
    </row>
    <row r="326">
      <c r="A326" s="40">
        <v>1.21928344735E11</v>
      </c>
      <c r="C326" s="7" t="s">
        <v>1402</v>
      </c>
      <c r="D326" s="25">
        <v>112.0</v>
      </c>
      <c r="E326" s="25" t="s">
        <v>241</v>
      </c>
      <c r="F326" s="25">
        <v>836081.0</v>
      </c>
      <c r="G326" s="25">
        <v>479797.0</v>
      </c>
      <c r="H326" s="78">
        <f>G326*H$352</f>
        <v>0.005553206019</v>
      </c>
      <c r="J326" s="7" t="s">
        <v>1403</v>
      </c>
    </row>
    <row r="327">
      <c r="A327" s="4"/>
      <c r="C327" s="7" t="s">
        <v>1404</v>
      </c>
      <c r="D327" s="25">
        <v>113.0</v>
      </c>
      <c r="E327" s="25" t="s">
        <v>239</v>
      </c>
      <c r="F327" s="25">
        <v>835725.0</v>
      </c>
      <c r="G327" s="25">
        <v>0.0</v>
      </c>
      <c r="J327" s="7" t="s">
        <v>1405</v>
      </c>
    </row>
    <row r="328">
      <c r="A328" s="4"/>
      <c r="C328" s="7" t="s">
        <v>1406</v>
      </c>
      <c r="D328" s="25">
        <v>113.0</v>
      </c>
      <c r="E328" s="25" t="s">
        <v>371</v>
      </c>
      <c r="F328" s="25">
        <v>1335287.0</v>
      </c>
      <c r="G328" s="25">
        <v>499206.0</v>
      </c>
      <c r="J328" s="7" t="s">
        <v>1407</v>
      </c>
    </row>
    <row r="329">
      <c r="A329" s="4"/>
      <c r="C329" s="7" t="s">
        <v>1408</v>
      </c>
      <c r="D329" s="25">
        <v>113.0</v>
      </c>
      <c r="E329" s="25" t="s">
        <v>241</v>
      </c>
      <c r="F329" s="25">
        <v>1335515.0</v>
      </c>
      <c r="G329" s="25">
        <v>499790.0</v>
      </c>
      <c r="H329" s="78">
        <f>G329*H$352</f>
        <v>0.005784606481</v>
      </c>
      <c r="J329" s="7" t="s">
        <v>1409</v>
      </c>
    </row>
    <row r="330">
      <c r="A330" s="4"/>
      <c r="C330" s="7" t="s">
        <v>1410</v>
      </c>
      <c r="D330" s="25">
        <v>114.0</v>
      </c>
      <c r="E330" s="25" t="s">
        <v>239</v>
      </c>
      <c r="F330" s="25">
        <v>1335289.0</v>
      </c>
      <c r="G330" s="25">
        <v>2.0</v>
      </c>
      <c r="J330" s="7" t="s">
        <v>1411</v>
      </c>
    </row>
    <row r="331">
      <c r="A331" s="4"/>
      <c r="C331" s="7" t="s">
        <v>1412</v>
      </c>
      <c r="D331" s="25">
        <v>114.0</v>
      </c>
      <c r="E331" s="25" t="s">
        <v>371</v>
      </c>
      <c r="F331" s="25">
        <v>1900515.0</v>
      </c>
      <c r="G331" s="25">
        <v>565000.0</v>
      </c>
      <c r="J331" s="7" t="s">
        <v>1413</v>
      </c>
    </row>
    <row r="332">
      <c r="A332" s="4"/>
      <c r="C332" s="7" t="s">
        <v>1414</v>
      </c>
      <c r="D332" s="25">
        <v>114.0</v>
      </c>
      <c r="E332" s="25" t="s">
        <v>241</v>
      </c>
      <c r="F332" s="25">
        <v>1900833.0</v>
      </c>
      <c r="G332" s="25">
        <v>565544.0</v>
      </c>
      <c r="H332" s="78">
        <f>G332*H$352</f>
        <v>0.006545648148</v>
      </c>
      <c r="J332" s="7" t="s">
        <v>1415</v>
      </c>
    </row>
    <row r="333">
      <c r="A333" s="4"/>
      <c r="C333" s="7" t="s">
        <v>1416</v>
      </c>
      <c r="D333" s="25">
        <v>115.0</v>
      </c>
      <c r="E333" s="25" t="s">
        <v>239</v>
      </c>
      <c r="F333" s="25">
        <v>1900516.0</v>
      </c>
      <c r="G333" s="25">
        <v>1.0</v>
      </c>
      <c r="J333" s="7" t="s">
        <v>1417</v>
      </c>
    </row>
    <row r="334">
      <c r="A334" s="4"/>
      <c r="C334" s="7" t="s">
        <v>1418</v>
      </c>
      <c r="D334" s="25">
        <v>115.0</v>
      </c>
      <c r="E334" s="25" t="s">
        <v>371</v>
      </c>
      <c r="F334" s="25">
        <v>2546671.0</v>
      </c>
      <c r="G334" s="25">
        <v>645838.0</v>
      </c>
      <c r="J334" s="7" t="s">
        <v>1419</v>
      </c>
    </row>
    <row r="335">
      <c r="A335" s="4"/>
      <c r="C335" s="7" t="s">
        <v>1420</v>
      </c>
      <c r="D335" s="25">
        <v>115.0</v>
      </c>
      <c r="E335" s="25" t="s">
        <v>241</v>
      </c>
      <c r="F335" s="25">
        <v>2547026.0</v>
      </c>
      <c r="G335" s="25">
        <v>646510.0</v>
      </c>
      <c r="H335" s="78">
        <f>G335*H$352</f>
        <v>0.00748275463</v>
      </c>
      <c r="J335" s="7" t="s">
        <v>1421</v>
      </c>
    </row>
    <row r="336">
      <c r="A336" s="4"/>
      <c r="C336" s="7" t="s">
        <v>1422</v>
      </c>
      <c r="D336" s="25">
        <v>116.0</v>
      </c>
      <c r="E336" s="25" t="s">
        <v>239</v>
      </c>
      <c r="F336" s="25">
        <v>2546671.0</v>
      </c>
      <c r="G336" s="25">
        <v>0.0</v>
      </c>
      <c r="J336" s="7" t="s">
        <v>1423</v>
      </c>
    </row>
    <row r="337">
      <c r="A337" s="4"/>
      <c r="C337" s="7" t="s">
        <v>1424</v>
      </c>
      <c r="D337" s="25">
        <v>116.0</v>
      </c>
      <c r="E337" s="25" t="s">
        <v>371</v>
      </c>
      <c r="F337" s="25">
        <v>3507774.0</v>
      </c>
      <c r="G337" s="25">
        <v>960748.0</v>
      </c>
      <c r="J337" s="7" t="s">
        <v>1425</v>
      </c>
    </row>
    <row r="338">
      <c r="A338" s="4"/>
      <c r="C338" s="7" t="s">
        <v>1426</v>
      </c>
      <c r="D338" s="25">
        <v>116.0</v>
      </c>
      <c r="E338" s="25" t="s">
        <v>241</v>
      </c>
      <c r="F338" s="25">
        <v>3508147.0</v>
      </c>
      <c r="G338" s="25">
        <v>961476.0</v>
      </c>
      <c r="H338" s="78">
        <f>G338*H$352</f>
        <v>0.01112819444</v>
      </c>
      <c r="J338" s="7" t="s">
        <v>1427</v>
      </c>
    </row>
    <row r="339">
      <c r="A339" s="4"/>
      <c r="C339" s="7" t="s">
        <v>1428</v>
      </c>
      <c r="D339" s="25">
        <v>117.0</v>
      </c>
      <c r="E339" s="25" t="s">
        <v>239</v>
      </c>
      <c r="F339" s="25">
        <v>3507775.0</v>
      </c>
      <c r="G339" s="25">
        <v>1.0</v>
      </c>
      <c r="J339" s="7" t="s">
        <v>1429</v>
      </c>
    </row>
    <row r="340">
      <c r="A340" s="4"/>
      <c r="C340" s="7" t="s">
        <v>1430</v>
      </c>
      <c r="D340" s="25">
        <v>117.0</v>
      </c>
      <c r="E340" s="25" t="s">
        <v>371</v>
      </c>
      <c r="F340" s="25">
        <v>4466278.0</v>
      </c>
      <c r="G340" s="25">
        <v>958131.0</v>
      </c>
      <c r="J340" s="7" t="s">
        <v>1431</v>
      </c>
    </row>
    <row r="341">
      <c r="A341" s="4"/>
      <c r="C341" s="7" t="s">
        <v>1432</v>
      </c>
      <c r="D341" s="25">
        <v>117.0</v>
      </c>
      <c r="E341" s="25" t="s">
        <v>241</v>
      </c>
      <c r="F341" s="25">
        <v>4466751.0</v>
      </c>
      <c r="G341" s="25">
        <v>958976.0</v>
      </c>
      <c r="H341" s="78">
        <f>G341*H$352</f>
        <v>0.01109925926</v>
      </c>
    </row>
    <row r="342">
      <c r="A342" s="4"/>
      <c r="C342" s="7" t="s">
        <v>1433</v>
      </c>
      <c r="D342" s="25">
        <v>118.0</v>
      </c>
      <c r="E342" s="25" t="s">
        <v>239</v>
      </c>
      <c r="F342" s="25">
        <v>4466280.0</v>
      </c>
      <c r="G342" s="25">
        <v>2.0</v>
      </c>
    </row>
    <row r="343">
      <c r="A343" s="4"/>
      <c r="C343" s="7" t="s">
        <v>1434</v>
      </c>
      <c r="D343" s="25">
        <v>118.0</v>
      </c>
      <c r="E343" s="25" t="s">
        <v>371</v>
      </c>
      <c r="F343" s="25">
        <v>5539990.0</v>
      </c>
      <c r="G343" s="25">
        <v>1073239.0</v>
      </c>
    </row>
    <row r="344">
      <c r="A344" s="4"/>
      <c r="C344" s="7" t="s">
        <v>1435</v>
      </c>
      <c r="D344" s="25">
        <v>118.0</v>
      </c>
      <c r="E344" s="25" t="s">
        <v>241</v>
      </c>
      <c r="F344" s="25">
        <v>5540532.0</v>
      </c>
      <c r="G344" s="25">
        <v>1074252.0</v>
      </c>
      <c r="H344" s="78">
        <f>G344*H$352</f>
        <v>0.01243347222</v>
      </c>
    </row>
    <row r="345">
      <c r="A345" s="4"/>
      <c r="C345" s="7" t="s">
        <v>1436</v>
      </c>
      <c r="D345" s="25">
        <v>119.0</v>
      </c>
      <c r="E345" s="25" t="s">
        <v>239</v>
      </c>
      <c r="F345" s="25">
        <v>5539991.0</v>
      </c>
      <c r="G345" s="25">
        <v>1.0</v>
      </c>
    </row>
    <row r="346">
      <c r="A346" s="4"/>
      <c r="C346" s="7" t="s">
        <v>1437</v>
      </c>
      <c r="D346" s="25">
        <v>119.0</v>
      </c>
      <c r="E346" s="25" t="s">
        <v>371</v>
      </c>
      <c r="F346" s="25">
        <v>6762186.0</v>
      </c>
      <c r="G346" s="25">
        <v>1221654.0</v>
      </c>
    </row>
    <row r="347">
      <c r="A347" s="4"/>
      <c r="C347" s="7" t="s">
        <v>1438</v>
      </c>
      <c r="D347" s="25">
        <v>119.0</v>
      </c>
      <c r="E347" s="25" t="s">
        <v>241</v>
      </c>
      <c r="F347" s="25">
        <v>6762901.0</v>
      </c>
      <c r="G347" s="25">
        <v>1222910.0</v>
      </c>
      <c r="H347" s="78">
        <f>G347*H$352</f>
        <v>0.01415405093</v>
      </c>
    </row>
    <row r="348">
      <c r="A348" s="4"/>
      <c r="C348" s="7" t="s">
        <v>1439</v>
      </c>
      <c r="D348" s="25">
        <v>120.0</v>
      </c>
      <c r="E348" s="25" t="s">
        <v>239</v>
      </c>
      <c r="F348" s="25">
        <v>6762187.0</v>
      </c>
      <c r="G348" s="25">
        <v>1.0</v>
      </c>
    </row>
    <row r="349">
      <c r="A349" s="4"/>
      <c r="C349" s="7" t="s">
        <v>1440</v>
      </c>
      <c r="D349" s="25">
        <v>120.0</v>
      </c>
      <c r="E349" s="25" t="s">
        <v>371</v>
      </c>
      <c r="F349" s="25">
        <v>8485166.0</v>
      </c>
      <c r="G349" s="25">
        <v>1722265.0</v>
      </c>
    </row>
    <row r="350">
      <c r="A350" s="4"/>
      <c r="C350" s="7" t="s">
        <v>1441</v>
      </c>
      <c r="D350" s="25">
        <v>120.0</v>
      </c>
      <c r="E350" s="25" t="s">
        <v>241</v>
      </c>
      <c r="F350" s="25">
        <v>8485831.0</v>
      </c>
      <c r="G350" s="25">
        <v>1723644.0</v>
      </c>
      <c r="H350" s="78">
        <f>G350*H$352</f>
        <v>0.01994958333</v>
      </c>
      <c r="I350" s="25">
        <f>F350-F335</f>
        <v>5938805</v>
      </c>
    </row>
    <row r="351">
      <c r="A351" s="4"/>
      <c r="I351" s="78">
        <f>I350*H372</f>
        <v>0.06873616898</v>
      </c>
    </row>
    <row r="352">
      <c r="A352" s="4"/>
      <c r="H352" s="6">
        <v>1.1574074074074074E-8</v>
      </c>
    </row>
    <row r="353">
      <c r="A353" s="4"/>
      <c r="I353" s="25">
        <f>I350/F335</f>
        <v>2.331662496</v>
      </c>
      <c r="K353" s="7" t="s">
        <v>1442</v>
      </c>
    </row>
    <row r="354">
      <c r="A354" s="40">
        <v>1.755028002822E12</v>
      </c>
      <c r="C354" s="7" t="s">
        <v>1443</v>
      </c>
      <c r="D354" s="25">
        <v>121.0</v>
      </c>
      <c r="E354" s="25" t="s">
        <v>239</v>
      </c>
      <c r="F354" s="25">
        <v>0.0</v>
      </c>
      <c r="I354" s="25">
        <f>G372/I351</f>
        <v>2.065198975</v>
      </c>
      <c r="K354" s="7" t="s">
        <v>1444</v>
      </c>
    </row>
    <row r="355">
      <c r="C355" s="7" t="s">
        <v>1445</v>
      </c>
      <c r="D355" s="25">
        <v>121.0</v>
      </c>
      <c r="E355" s="25" t="s">
        <v>371</v>
      </c>
      <c r="F355" s="25">
        <v>1764052.0</v>
      </c>
      <c r="K355" s="7" t="s">
        <v>1442</v>
      </c>
    </row>
    <row r="356">
      <c r="A356" s="4"/>
      <c r="C356" s="7" t="s">
        <v>1446</v>
      </c>
      <c r="D356" s="25">
        <v>121.0</v>
      </c>
      <c r="E356" s="25" t="s">
        <v>241</v>
      </c>
      <c r="F356" s="25">
        <v>1764963.0</v>
      </c>
      <c r="G356" s="7">
        <f t="shared" ref="G356:G368" si="1">F356-F354</f>
        <v>1764963</v>
      </c>
      <c r="H356" s="6"/>
      <c r="I356" s="78">
        <f>G372*I354</f>
        <v>0.2931629781</v>
      </c>
      <c r="K356" s="7" t="s">
        <v>1447</v>
      </c>
    </row>
    <row r="357">
      <c r="C357" s="7" t="s">
        <v>1448</v>
      </c>
      <c r="D357" s="25">
        <v>122.0</v>
      </c>
      <c r="E357" s="25" t="s">
        <v>239</v>
      </c>
      <c r="F357" s="25">
        <v>1764053.0</v>
      </c>
      <c r="G357" s="7">
        <f t="shared" si="1"/>
        <v>1</v>
      </c>
      <c r="K357" s="7" t="s">
        <v>1449</v>
      </c>
    </row>
    <row r="358">
      <c r="C358" s="7" t="s">
        <v>1450</v>
      </c>
      <c r="D358" s="25">
        <v>122.0</v>
      </c>
      <c r="E358" s="25" t="s">
        <v>371</v>
      </c>
      <c r="F358" s="25">
        <v>3689797.0</v>
      </c>
      <c r="G358" s="7">
        <f t="shared" si="1"/>
        <v>1924834</v>
      </c>
      <c r="K358" s="7" t="s">
        <v>1447</v>
      </c>
    </row>
    <row r="359">
      <c r="A359" s="4"/>
      <c r="C359" s="7" t="s">
        <v>1451</v>
      </c>
      <c r="D359" s="25">
        <v>122.0</v>
      </c>
      <c r="E359" s="25" t="s">
        <v>241</v>
      </c>
      <c r="F359" s="25">
        <v>3690789.0</v>
      </c>
      <c r="G359" s="7">
        <f t="shared" si="1"/>
        <v>1926736</v>
      </c>
      <c r="K359" s="7" t="s">
        <v>1442</v>
      </c>
    </row>
    <row r="360">
      <c r="C360" s="7" t="s">
        <v>1452</v>
      </c>
      <c r="D360" s="25">
        <v>123.0</v>
      </c>
      <c r="E360" s="25" t="s">
        <v>239</v>
      </c>
      <c r="F360" s="25">
        <v>3689798.0</v>
      </c>
      <c r="G360" s="7">
        <f t="shared" si="1"/>
        <v>1</v>
      </c>
      <c r="K360" s="7" t="s">
        <v>1449</v>
      </c>
    </row>
    <row r="361">
      <c r="C361" s="7" t="s">
        <v>1453</v>
      </c>
      <c r="D361" s="25">
        <v>123.0</v>
      </c>
      <c r="E361" s="25" t="s">
        <v>371</v>
      </c>
      <c r="F361" s="25">
        <v>6029782.0</v>
      </c>
      <c r="G361" s="7">
        <f t="shared" si="1"/>
        <v>2338993</v>
      </c>
      <c r="K361" s="7" t="s">
        <v>1442</v>
      </c>
    </row>
    <row r="362">
      <c r="A362" s="4"/>
      <c r="C362" s="7" t="s">
        <v>1454</v>
      </c>
      <c r="D362" s="25">
        <v>123.0</v>
      </c>
      <c r="E362" s="25" t="s">
        <v>241</v>
      </c>
      <c r="F362" s="25">
        <v>6030843.0</v>
      </c>
      <c r="G362" s="7">
        <f t="shared" si="1"/>
        <v>2341045</v>
      </c>
      <c r="K362" s="7" t="s">
        <v>1444</v>
      </c>
    </row>
    <row r="363">
      <c r="C363" s="7" t="s">
        <v>1455</v>
      </c>
      <c r="D363" s="25">
        <v>124.0</v>
      </c>
      <c r="E363" s="25" t="s">
        <v>239</v>
      </c>
      <c r="F363" s="25">
        <v>6029784.0</v>
      </c>
      <c r="G363" s="7">
        <f t="shared" si="1"/>
        <v>2</v>
      </c>
      <c r="K363" s="7" t="s">
        <v>1447</v>
      </c>
    </row>
    <row r="364">
      <c r="C364" s="7" t="s">
        <v>1456</v>
      </c>
      <c r="D364" s="25">
        <v>124.0</v>
      </c>
      <c r="E364" s="25" t="s">
        <v>371</v>
      </c>
      <c r="F364" s="25">
        <v>9170888.0</v>
      </c>
      <c r="G364" s="7">
        <f t="shared" si="1"/>
        <v>3140045</v>
      </c>
      <c r="K364" s="7" t="s">
        <v>1449</v>
      </c>
    </row>
    <row r="365">
      <c r="A365" s="4"/>
      <c r="C365" s="7" t="s">
        <v>1457</v>
      </c>
      <c r="D365" s="25">
        <v>124.0</v>
      </c>
      <c r="E365" s="25" t="s">
        <v>241</v>
      </c>
      <c r="F365" s="25">
        <v>9172140.0</v>
      </c>
      <c r="G365" s="7">
        <f t="shared" si="1"/>
        <v>3142356</v>
      </c>
      <c r="I365" s="7">
        <v>2.4734414E7</v>
      </c>
      <c r="K365" s="7" t="s">
        <v>1447</v>
      </c>
    </row>
    <row r="366">
      <c r="C366" s="7" t="s">
        <v>1458</v>
      </c>
      <c r="D366" s="25">
        <v>125.0</v>
      </c>
      <c r="E366" s="25" t="s">
        <v>239</v>
      </c>
      <c r="F366" s="25">
        <v>9170890.0</v>
      </c>
      <c r="G366" s="7">
        <f t="shared" si="1"/>
        <v>2</v>
      </c>
      <c r="K366" s="7" t="s">
        <v>1459</v>
      </c>
    </row>
    <row r="367">
      <c r="C367" s="7" t="s">
        <v>1460</v>
      </c>
      <c r="D367" s="25">
        <v>125.0</v>
      </c>
      <c r="E367" s="25" t="s">
        <v>371</v>
      </c>
      <c r="F367" s="25">
        <v>1.2263908E7</v>
      </c>
      <c r="G367" s="7">
        <f t="shared" si="1"/>
        <v>3091768</v>
      </c>
      <c r="K367" s="7" t="s">
        <v>1461</v>
      </c>
    </row>
    <row r="368">
      <c r="A368" s="4"/>
      <c r="C368" s="7" t="s">
        <v>1462</v>
      </c>
      <c r="D368" s="25">
        <v>125.0</v>
      </c>
      <c r="E368" s="25" t="s">
        <v>241</v>
      </c>
      <c r="F368" s="25">
        <v>1.2264814E7</v>
      </c>
      <c r="G368" s="7">
        <f t="shared" si="1"/>
        <v>3093924</v>
      </c>
      <c r="K368" s="7" t="s">
        <v>1463</v>
      </c>
    </row>
    <row r="369">
      <c r="A369" s="4"/>
      <c r="K369" s="7" t="s">
        <v>1463</v>
      </c>
    </row>
    <row r="370">
      <c r="A370" s="4"/>
      <c r="F370" s="7" t="s">
        <v>1464</v>
      </c>
      <c r="G370" s="78">
        <f>F318*H372</f>
        <v>0.01947793981</v>
      </c>
      <c r="K370" s="7" t="s">
        <v>1459</v>
      </c>
    </row>
    <row r="371">
      <c r="A371" s="4"/>
      <c r="F371" s="7" t="s">
        <v>1465</v>
      </c>
      <c r="G371" s="78">
        <f>F350*H372</f>
        <v>0.09821563657</v>
      </c>
      <c r="K371" s="7" t="s">
        <v>1461</v>
      </c>
    </row>
    <row r="372">
      <c r="A372" s="4"/>
      <c r="F372" s="7" t="s">
        <v>1466</v>
      </c>
      <c r="G372" s="78">
        <f>F368*H372</f>
        <v>0.1419538657</v>
      </c>
      <c r="H372" s="6">
        <v>1.1574074074074074E-8</v>
      </c>
      <c r="K372" s="7" t="s">
        <v>1461</v>
      </c>
    </row>
    <row r="373">
      <c r="A373" s="4"/>
      <c r="F373" s="7" t="s">
        <v>1467</v>
      </c>
      <c r="G373" s="6">
        <f>I365*H372</f>
        <v>0.2862779398</v>
      </c>
      <c r="K373" s="7" t="s">
        <v>1459</v>
      </c>
    </row>
    <row r="374">
      <c r="A374" s="4"/>
      <c r="K374" s="7" t="s">
        <v>1459</v>
      </c>
    </row>
    <row r="375">
      <c r="A375" s="4"/>
      <c r="K375" s="7" t="s">
        <v>1461</v>
      </c>
    </row>
    <row r="376">
      <c r="A376" s="4"/>
      <c r="K376" s="7" t="s">
        <v>1468</v>
      </c>
    </row>
    <row r="377">
      <c r="A377" s="40">
        <v>7.976911538605E12</v>
      </c>
      <c r="K377" s="7" t="s">
        <v>1469</v>
      </c>
    </row>
    <row r="378">
      <c r="A378" s="4"/>
      <c r="K378" s="7" t="s">
        <v>1470</v>
      </c>
    </row>
    <row r="379">
      <c r="A379" s="4">
        <v>1.1247732117455E13</v>
      </c>
      <c r="K379" s="7" t="s">
        <v>1469</v>
      </c>
    </row>
    <row r="380">
      <c r="K380" s="7" t="s">
        <v>1471</v>
      </c>
    </row>
    <row r="381">
      <c r="K381" s="7" t="s">
        <v>1468</v>
      </c>
    </row>
    <row r="382">
      <c r="K382" s="7" t="s">
        <v>1468</v>
      </c>
    </row>
    <row r="383">
      <c r="K383" s="7" t="s">
        <v>1470</v>
      </c>
    </row>
    <row r="384">
      <c r="K384" s="7" t="s">
        <v>1469</v>
      </c>
    </row>
    <row r="385">
      <c r="K385" s="7" t="s">
        <v>1471</v>
      </c>
    </row>
    <row r="386">
      <c r="A386" s="25">
        <v>3.4209986267961E13</v>
      </c>
      <c r="C386" s="7" t="s">
        <v>1472</v>
      </c>
      <c r="D386" s="25">
        <f>IFERROR(__xludf.DUMMYFUNCTION("split(C386, "" "")"),149.0)</f>
        <v>149</v>
      </c>
      <c r="E386" s="25" t="str">
        <f>IFERROR(__xludf.DUMMYFUNCTION("""COMPUTED_VALUE"""),"start")</f>
        <v>start</v>
      </c>
      <c r="F386" s="25">
        <f>IFERROR(__xludf.DUMMYFUNCTION("""COMPUTED_VALUE"""),0.0)</f>
        <v>0</v>
      </c>
      <c r="K386" s="7" t="s">
        <v>1470</v>
      </c>
    </row>
    <row r="387">
      <c r="C387" s="7" t="s">
        <v>77</v>
      </c>
      <c r="D387" s="25">
        <f>IFERROR(__xludf.DUMMYFUNCTION("split(C387, "" "")"),149.0)</f>
        <v>149</v>
      </c>
      <c r="E387" s="25" t="str">
        <f>IFERROR(__xludf.DUMMYFUNCTION("""COMPUTED_VALUE"""),"end")</f>
        <v>end</v>
      </c>
      <c r="F387" s="25">
        <f>IFERROR(__xludf.DUMMYFUNCTION("""COMPUTED_VALUE"""),1.04196351E8)</f>
        <v>104196351</v>
      </c>
      <c r="G387" s="25">
        <f t="shared" ref="G387:G389" si="2">F387-F386</f>
        <v>104196351</v>
      </c>
      <c r="K387" s="7" t="s">
        <v>1469</v>
      </c>
    </row>
    <row r="388">
      <c r="C388" s="7" t="s">
        <v>76</v>
      </c>
      <c r="D388" s="25">
        <f>IFERROR(__xludf.DUMMYFUNCTION("split(C388, "" "")"),150.0)</f>
        <v>150</v>
      </c>
      <c r="E388" s="25" t="str">
        <f>IFERROR(__xludf.DUMMYFUNCTION("""COMPUTED_VALUE"""),"start")</f>
        <v>start</v>
      </c>
      <c r="F388" s="25">
        <f>IFERROR(__xludf.DUMMYFUNCTION("""COMPUTED_VALUE"""),1.04175931E8)</f>
        <v>104175931</v>
      </c>
      <c r="G388" s="25">
        <f t="shared" si="2"/>
        <v>-20420</v>
      </c>
      <c r="K388" s="7" t="s">
        <v>1471</v>
      </c>
    </row>
    <row r="389">
      <c r="C389" s="7" t="s">
        <v>79</v>
      </c>
      <c r="D389" s="25">
        <f>IFERROR(__xludf.DUMMYFUNCTION("split(C389, "" "")"),150.0)</f>
        <v>150</v>
      </c>
      <c r="E389" s="25" t="str">
        <f>IFERROR(__xludf.DUMMYFUNCTION("""COMPUTED_VALUE"""),"end")</f>
        <v>end</v>
      </c>
      <c r="F389" s="25">
        <f>IFERROR(__xludf.DUMMYFUNCTION("""COMPUTED_VALUE"""),2.34682027E8)</f>
        <v>234682027</v>
      </c>
      <c r="G389" s="25">
        <f t="shared" si="2"/>
        <v>130506096</v>
      </c>
      <c r="K389" s="7" t="s">
        <v>1471</v>
      </c>
    </row>
    <row r="390">
      <c r="K390" s="7" t="s">
        <v>1470</v>
      </c>
    </row>
    <row r="391">
      <c r="K391" s="7" t="s">
        <v>1473</v>
      </c>
    </row>
    <row r="392">
      <c r="C392" s="7" t="s">
        <v>1474</v>
      </c>
      <c r="D392" s="25">
        <v>126.0</v>
      </c>
      <c r="E392" s="25" t="s">
        <v>239</v>
      </c>
      <c r="F392" s="25">
        <v>0.0</v>
      </c>
      <c r="G392" s="25">
        <v>0.0</v>
      </c>
      <c r="K392" s="7" t="s">
        <v>1473</v>
      </c>
    </row>
    <row r="393">
      <c r="C393" s="7" t="s">
        <v>1475</v>
      </c>
      <c r="D393" s="25">
        <v>126.0</v>
      </c>
      <c r="E393" s="25" t="s">
        <v>371</v>
      </c>
      <c r="F393" s="25">
        <v>3431085.0</v>
      </c>
      <c r="K393" s="7" t="s">
        <v>1473</v>
      </c>
    </row>
    <row r="394">
      <c r="C394" s="7" t="s">
        <v>1476</v>
      </c>
      <c r="D394" s="25">
        <v>126.0</v>
      </c>
      <c r="E394" s="25" t="s">
        <v>241</v>
      </c>
      <c r="F394" s="25">
        <v>3432245.0</v>
      </c>
      <c r="G394" s="25">
        <v>3432245.0</v>
      </c>
      <c r="H394" s="40">
        <v>3432245.0</v>
      </c>
      <c r="K394" s="7" t="s">
        <v>1473</v>
      </c>
    </row>
    <row r="395">
      <c r="C395" s="7" t="s">
        <v>1477</v>
      </c>
      <c r="D395" s="25">
        <v>127.0</v>
      </c>
      <c r="E395" s="25" t="s">
        <v>239</v>
      </c>
      <c r="F395" s="25">
        <v>3431086.0</v>
      </c>
      <c r="G395" s="25">
        <v>1.0</v>
      </c>
      <c r="K395" s="7" t="s">
        <v>1478</v>
      </c>
    </row>
    <row r="396">
      <c r="C396" s="7" t="s">
        <v>1479</v>
      </c>
      <c r="D396" s="25">
        <v>127.0</v>
      </c>
      <c r="E396" s="25" t="s">
        <v>371</v>
      </c>
      <c r="F396" s="25">
        <v>7304800.0</v>
      </c>
      <c r="K396" s="7" t="s">
        <v>1480</v>
      </c>
    </row>
    <row r="397">
      <c r="C397" s="7" t="s">
        <v>1481</v>
      </c>
      <c r="D397" s="25">
        <v>127.0</v>
      </c>
      <c r="E397" s="25" t="s">
        <v>241</v>
      </c>
      <c r="F397" s="25">
        <v>7306163.0</v>
      </c>
      <c r="G397" s="25">
        <v>3875077.0</v>
      </c>
      <c r="H397" s="4"/>
      <c r="K397" s="7" t="s">
        <v>1482</v>
      </c>
    </row>
    <row r="398">
      <c r="C398" s="7" t="s">
        <v>1483</v>
      </c>
      <c r="D398" s="25">
        <v>128.0</v>
      </c>
      <c r="E398" s="25" t="s">
        <v>239</v>
      </c>
      <c r="F398" s="25">
        <v>7304801.0</v>
      </c>
      <c r="G398" s="25">
        <v>1.0</v>
      </c>
      <c r="K398" s="7" t="s">
        <v>1484</v>
      </c>
    </row>
    <row r="399">
      <c r="C399" s="7" t="s">
        <v>1485</v>
      </c>
      <c r="D399" s="25">
        <v>128.0</v>
      </c>
      <c r="E399" s="25" t="s">
        <v>371</v>
      </c>
      <c r="F399" s="25">
        <v>1.2728442E7</v>
      </c>
      <c r="K399" s="7" t="s">
        <v>1482</v>
      </c>
    </row>
    <row r="400">
      <c r="C400" s="7" t="s">
        <v>1486</v>
      </c>
      <c r="D400" s="25">
        <v>128.0</v>
      </c>
      <c r="E400" s="25" t="s">
        <v>241</v>
      </c>
      <c r="F400" s="25">
        <v>1.2729998E7</v>
      </c>
      <c r="G400" s="25">
        <v>5425197.0</v>
      </c>
      <c r="H400" s="4"/>
      <c r="K400" s="7" t="s">
        <v>1484</v>
      </c>
    </row>
    <row r="401">
      <c r="C401" s="7" t="s">
        <v>1487</v>
      </c>
      <c r="D401" s="25">
        <v>129.0</v>
      </c>
      <c r="E401" s="25" t="s">
        <v>239</v>
      </c>
      <c r="F401" s="25">
        <v>1.2728443E7</v>
      </c>
      <c r="G401" s="25">
        <v>1.0</v>
      </c>
      <c r="K401" s="7" t="s">
        <v>1484</v>
      </c>
    </row>
    <row r="402">
      <c r="C402" s="7" t="s">
        <v>1488</v>
      </c>
      <c r="D402" s="25">
        <v>129.0</v>
      </c>
      <c r="E402" s="25" t="s">
        <v>371</v>
      </c>
      <c r="F402" s="25">
        <v>1.8222904E7</v>
      </c>
      <c r="K402" s="7" t="s">
        <v>1482</v>
      </c>
    </row>
    <row r="403">
      <c r="C403" s="7" t="s">
        <v>1489</v>
      </c>
      <c r="D403" s="25">
        <v>129.0</v>
      </c>
      <c r="E403" s="25" t="s">
        <v>241</v>
      </c>
      <c r="F403" s="25">
        <v>1.8224784E7</v>
      </c>
      <c r="G403" s="25">
        <v>5496341.0</v>
      </c>
      <c r="H403" s="4"/>
      <c r="K403" s="7" t="s">
        <v>1482</v>
      </c>
    </row>
    <row r="404">
      <c r="C404" s="7" t="s">
        <v>1490</v>
      </c>
      <c r="D404" s="25">
        <v>130.0</v>
      </c>
      <c r="E404" s="25" t="s">
        <v>239</v>
      </c>
      <c r="F404" s="25">
        <v>1.8222906E7</v>
      </c>
      <c r="G404" s="25">
        <v>2.0</v>
      </c>
      <c r="K404" s="7" t="s">
        <v>1480</v>
      </c>
    </row>
    <row r="405">
      <c r="C405" s="7" t="s">
        <v>1491</v>
      </c>
      <c r="D405" s="25">
        <v>130.0</v>
      </c>
      <c r="E405" s="25" t="s">
        <v>371</v>
      </c>
      <c r="F405" s="25">
        <v>2.4673308E7</v>
      </c>
      <c r="K405" s="7" t="s">
        <v>1478</v>
      </c>
    </row>
    <row r="406">
      <c r="C406" s="7" t="s">
        <v>1492</v>
      </c>
      <c r="D406" s="25">
        <v>130.0</v>
      </c>
      <c r="E406" s="25" t="s">
        <v>241</v>
      </c>
      <c r="F406" s="25">
        <v>2.4734414E7</v>
      </c>
      <c r="G406" s="25">
        <v>6511508.0</v>
      </c>
      <c r="H406" s="4"/>
    </row>
    <row r="407">
      <c r="C407" s="7" t="s">
        <v>1493</v>
      </c>
      <c r="D407" s="25">
        <v>131.0</v>
      </c>
      <c r="E407" s="25" t="s">
        <v>239</v>
      </c>
      <c r="F407" s="25">
        <v>0.0</v>
      </c>
      <c r="G407" s="25">
        <v>-2.4673308E7</v>
      </c>
    </row>
    <row r="408">
      <c r="C408" s="7" t="s">
        <v>1494</v>
      </c>
      <c r="D408" s="25">
        <v>131.0</v>
      </c>
      <c r="E408" s="25" t="s">
        <v>371</v>
      </c>
      <c r="F408" s="25">
        <v>7104071.0</v>
      </c>
    </row>
    <row r="409">
      <c r="C409" s="7" t="s">
        <v>1495</v>
      </c>
      <c r="D409" s="25">
        <v>131.0</v>
      </c>
      <c r="E409" s="25" t="s">
        <v>241</v>
      </c>
      <c r="F409" s="25">
        <v>7106507.0</v>
      </c>
      <c r="G409" s="25">
        <v>7106507.0</v>
      </c>
      <c r="H409" s="40">
        <v>7106507.0</v>
      </c>
    </row>
    <row r="410">
      <c r="C410" s="7" t="s">
        <v>1496</v>
      </c>
      <c r="D410" s="25">
        <v>132.0</v>
      </c>
      <c r="E410" s="25" t="s">
        <v>239</v>
      </c>
      <c r="F410" s="25">
        <v>7104072.0</v>
      </c>
      <c r="G410" s="25">
        <v>1.0</v>
      </c>
    </row>
    <row r="411">
      <c r="C411" s="7" t="s">
        <v>1497</v>
      </c>
      <c r="D411" s="25">
        <v>132.0</v>
      </c>
      <c r="E411" s="25" t="s">
        <v>371</v>
      </c>
      <c r="F411" s="25">
        <v>1.7557923E7</v>
      </c>
    </row>
    <row r="412">
      <c r="C412" s="7" t="s">
        <v>1498</v>
      </c>
      <c r="D412" s="25">
        <v>132.0</v>
      </c>
      <c r="E412" s="25" t="s">
        <v>241</v>
      </c>
      <c r="F412" s="25">
        <v>1.7560997E7</v>
      </c>
      <c r="G412" s="25">
        <v>1.0456925E7</v>
      </c>
      <c r="H412" s="4"/>
    </row>
    <row r="413">
      <c r="C413" s="7" t="s">
        <v>1499</v>
      </c>
      <c r="D413" s="25">
        <v>133.0</v>
      </c>
      <c r="E413" s="25" t="s">
        <v>239</v>
      </c>
      <c r="F413" s="25">
        <v>1.7557924E7</v>
      </c>
      <c r="G413" s="25">
        <v>1.0</v>
      </c>
    </row>
    <row r="414">
      <c r="C414" s="7" t="s">
        <v>1500</v>
      </c>
      <c r="D414" s="25">
        <v>133.0</v>
      </c>
      <c r="E414" s="25" t="s">
        <v>371</v>
      </c>
      <c r="F414" s="25">
        <v>2.763735E7</v>
      </c>
    </row>
    <row r="415">
      <c r="C415" s="7" t="s">
        <v>1501</v>
      </c>
      <c r="D415" s="25">
        <v>133.0</v>
      </c>
      <c r="E415" s="25" t="s">
        <v>241</v>
      </c>
      <c r="F415" s="25">
        <v>2.7640689E7</v>
      </c>
      <c r="G415" s="25">
        <v>1.0082765E7</v>
      </c>
      <c r="H415" s="4"/>
    </row>
    <row r="416">
      <c r="C416" s="7" t="s">
        <v>1502</v>
      </c>
      <c r="D416" s="25">
        <v>134.0</v>
      </c>
      <c r="E416" s="25" t="s">
        <v>239</v>
      </c>
      <c r="F416" s="25">
        <v>2.7637353E7</v>
      </c>
      <c r="G416" s="25">
        <v>3.0</v>
      </c>
    </row>
    <row r="417">
      <c r="C417" s="7" t="s">
        <v>1503</v>
      </c>
      <c r="D417" s="25">
        <v>134.0</v>
      </c>
      <c r="E417" s="25" t="s">
        <v>371</v>
      </c>
      <c r="F417" s="25">
        <v>3.9677718E7</v>
      </c>
    </row>
    <row r="418">
      <c r="C418" s="7" t="s">
        <v>1504</v>
      </c>
      <c r="D418" s="25">
        <v>134.0</v>
      </c>
      <c r="E418" s="25" t="s">
        <v>241</v>
      </c>
      <c r="F418" s="25">
        <v>3.9681409E7</v>
      </c>
      <c r="G418" s="25">
        <v>1.2044056E7</v>
      </c>
      <c r="H418" s="4"/>
    </row>
    <row r="419">
      <c r="C419" s="7" t="s">
        <v>1505</v>
      </c>
      <c r="D419" s="25">
        <v>135.0</v>
      </c>
      <c r="E419" s="25" t="s">
        <v>239</v>
      </c>
      <c r="F419" s="25">
        <v>3.9677718E7</v>
      </c>
      <c r="G419" s="25">
        <v>0.0</v>
      </c>
    </row>
    <row r="420">
      <c r="C420" s="7" t="s">
        <v>1506</v>
      </c>
      <c r="D420" s="25">
        <v>135.0</v>
      </c>
      <c r="E420" s="25" t="s">
        <v>371</v>
      </c>
      <c r="F420" s="25">
        <v>5.5319886E7</v>
      </c>
    </row>
    <row r="421">
      <c r="C421" s="7" t="s">
        <v>1507</v>
      </c>
      <c r="D421" s="25">
        <v>135.0</v>
      </c>
      <c r="E421" s="25" t="s">
        <v>241</v>
      </c>
      <c r="F421" s="25">
        <v>5.5323055E7</v>
      </c>
      <c r="G421" s="25">
        <v>1.5645337E7</v>
      </c>
      <c r="H421" s="4"/>
    </row>
    <row r="422">
      <c r="C422" s="7" t="s">
        <v>1508</v>
      </c>
      <c r="D422" s="25">
        <v>136.0</v>
      </c>
      <c r="E422" s="25" t="s">
        <v>239</v>
      </c>
      <c r="F422" s="25">
        <v>0.0</v>
      </c>
      <c r="G422" s="25">
        <v>-5.5319886E7</v>
      </c>
    </row>
    <row r="423">
      <c r="C423" s="7" t="s">
        <v>1509</v>
      </c>
      <c r="D423" s="25">
        <v>136.0</v>
      </c>
      <c r="E423" s="25" t="s">
        <v>371</v>
      </c>
      <c r="F423" s="25">
        <v>1.9022046E7</v>
      </c>
    </row>
    <row r="424">
      <c r="C424" s="7" t="s">
        <v>1510</v>
      </c>
      <c r="D424" s="25">
        <v>136.0</v>
      </c>
      <c r="E424" s="25" t="s">
        <v>241</v>
      </c>
      <c r="F424" s="25">
        <v>1.9026544E7</v>
      </c>
      <c r="G424" s="25">
        <v>1.9026544E7</v>
      </c>
      <c r="H424" s="40">
        <v>1.9026544E7</v>
      </c>
    </row>
    <row r="425">
      <c r="C425" s="7" t="s">
        <v>1511</v>
      </c>
      <c r="D425" s="25">
        <v>137.0</v>
      </c>
      <c r="E425" s="25" t="s">
        <v>239</v>
      </c>
      <c r="F425" s="25">
        <v>1.9022047E7</v>
      </c>
      <c r="G425" s="25">
        <v>1.0</v>
      </c>
    </row>
    <row r="426">
      <c r="C426" s="7" t="s">
        <v>1512</v>
      </c>
      <c r="D426" s="25">
        <v>137.0</v>
      </c>
      <c r="E426" s="25" t="s">
        <v>371</v>
      </c>
      <c r="F426" s="25">
        <v>3.6523651E7</v>
      </c>
    </row>
    <row r="427">
      <c r="C427" s="7" t="s">
        <v>1513</v>
      </c>
      <c r="D427" s="25">
        <v>137.0</v>
      </c>
      <c r="E427" s="25" t="s">
        <v>241</v>
      </c>
      <c r="F427" s="25">
        <v>3.6527779E7</v>
      </c>
      <c r="G427" s="25">
        <v>1.7505732E7</v>
      </c>
      <c r="H427" s="4"/>
    </row>
    <row r="428">
      <c r="C428" s="7" t="s">
        <v>1514</v>
      </c>
      <c r="D428" s="25">
        <v>138.0</v>
      </c>
      <c r="E428" s="25" t="s">
        <v>239</v>
      </c>
      <c r="F428" s="25">
        <v>3.6523652E7</v>
      </c>
      <c r="G428" s="25">
        <v>1.0</v>
      </c>
    </row>
    <row r="429">
      <c r="C429" s="7" t="s">
        <v>1515</v>
      </c>
      <c r="D429" s="25">
        <v>138.0</v>
      </c>
      <c r="E429" s="25" t="s">
        <v>371</v>
      </c>
      <c r="F429" s="25">
        <v>5.7649434E7</v>
      </c>
    </row>
    <row r="430">
      <c r="C430" s="7" t="s">
        <v>1516</v>
      </c>
      <c r="D430" s="25">
        <v>138.0</v>
      </c>
      <c r="E430" s="25" t="s">
        <v>241</v>
      </c>
      <c r="F430" s="25">
        <v>5.7654501E7</v>
      </c>
      <c r="G430" s="25">
        <v>2.1130849E7</v>
      </c>
      <c r="H430" s="4"/>
    </row>
    <row r="431">
      <c r="C431" s="7" t="s">
        <v>1517</v>
      </c>
      <c r="D431" s="25">
        <v>139.0</v>
      </c>
      <c r="E431" s="25" t="s">
        <v>239</v>
      </c>
      <c r="F431" s="25">
        <v>5.7649435E7</v>
      </c>
      <c r="G431" s="25">
        <v>1.0</v>
      </c>
    </row>
    <row r="432">
      <c r="C432" s="7" t="s">
        <v>1518</v>
      </c>
      <c r="D432" s="25">
        <v>139.0</v>
      </c>
      <c r="E432" s="25" t="s">
        <v>371</v>
      </c>
      <c r="F432" s="25">
        <v>8.2101041E7</v>
      </c>
    </row>
    <row r="433">
      <c r="C433" s="7" t="s">
        <v>1519</v>
      </c>
      <c r="D433" s="25">
        <v>139.0</v>
      </c>
      <c r="E433" s="25" t="s">
        <v>241</v>
      </c>
      <c r="F433" s="25">
        <v>8.210667E7</v>
      </c>
      <c r="G433" s="25">
        <v>2.4457235E7</v>
      </c>
      <c r="H433" s="4"/>
    </row>
    <row r="434">
      <c r="C434" s="7" t="s">
        <v>1520</v>
      </c>
      <c r="D434" s="25">
        <v>140.0</v>
      </c>
      <c r="E434" s="25" t="s">
        <v>239</v>
      </c>
      <c r="F434" s="25">
        <v>8.2101043E7</v>
      </c>
      <c r="G434" s="25">
        <v>2.0</v>
      </c>
    </row>
    <row r="435">
      <c r="C435" s="7" t="s">
        <v>1521</v>
      </c>
      <c r="D435" s="25">
        <v>140.0</v>
      </c>
      <c r="E435" s="25" t="s">
        <v>371</v>
      </c>
      <c r="F435" s="25">
        <v>1.15848676E8</v>
      </c>
    </row>
    <row r="436">
      <c r="C436" s="7" t="s">
        <v>1522</v>
      </c>
      <c r="D436" s="25">
        <v>140.0</v>
      </c>
      <c r="E436" s="25" t="s">
        <v>241</v>
      </c>
      <c r="F436" s="25">
        <v>1.15854861E8</v>
      </c>
      <c r="G436" s="25">
        <v>3.3753818E7</v>
      </c>
      <c r="H436" s="4"/>
    </row>
    <row r="437">
      <c r="C437" s="7" t="s">
        <v>1523</v>
      </c>
      <c r="D437" s="25">
        <v>141.0</v>
      </c>
      <c r="E437" s="25" t="s">
        <v>239</v>
      </c>
      <c r="F437" s="25">
        <v>0.0</v>
      </c>
      <c r="G437" s="25">
        <v>-1.15848676E8</v>
      </c>
    </row>
    <row r="438">
      <c r="C438" s="7" t="s">
        <v>1524</v>
      </c>
      <c r="D438" s="25">
        <v>141.0</v>
      </c>
      <c r="E438" s="25" t="s">
        <v>371</v>
      </c>
      <c r="F438" s="25">
        <v>3.3854556E7</v>
      </c>
    </row>
    <row r="439">
      <c r="C439" s="7" t="s">
        <v>1525</v>
      </c>
      <c r="D439" s="25">
        <v>141.0</v>
      </c>
      <c r="E439" s="25" t="s">
        <v>241</v>
      </c>
      <c r="F439" s="25">
        <v>3.3863247E7</v>
      </c>
      <c r="G439" s="25">
        <v>3.3863247E7</v>
      </c>
      <c r="H439" s="66">
        <v>3.3863247E7</v>
      </c>
    </row>
    <row r="440">
      <c r="C440" s="7" t="s">
        <v>1526</v>
      </c>
      <c r="D440" s="25">
        <v>142.0</v>
      </c>
      <c r="E440" s="25" t="s">
        <v>239</v>
      </c>
      <c r="F440" s="25">
        <v>3.3854557E7</v>
      </c>
      <c r="G440" s="25">
        <v>1.0</v>
      </c>
    </row>
    <row r="441">
      <c r="C441" s="7" t="s">
        <v>1527</v>
      </c>
      <c r="D441" s="25">
        <v>142.0</v>
      </c>
      <c r="E441" s="25" t="s">
        <v>371</v>
      </c>
      <c r="F441" s="25">
        <v>7.0270574E7</v>
      </c>
    </row>
    <row r="442">
      <c r="C442" s="7" t="s">
        <v>1528</v>
      </c>
      <c r="D442" s="25">
        <v>142.0</v>
      </c>
      <c r="E442" s="25" t="s">
        <v>241</v>
      </c>
      <c r="F442" s="25">
        <v>7.0282236E7</v>
      </c>
      <c r="G442" s="25">
        <v>3.6427679E7</v>
      </c>
      <c r="H442" s="37"/>
    </row>
    <row r="443">
      <c r="C443" s="7" t="s">
        <v>1529</v>
      </c>
      <c r="D443" s="25">
        <v>143.0</v>
      </c>
      <c r="E443" s="25" t="s">
        <v>239</v>
      </c>
      <c r="F443" s="25">
        <v>7.0270575E7</v>
      </c>
      <c r="G443" s="25">
        <v>1.0</v>
      </c>
    </row>
    <row r="444">
      <c r="C444" s="7" t="s">
        <v>1530</v>
      </c>
      <c r="D444" s="25">
        <v>143.0</v>
      </c>
      <c r="E444" s="25" t="s">
        <v>371</v>
      </c>
      <c r="F444" s="25">
        <v>1.16457254E8</v>
      </c>
    </row>
    <row r="445">
      <c r="C445" s="7" t="s">
        <v>1531</v>
      </c>
      <c r="D445" s="25">
        <v>143.0</v>
      </c>
      <c r="E445" s="25" t="s">
        <v>241</v>
      </c>
      <c r="F445" s="25">
        <v>1.16466469E8</v>
      </c>
      <c r="G445" s="25">
        <v>4.6195894E7</v>
      </c>
      <c r="H445" s="37"/>
    </row>
    <row r="446">
      <c r="C446" s="7" t="s">
        <v>1532</v>
      </c>
      <c r="D446" s="25">
        <v>144.0</v>
      </c>
      <c r="E446" s="25" t="s">
        <v>239</v>
      </c>
      <c r="F446" s="25">
        <v>0.0</v>
      </c>
      <c r="G446" s="25">
        <v>-1.16457254E8</v>
      </c>
    </row>
    <row r="447">
      <c r="C447" s="7" t="s">
        <v>1533</v>
      </c>
      <c r="D447" s="25">
        <v>144.0</v>
      </c>
      <c r="E447" s="25" t="s">
        <v>371</v>
      </c>
      <c r="F447" s="25">
        <v>6.2752465E7</v>
      </c>
    </row>
    <row r="448">
      <c r="C448" s="7" t="s">
        <v>1534</v>
      </c>
      <c r="D448" s="25">
        <v>144.0</v>
      </c>
      <c r="E448" s="25" t="s">
        <v>241</v>
      </c>
      <c r="F448" s="25">
        <v>6.2764873E7</v>
      </c>
      <c r="G448" s="25">
        <v>6.2764873E7</v>
      </c>
      <c r="H448" s="67">
        <v>6.2764873E7</v>
      </c>
    </row>
    <row r="449">
      <c r="C449" s="7" t="s">
        <v>1535</v>
      </c>
      <c r="D449" s="25">
        <v>145.0</v>
      </c>
      <c r="E449" s="25" t="s">
        <v>239</v>
      </c>
      <c r="F449" s="25">
        <v>6.2752466E7</v>
      </c>
      <c r="G449" s="25">
        <v>1.0</v>
      </c>
    </row>
    <row r="450">
      <c r="C450" s="7" t="s">
        <v>1536</v>
      </c>
      <c r="D450" s="25">
        <v>145.0</v>
      </c>
      <c r="E450" s="25" t="s">
        <v>371</v>
      </c>
      <c r="F450" s="25">
        <v>1.22727926E8</v>
      </c>
    </row>
    <row r="451">
      <c r="C451" s="7" t="s">
        <v>1537</v>
      </c>
      <c r="D451" s="25">
        <v>145.0</v>
      </c>
      <c r="E451" s="25" t="s">
        <v>241</v>
      </c>
      <c r="F451" s="25">
        <v>1.22738866E8</v>
      </c>
      <c r="G451" s="25">
        <v>5.99864E7</v>
      </c>
      <c r="H451" s="37"/>
    </row>
    <row r="452">
      <c r="C452" s="7" t="s">
        <v>1538</v>
      </c>
      <c r="D452" s="25">
        <v>146.0</v>
      </c>
      <c r="E452" s="25" t="s">
        <v>239</v>
      </c>
      <c r="F452" s="25">
        <v>0.0</v>
      </c>
      <c r="G452" s="25">
        <v>-1.22727926E8</v>
      </c>
    </row>
    <row r="453">
      <c r="C453" s="7" t="s">
        <v>1539</v>
      </c>
      <c r="D453" s="25">
        <v>146.0</v>
      </c>
      <c r="E453" s="25" t="s">
        <v>371</v>
      </c>
      <c r="F453" s="25">
        <v>6.6573387E7</v>
      </c>
    </row>
    <row r="454">
      <c r="C454" s="7" t="s">
        <v>1540</v>
      </c>
      <c r="D454" s="25">
        <v>146.0</v>
      </c>
      <c r="E454" s="25" t="s">
        <v>241</v>
      </c>
      <c r="F454" s="25">
        <v>6.6588282E7</v>
      </c>
      <c r="G454" s="25">
        <v>6.6588282E7</v>
      </c>
      <c r="H454" s="68">
        <v>6.6588282E7</v>
      </c>
    </row>
    <row r="455">
      <c r="C455" s="7" t="s">
        <v>1541</v>
      </c>
      <c r="D455" s="25">
        <v>147.0</v>
      </c>
      <c r="E455" s="25" t="s">
        <v>239</v>
      </c>
      <c r="F455" s="25">
        <v>0.0</v>
      </c>
      <c r="G455" s="25">
        <v>-6.6573387E7</v>
      </c>
    </row>
    <row r="456">
      <c r="C456" s="7" t="s">
        <v>1542</v>
      </c>
      <c r="D456" s="25">
        <v>147.0</v>
      </c>
      <c r="E456" s="25" t="s">
        <v>371</v>
      </c>
      <c r="F456" s="25">
        <v>7.9160071E7</v>
      </c>
    </row>
    <row r="457">
      <c r="C457" s="7" t="s">
        <v>1543</v>
      </c>
      <c r="D457" s="25">
        <v>147.0</v>
      </c>
      <c r="E457" s="25" t="s">
        <v>241</v>
      </c>
      <c r="F457" s="25">
        <v>7.9174905E7</v>
      </c>
      <c r="G457" s="25">
        <v>7.9174905E7</v>
      </c>
      <c r="H457" s="58">
        <v>7.9174905E7</v>
      </c>
      <c r="I457" s="25" t="str">
        <f>F457-#REF!</f>
        <v>#REF!</v>
      </c>
      <c r="J457" s="25">
        <f>F457-F455</f>
        <v>79174905</v>
      </c>
    </row>
    <row r="458">
      <c r="C458" s="7" t="s">
        <v>1544</v>
      </c>
      <c r="D458" s="25">
        <v>148.0</v>
      </c>
      <c r="E458" s="25" t="s">
        <v>239</v>
      </c>
      <c r="F458" s="25">
        <v>7.9160072E7</v>
      </c>
      <c r="G458" s="25">
        <v>1.0</v>
      </c>
    </row>
    <row r="459">
      <c r="C459" s="7" t="s">
        <v>1545</v>
      </c>
      <c r="D459" s="25">
        <v>148.0</v>
      </c>
      <c r="E459" s="25" t="s">
        <v>371</v>
      </c>
      <c r="F459" s="25">
        <v>1.88359384E8</v>
      </c>
    </row>
    <row r="460">
      <c r="C460" s="7" t="s">
        <v>1546</v>
      </c>
      <c r="D460" s="25">
        <v>148.0</v>
      </c>
      <c r="E460" s="25" t="s">
        <v>241</v>
      </c>
      <c r="F460" s="25">
        <v>1.88372926E8</v>
      </c>
      <c r="G460" s="25">
        <v>1.09212854E8</v>
      </c>
      <c r="H460" s="37"/>
    </row>
    <row r="461">
      <c r="H461" s="25">
        <v>1.04196351E8</v>
      </c>
    </row>
    <row r="462">
      <c r="H462" s="79">
        <v>1.30506096E8</v>
      </c>
    </row>
    <row r="464">
      <c r="C464" s="7" t="s">
        <v>1547</v>
      </c>
      <c r="D464" s="25">
        <v>126.0</v>
      </c>
      <c r="E464" s="25" t="s">
        <v>1548</v>
      </c>
      <c r="F464" s="25">
        <v>130.0</v>
      </c>
      <c r="G464" s="25" t="s">
        <v>1549</v>
      </c>
      <c r="H464" s="25">
        <v>3.770676426627E12</v>
      </c>
    </row>
    <row r="465">
      <c r="C465" s="7" t="s">
        <v>1550</v>
      </c>
      <c r="D465" s="25">
        <v>131.0</v>
      </c>
      <c r="E465" s="25" t="s">
        <v>1548</v>
      </c>
      <c r="F465" s="25">
        <v>135.0</v>
      </c>
      <c r="G465" s="25" t="s">
        <v>1549</v>
      </c>
      <c r="H465" s="25">
        <v>7.976911538605E12</v>
      </c>
    </row>
    <row r="466">
      <c r="C466" s="7" t="s">
        <v>1551</v>
      </c>
      <c r="D466" s="25">
        <v>136.0</v>
      </c>
      <c r="E466" s="25" t="s">
        <v>1548</v>
      </c>
      <c r="F466" s="25">
        <v>140.0</v>
      </c>
      <c r="G466" s="25" t="s">
        <v>1549</v>
      </c>
      <c r="H466" s="25">
        <v>1.7160476871322E13</v>
      </c>
    </row>
    <row r="467">
      <c r="C467" s="7" t="s">
        <v>1552</v>
      </c>
      <c r="D467" s="25">
        <v>141.0</v>
      </c>
      <c r="E467" s="25" t="s">
        <v>1548</v>
      </c>
      <c r="F467" s="25">
        <v>143.0</v>
      </c>
      <c r="G467" s="25" t="s">
        <v>1549</v>
      </c>
      <c r="H467" s="25">
        <v>1.6898946978847E13</v>
      </c>
    </row>
    <row r="468">
      <c r="C468" s="7" t="s">
        <v>1553</v>
      </c>
      <c r="D468" s="25">
        <v>144.0</v>
      </c>
      <c r="E468" s="25" t="s">
        <v>1548</v>
      </c>
      <c r="F468" s="25">
        <v>145.0</v>
      </c>
      <c r="G468" s="25" t="s">
        <v>1549</v>
      </c>
      <c r="H468" s="25">
        <v>1.7743848754558E13</v>
      </c>
    </row>
    <row r="469">
      <c r="C469" s="7" t="s">
        <v>1554</v>
      </c>
      <c r="D469" s="25">
        <v>147.0</v>
      </c>
      <c r="E469" s="25" t="s">
        <v>1548</v>
      </c>
      <c r="F469" s="25">
        <v>148.0</v>
      </c>
      <c r="G469" s="25" t="s">
        <v>1549</v>
      </c>
      <c r="H469" s="25">
        <v>2.7776952422558E13</v>
      </c>
    </row>
  </sheetData>
  <autoFilter ref="$C$391:$H$462">
    <sortState ref="C391:H462">
      <sortCondition ref="D391:D462"/>
      <sortCondition descending="1" ref="E391:E462"/>
      <sortCondition ref="C391:C462"/>
    </sortState>
  </autoFilter>
  <conditionalFormatting sqref="H460:H462">
    <cfRule type="colorScale" priority="1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57">
    <cfRule type="colorScale" priority="2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54">
    <cfRule type="colorScale" priority="3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51">
    <cfRule type="colorScale" priority="4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48">
    <cfRule type="colorScale" priority="5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45">
    <cfRule type="colorScale" priority="6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42">
    <cfRule type="colorScale" priority="7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39">
    <cfRule type="colorScale" priority="8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36">
    <cfRule type="colorScale" priority="9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33">
    <cfRule type="colorScale" priority="10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30">
    <cfRule type="colorScale" priority="11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27">
    <cfRule type="colorScale" priority="12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24">
    <cfRule type="colorScale" priority="13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21">
    <cfRule type="colorScale" priority="14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18">
    <cfRule type="colorScale" priority="15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15">
    <cfRule type="colorScale" priority="16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12">
    <cfRule type="colorScale" priority="17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09">
    <cfRule type="colorScale" priority="18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06">
    <cfRule type="colorScale" priority="19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03">
    <cfRule type="colorScale" priority="20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400">
    <cfRule type="colorScale" priority="21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397">
    <cfRule type="colorScale" priority="22">
      <colorScale>
        <cfvo type="min"/>
        <cfvo type="percentile" val="50"/>
        <cfvo type="max"/>
        <color rgb="FF00FFFF"/>
        <color rgb="FFFFFFFF"/>
        <color rgb="FFFF00FF"/>
      </colorScale>
    </cfRule>
  </conditionalFormatting>
  <conditionalFormatting sqref="H394">
    <cfRule type="colorScale" priority="23">
      <colorScale>
        <cfvo type="min"/>
        <cfvo type="percentile" val="50"/>
        <cfvo type="max"/>
        <color rgb="FF00FFFF"/>
        <color rgb="FFFFFFFF"/>
        <color rgb="FFFF00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38"/>
    <col customWidth="1" min="4" max="4" width="23.75"/>
    <col customWidth="1" min="6" max="6" width="17.88"/>
  </cols>
  <sheetData>
    <row r="1">
      <c r="A1" s="7" t="s">
        <v>1555</v>
      </c>
      <c r="B1" s="4"/>
      <c r="C1" s="7" t="s">
        <v>1556</v>
      </c>
      <c r="D1" s="7" t="s">
        <v>1557</v>
      </c>
      <c r="J1" s="4">
        <v>11.0</v>
      </c>
    </row>
    <row r="2">
      <c r="A2" s="7">
        <v>100.0</v>
      </c>
      <c r="B2" s="40">
        <v>100.0</v>
      </c>
      <c r="C2" s="40">
        <v>5.7787681004E10</v>
      </c>
      <c r="D2" s="4">
        <f>sum(C2)</f>
        <v>57787681004</v>
      </c>
      <c r="J2" s="4">
        <v>13.0</v>
      </c>
    </row>
    <row r="3">
      <c r="A3" s="7" t="s">
        <v>1464</v>
      </c>
      <c r="B3" s="40">
        <v>110.0</v>
      </c>
      <c r="C3" s="40">
        <v>2.40720156302E11</v>
      </c>
      <c r="D3" s="4">
        <f t="shared" ref="D3:D14" si="1">sum(C$2:C3)</f>
        <v>298507837306</v>
      </c>
      <c r="F3" s="7" t="s">
        <v>1558</v>
      </c>
      <c r="J3" s="4">
        <v>12.0</v>
      </c>
    </row>
    <row r="4">
      <c r="A4" s="7" t="s">
        <v>1559</v>
      </c>
      <c r="B4" s="40">
        <v>112.0</v>
      </c>
      <c r="C4" s="40">
        <v>1.21928344735E11</v>
      </c>
      <c r="D4" s="80">
        <f t="shared" si="1"/>
        <v>420436182041</v>
      </c>
      <c r="F4" s="40">
        <v>1.633183723812E12</v>
      </c>
      <c r="H4" s="25">
        <f>F4/D4</f>
        <v>3.884498513</v>
      </c>
      <c r="J4" s="4">
        <v>12.0</v>
      </c>
    </row>
    <row r="5">
      <c r="A5" s="7" t="s">
        <v>1560</v>
      </c>
      <c r="B5" s="40">
        <v>120.0</v>
      </c>
      <c r="C5" s="4">
        <v>1.095356393987E12</v>
      </c>
      <c r="D5" s="4">
        <f t="shared" si="1"/>
        <v>1515792576028</v>
      </c>
      <c r="F5" s="7" t="s">
        <v>1561</v>
      </c>
      <c r="J5" s="4">
        <v>11.0</v>
      </c>
    </row>
    <row r="6">
      <c r="A6" s="7" t="s">
        <v>1562</v>
      </c>
      <c r="B6" s="40">
        <v>125.0</v>
      </c>
      <c r="C6" s="40">
        <v>1.755028002822E12</v>
      </c>
      <c r="D6" s="4">
        <f t="shared" si="1"/>
        <v>3270820578850</v>
      </c>
      <c r="F6" s="80">
        <v>4.20436182041E11</v>
      </c>
      <c r="J6" s="4">
        <v>12.0</v>
      </c>
    </row>
    <row r="7">
      <c r="A7" s="7" t="s">
        <v>1467</v>
      </c>
      <c r="B7" s="40">
        <v>130.0</v>
      </c>
      <c r="C7" s="40">
        <v>3.770676426627E12</v>
      </c>
      <c r="D7" s="4">
        <f t="shared" si="1"/>
        <v>7041497005477</v>
      </c>
      <c r="F7" s="7" t="s">
        <v>1563</v>
      </c>
      <c r="J7" s="4">
        <v>12.0</v>
      </c>
    </row>
    <row r="8">
      <c r="A8" s="7" t="s">
        <v>1564</v>
      </c>
      <c r="B8" s="40">
        <v>135.0</v>
      </c>
      <c r="C8" s="40">
        <v>7.976911538605E12</v>
      </c>
      <c r="D8" s="4">
        <f t="shared" si="1"/>
        <v>15018408544082</v>
      </c>
      <c r="F8" s="4">
        <v>1.39808619839328E14</v>
      </c>
      <c r="J8" s="4">
        <v>10.0</v>
      </c>
    </row>
    <row r="9">
      <c r="A9" s="7" t="s">
        <v>1565</v>
      </c>
      <c r="B9" s="40">
        <v>140.0</v>
      </c>
      <c r="C9" s="40">
        <v>1.7160476871322E13</v>
      </c>
      <c r="D9" s="4">
        <f t="shared" si="1"/>
        <v>32178885415404</v>
      </c>
      <c r="J9" s="4">
        <v>10.0</v>
      </c>
    </row>
    <row r="10">
      <c r="A10" s="7" t="s">
        <v>1566</v>
      </c>
      <c r="B10" s="40">
        <v>143.0</v>
      </c>
      <c r="C10" s="40">
        <v>1.6898946978847E13</v>
      </c>
      <c r="D10" s="4">
        <f t="shared" si="1"/>
        <v>49077832394251</v>
      </c>
      <c r="J10" s="4">
        <v>12.0</v>
      </c>
    </row>
    <row r="11">
      <c r="A11" s="7" t="s">
        <v>1567</v>
      </c>
      <c r="B11" s="40">
        <v>145.0</v>
      </c>
      <c r="C11" s="40">
        <v>1.7743848754558E13</v>
      </c>
      <c r="D11" s="4">
        <f t="shared" si="1"/>
        <v>66821681148809</v>
      </c>
      <c r="J11" s="4">
        <v>12.0</v>
      </c>
    </row>
    <row r="12">
      <c r="A12" s="17">
        <v>146.0</v>
      </c>
      <c r="B12" s="81">
        <v>146.0</v>
      </c>
      <c r="C12" s="81">
        <v>9.742297106626E12</v>
      </c>
      <c r="D12" s="41">
        <f t="shared" si="1"/>
        <v>76563978255435</v>
      </c>
      <c r="E12" s="17"/>
      <c r="J12" s="4">
        <v>13.0</v>
      </c>
    </row>
    <row r="13">
      <c r="A13" s="7" t="s">
        <v>1568</v>
      </c>
      <c r="B13" s="40">
        <v>148.0</v>
      </c>
      <c r="C13" s="40">
        <v>2.7776952422558E13</v>
      </c>
      <c r="D13" s="4">
        <f t="shared" si="1"/>
        <v>104340930677993</v>
      </c>
      <c r="J13" s="4">
        <v>12.0</v>
      </c>
    </row>
    <row r="14">
      <c r="A14" s="7" t="s">
        <v>1569</v>
      </c>
      <c r="B14" s="40">
        <v>150.0</v>
      </c>
      <c r="C14" s="40">
        <v>3.4209986267961E13</v>
      </c>
      <c r="D14" s="4">
        <f t="shared" si="1"/>
        <v>138550916945954</v>
      </c>
      <c r="J14" s="4">
        <v>12.0</v>
      </c>
    </row>
    <row r="15">
      <c r="B15" s="4"/>
      <c r="J15" s="4">
        <v>13.0</v>
      </c>
    </row>
    <row r="16">
      <c r="B16" s="4"/>
      <c r="J16" s="4">
        <v>10.0</v>
      </c>
    </row>
    <row r="17">
      <c r="B17" s="4"/>
      <c r="J17" s="4">
        <v>12.0</v>
      </c>
    </row>
    <row r="18">
      <c r="B18" s="4"/>
      <c r="J18" s="4">
        <v>13.0</v>
      </c>
    </row>
    <row r="19">
      <c r="B19" s="4"/>
      <c r="J19" s="4">
        <v>12.0</v>
      </c>
    </row>
    <row r="20">
      <c r="B20" s="4"/>
      <c r="J20" s="4">
        <v>12.0</v>
      </c>
    </row>
    <row r="21">
      <c r="B21" s="4"/>
      <c r="J21" s="4">
        <v>13.0</v>
      </c>
    </row>
    <row r="22">
      <c r="B22" s="4"/>
      <c r="J22" s="4">
        <v>12.0</v>
      </c>
    </row>
    <row r="23">
      <c r="B23" s="4"/>
      <c r="J23" s="4">
        <v>13.0</v>
      </c>
    </row>
    <row r="24">
      <c r="B24" s="4"/>
      <c r="J24" s="4">
        <v>23.0</v>
      </c>
    </row>
    <row r="25">
      <c r="B25" s="4"/>
      <c r="J25" s="4">
        <v>23.0</v>
      </c>
    </row>
    <row r="26">
      <c r="B26" s="4"/>
      <c r="J26" s="4">
        <v>23.0</v>
      </c>
    </row>
    <row r="27">
      <c r="B27" s="4"/>
      <c r="J27" s="4">
        <v>24.0</v>
      </c>
    </row>
    <row r="28">
      <c r="B28" s="4"/>
      <c r="J28" s="4">
        <v>23.0</v>
      </c>
    </row>
    <row r="29">
      <c r="B29" s="4"/>
      <c r="J29" s="4">
        <v>24.0</v>
      </c>
    </row>
    <row r="30">
      <c r="B30" s="4"/>
      <c r="J30" s="4">
        <v>26.0</v>
      </c>
    </row>
    <row r="31">
      <c r="B31" s="4"/>
      <c r="J31" s="4">
        <v>24.0</v>
      </c>
    </row>
    <row r="32">
      <c r="B32" s="4"/>
      <c r="J32" s="4">
        <v>24.0</v>
      </c>
    </row>
    <row r="33">
      <c r="B33" s="4"/>
      <c r="J33" s="4">
        <v>26.0</v>
      </c>
    </row>
    <row r="34">
      <c r="B34" s="4"/>
      <c r="J34" s="4">
        <v>25.0</v>
      </c>
    </row>
    <row r="35">
      <c r="B35" s="4"/>
      <c r="J35" s="4">
        <v>26.0</v>
      </c>
    </row>
    <row r="36">
      <c r="B36" s="4"/>
      <c r="J36" s="4">
        <v>25.0</v>
      </c>
    </row>
    <row r="37">
      <c r="B37" s="4"/>
      <c r="J37" s="4">
        <v>25.0</v>
      </c>
    </row>
    <row r="38">
      <c r="B38" s="4"/>
      <c r="J38" s="4">
        <v>26.0</v>
      </c>
    </row>
    <row r="39">
      <c r="B39" s="4"/>
      <c r="J39" s="4">
        <v>26.0</v>
      </c>
    </row>
    <row r="40">
      <c r="B40" s="4"/>
      <c r="J40" s="4">
        <v>26.0</v>
      </c>
    </row>
    <row r="41">
      <c r="B41" s="4"/>
      <c r="J41" s="4">
        <v>27.0</v>
      </c>
    </row>
    <row r="42">
      <c r="B42" s="4"/>
      <c r="J42" s="4">
        <v>27.0</v>
      </c>
    </row>
    <row r="43">
      <c r="B43" s="4"/>
      <c r="J43" s="4">
        <v>27.0</v>
      </c>
    </row>
    <row r="44">
      <c r="B44" s="4"/>
      <c r="J44" s="4">
        <v>26.0</v>
      </c>
    </row>
    <row r="45">
      <c r="B45" s="4"/>
      <c r="J45" s="4">
        <v>26.0</v>
      </c>
    </row>
    <row r="46">
      <c r="B46" s="4"/>
      <c r="J46" s="4">
        <v>28.0</v>
      </c>
    </row>
    <row r="47">
      <c r="B47" s="4"/>
      <c r="J47" s="4">
        <v>28.0</v>
      </c>
    </row>
    <row r="48">
      <c r="B48" s="4"/>
      <c r="J48" s="4">
        <v>30.0</v>
      </c>
    </row>
    <row r="49">
      <c r="B49" s="4"/>
      <c r="J49" s="4">
        <v>31.0</v>
      </c>
    </row>
    <row r="50">
      <c r="B50" s="4"/>
      <c r="J50" s="4">
        <v>30.0</v>
      </c>
    </row>
    <row r="51">
      <c r="B51" s="4"/>
      <c r="J51" s="4">
        <v>33.0</v>
      </c>
    </row>
    <row r="52">
      <c r="B52" s="4"/>
      <c r="J52" s="4">
        <v>35.0</v>
      </c>
    </row>
    <row r="53">
      <c r="B53" s="4"/>
      <c r="J53" s="4">
        <v>39.0</v>
      </c>
    </row>
    <row r="54">
      <c r="B54" s="4"/>
      <c r="J54" s="4">
        <v>37.0</v>
      </c>
    </row>
    <row r="55">
      <c r="B55" s="4"/>
      <c r="J55" s="4">
        <v>40.0</v>
      </c>
    </row>
    <row r="56">
      <c r="B56" s="4"/>
      <c r="J56" s="4">
        <v>44.0</v>
      </c>
    </row>
    <row r="57">
      <c r="B57" s="4"/>
      <c r="J57" s="4">
        <v>51.0</v>
      </c>
    </row>
    <row r="58">
      <c r="B58" s="4"/>
      <c r="J58" s="4">
        <v>54.0</v>
      </c>
    </row>
    <row r="59">
      <c r="B59" s="4"/>
      <c r="J59" s="4">
        <v>59.0</v>
      </c>
    </row>
    <row r="60">
      <c r="B60" s="4"/>
      <c r="J60" s="4">
        <v>63.0</v>
      </c>
    </row>
    <row r="61">
      <c r="B61" s="4"/>
      <c r="J61" s="4">
        <v>84.0</v>
      </c>
    </row>
    <row r="62">
      <c r="B62" s="4"/>
      <c r="J62" s="4">
        <v>83.0</v>
      </c>
    </row>
    <row r="63">
      <c r="B63" s="4"/>
      <c r="J63" s="4">
        <v>98.0</v>
      </c>
    </row>
    <row r="64">
      <c r="B64" s="4"/>
      <c r="J64" s="4">
        <v>114.0</v>
      </c>
    </row>
    <row r="65">
      <c r="B65" s="4"/>
      <c r="J65" s="4">
        <v>142.0</v>
      </c>
    </row>
    <row r="66">
      <c r="B66" s="4"/>
      <c r="J66" s="4">
        <v>148.0</v>
      </c>
    </row>
    <row r="67">
      <c r="B67" s="4"/>
      <c r="J67" s="4">
        <v>178.0</v>
      </c>
    </row>
    <row r="68">
      <c r="B68" s="4"/>
      <c r="J68" s="4">
        <v>197.0</v>
      </c>
    </row>
    <row r="69">
      <c r="B69" s="4"/>
      <c r="J69" s="4">
        <v>275.0</v>
      </c>
    </row>
    <row r="70">
      <c r="B70" s="4"/>
      <c r="J70" s="4">
        <v>288.0</v>
      </c>
    </row>
    <row r="71">
      <c r="B71" s="4"/>
      <c r="J71" s="4">
        <v>329.0</v>
      </c>
    </row>
    <row r="72">
      <c r="B72" s="4"/>
      <c r="J72" s="4">
        <v>392.0</v>
      </c>
    </row>
    <row r="73">
      <c r="B73" s="4"/>
      <c r="J73" s="4">
        <v>556.0</v>
      </c>
    </row>
    <row r="74">
      <c r="B74" s="4"/>
      <c r="J74" s="4">
        <v>541.0</v>
      </c>
    </row>
    <row r="75">
      <c r="B75" s="4"/>
      <c r="J75" s="4">
        <v>664.0</v>
      </c>
    </row>
    <row r="76">
      <c r="B76" s="4"/>
      <c r="J76" s="4">
        <v>847.0</v>
      </c>
    </row>
    <row r="77">
      <c r="B77" s="4"/>
      <c r="J77" s="4">
        <v>1128.0</v>
      </c>
    </row>
    <row r="78">
      <c r="B78" s="4"/>
      <c r="J78" s="4">
        <v>1090.0</v>
      </c>
    </row>
    <row r="79">
      <c r="B79" s="4"/>
      <c r="J79" s="4">
        <v>1395.0</v>
      </c>
    </row>
    <row r="80">
      <c r="B80" s="4"/>
      <c r="J80" s="4">
        <v>1586.0</v>
      </c>
    </row>
    <row r="81">
      <c r="B81" s="4"/>
      <c r="J81" s="4">
        <v>2234.0</v>
      </c>
    </row>
    <row r="82">
      <c r="B82" s="4"/>
      <c r="J82" s="4">
        <v>2336.0</v>
      </c>
    </row>
    <row r="83">
      <c r="B83" s="4"/>
      <c r="J83" s="4">
        <v>2679.0</v>
      </c>
    </row>
    <row r="84">
      <c r="B84" s="4"/>
      <c r="J84" s="4">
        <v>3181.0</v>
      </c>
    </row>
    <row r="85">
      <c r="B85" s="4"/>
      <c r="J85" s="4">
        <v>4672.0</v>
      </c>
    </row>
    <row r="86">
      <c r="B86" s="4"/>
      <c r="J86" s="4">
        <v>4633.0</v>
      </c>
    </row>
    <row r="87">
      <c r="B87" s="4"/>
      <c r="J87" s="4">
        <v>5440.0</v>
      </c>
    </row>
    <row r="88">
      <c r="B88" s="4"/>
      <c r="J88" s="4">
        <v>6785.0</v>
      </c>
    </row>
    <row r="89">
      <c r="B89" s="4"/>
      <c r="J89" s="4">
        <v>9108.0</v>
      </c>
    </row>
    <row r="90">
      <c r="B90" s="4"/>
      <c r="J90" s="4">
        <v>9007.0</v>
      </c>
    </row>
    <row r="91">
      <c r="B91" s="4"/>
      <c r="J91" s="4">
        <v>11592.0</v>
      </c>
    </row>
    <row r="92">
      <c r="B92" s="4"/>
      <c r="J92" s="4">
        <v>12593.0</v>
      </c>
    </row>
    <row r="93">
      <c r="B93" s="4"/>
      <c r="J93" s="4">
        <v>18535.0</v>
      </c>
    </row>
    <row r="94">
      <c r="B94" s="4"/>
      <c r="J94" s="4">
        <v>18674.0</v>
      </c>
    </row>
    <row r="95">
      <c r="B95" s="4"/>
      <c r="J95" s="4">
        <v>21009.0</v>
      </c>
    </row>
    <row r="96">
      <c r="B96" s="4"/>
      <c r="J96" s="4">
        <v>25625.0</v>
      </c>
    </row>
    <row r="97">
      <c r="B97" s="4"/>
      <c r="J97" s="4">
        <v>35611.0</v>
      </c>
    </row>
    <row r="98">
      <c r="B98" s="4"/>
      <c r="J98" s="4">
        <v>34771.0</v>
      </c>
    </row>
    <row r="99">
      <c r="B99" s="4"/>
      <c r="J99" s="4">
        <v>41141.0</v>
      </c>
    </row>
    <row r="100">
      <c r="B100" s="4"/>
      <c r="J100" s="4">
        <v>51059.0</v>
      </c>
    </row>
    <row r="101">
      <c r="B101" s="4"/>
      <c r="J101" s="4">
        <v>70327.0</v>
      </c>
    </row>
    <row r="102">
      <c r="B102" s="4"/>
      <c r="J102" s="4">
        <v>69458.0</v>
      </c>
    </row>
    <row r="103">
      <c r="B103" s="4"/>
      <c r="J103" s="4">
        <v>82472.0</v>
      </c>
    </row>
    <row r="104">
      <c r="B104" s="4"/>
      <c r="J104" s="4">
        <v>95633.0</v>
      </c>
    </row>
    <row r="105">
      <c r="B105" s="4"/>
      <c r="J105" s="4">
        <v>138791.0</v>
      </c>
    </row>
    <row r="106">
      <c r="B106" s="4"/>
      <c r="J106" s="4">
        <v>147338.0</v>
      </c>
    </row>
    <row r="107">
      <c r="B107" s="4"/>
      <c r="J107" s="4">
        <v>163180.0</v>
      </c>
    </row>
    <row r="108">
      <c r="B108" s="4"/>
      <c r="J108" s="4">
        <v>185814.0</v>
      </c>
    </row>
    <row r="109">
      <c r="B109" s="4"/>
      <c r="J109" s="4">
        <v>265454.0</v>
      </c>
    </row>
    <row r="110">
      <c r="B110" s="4"/>
      <c r="J110" s="4">
        <v>245808.0</v>
      </c>
    </row>
    <row r="111">
      <c r="B111" s="4"/>
      <c r="J111" s="4">
        <v>289860.0</v>
      </c>
    </row>
    <row r="112">
      <c r="B112" s="4"/>
      <c r="J112" s="4">
        <v>356492.0</v>
      </c>
    </row>
    <row r="113">
      <c r="B113" s="4"/>
      <c r="J113" s="4">
        <v>479797.0</v>
      </c>
    </row>
    <row r="114">
      <c r="B114" s="4"/>
      <c r="J114" s="4">
        <v>499790.0</v>
      </c>
    </row>
    <row r="115">
      <c r="B115" s="4"/>
      <c r="J115" s="4">
        <v>565544.0</v>
      </c>
    </row>
    <row r="116">
      <c r="B116" s="4"/>
      <c r="J116" s="4">
        <v>646510.0</v>
      </c>
    </row>
    <row r="117">
      <c r="B117" s="4"/>
      <c r="J117" s="4">
        <v>961476.0</v>
      </c>
    </row>
    <row r="118">
      <c r="B118" s="4"/>
      <c r="J118" s="4">
        <v>958976.0</v>
      </c>
    </row>
    <row r="119">
      <c r="B119" s="4"/>
      <c r="J119" s="4">
        <v>1074252.0</v>
      </c>
    </row>
    <row r="120">
      <c r="B120" s="4"/>
      <c r="J120" s="4">
        <v>1222910.0</v>
      </c>
    </row>
    <row r="121">
      <c r="B121" s="4"/>
      <c r="J121" s="4">
        <v>1723644.0</v>
      </c>
    </row>
    <row r="122">
      <c r="B122" s="4"/>
      <c r="J122" s="40">
        <v>1764963.0</v>
      </c>
    </row>
    <row r="123">
      <c r="B123" s="4"/>
      <c r="J123" s="40">
        <v>1926736.0</v>
      </c>
    </row>
    <row r="124">
      <c r="B124" s="4"/>
      <c r="J124" s="40">
        <v>2341045.0</v>
      </c>
    </row>
    <row r="125">
      <c r="B125" s="4"/>
      <c r="J125" s="40">
        <v>3142356.0</v>
      </c>
    </row>
    <row r="126">
      <c r="B126" s="4"/>
      <c r="J126" s="40">
        <v>3093924.0</v>
      </c>
    </row>
    <row r="127">
      <c r="B127" s="4"/>
      <c r="J127" s="40">
        <v>3432245.0</v>
      </c>
    </row>
    <row r="128">
      <c r="B128" s="4"/>
      <c r="J128" s="40">
        <v>7106507.0</v>
      </c>
    </row>
    <row r="129">
      <c r="B129" s="4"/>
      <c r="J129" s="40">
        <v>7106507.0</v>
      </c>
    </row>
    <row r="130">
      <c r="B130" s="4"/>
      <c r="J130" s="40">
        <v>7106507.0</v>
      </c>
    </row>
    <row r="131">
      <c r="B131" s="4"/>
      <c r="J131" s="40">
        <v>7106507.0</v>
      </c>
    </row>
    <row r="132">
      <c r="B132" s="4"/>
      <c r="J132" s="40">
        <v>7106507.0</v>
      </c>
    </row>
    <row r="133">
      <c r="B133" s="4"/>
      <c r="J133" s="40">
        <v>1.9026544E7</v>
      </c>
    </row>
    <row r="134">
      <c r="B134" s="4"/>
      <c r="J134" s="40">
        <v>1.9026544E7</v>
      </c>
    </row>
    <row r="135">
      <c r="B135" s="4"/>
      <c r="J135" s="40">
        <v>1.9026544E7</v>
      </c>
    </row>
    <row r="136">
      <c r="B136" s="4"/>
      <c r="J136" s="40">
        <v>1.9026544E7</v>
      </c>
    </row>
    <row r="137">
      <c r="B137" s="4"/>
      <c r="J137" s="40">
        <v>1.9026544E7</v>
      </c>
    </row>
    <row r="138">
      <c r="B138" s="4"/>
      <c r="J138" s="66">
        <v>3.3863247E7</v>
      </c>
    </row>
    <row r="139">
      <c r="B139" s="4"/>
      <c r="J139" s="66">
        <v>3.3863247E7</v>
      </c>
    </row>
    <row r="140">
      <c r="B140" s="4"/>
      <c r="J140" s="66">
        <v>3.3863247E7</v>
      </c>
    </row>
    <row r="141">
      <c r="B141" s="4"/>
      <c r="J141" s="66">
        <v>3.3863247E7</v>
      </c>
    </row>
    <row r="142">
      <c r="B142" s="4"/>
      <c r="J142" s="66">
        <v>3.3863247E7</v>
      </c>
    </row>
    <row r="143">
      <c r="B143" s="4"/>
      <c r="J143" s="67">
        <v>6.2764873E7</v>
      </c>
    </row>
    <row r="144">
      <c r="B144" s="4"/>
      <c r="J144" s="67">
        <v>6.2764873E7</v>
      </c>
    </row>
    <row r="145">
      <c r="B145" s="4"/>
      <c r="J145" s="67">
        <v>6.2764873E7</v>
      </c>
    </row>
    <row r="146">
      <c r="B146" s="4"/>
      <c r="J146" s="68">
        <v>6.6588282E7</v>
      </c>
    </row>
    <row r="147">
      <c r="B147" s="4"/>
      <c r="J147" s="68">
        <v>6.6588282E7</v>
      </c>
    </row>
    <row r="148">
      <c r="B148" s="4"/>
      <c r="J148" s="58">
        <v>7.9174905E7</v>
      </c>
    </row>
    <row r="149">
      <c r="B149" s="4"/>
      <c r="J149" s="40">
        <v>1.04196352E8</v>
      </c>
    </row>
    <row r="150">
      <c r="B150" s="4"/>
      <c r="J150" s="40">
        <v>1.04196352E8</v>
      </c>
    </row>
    <row r="151">
      <c r="B151" s="4"/>
    </row>
    <row r="152">
      <c r="B152" s="4"/>
      <c r="J152" s="4">
        <f>SUM(J1:J150)</f>
        <v>935297325</v>
      </c>
    </row>
    <row r="153">
      <c r="B153" s="4"/>
      <c r="J153" s="39">
        <f>J152*K153</f>
        <v>10.82520052</v>
      </c>
      <c r="K153" s="6">
        <v>1.1574074074074074E-8</v>
      </c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  <row r="1001">
      <c r="B1001" s="4"/>
    </row>
    <row r="1002">
      <c r="B1002" s="4"/>
    </row>
  </sheetData>
  <conditionalFormatting sqref="J71:J153">
    <cfRule type="colorScale" priority="1">
      <colorScale>
        <cfvo type="min"/>
        <cfvo type="percentile" val="50"/>
        <cfvo type="max"/>
        <color rgb="FF00FFFF"/>
        <color rgb="FFFFFFFF"/>
        <color rgb="FFFF00FF"/>
      </colorScale>
    </cfRule>
  </conditionalFormatting>
  <drawing r:id="rId1"/>
</worksheet>
</file>