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stasijakazakova/Documents/Универ/"/>
    </mc:Choice>
  </mc:AlternateContent>
  <xr:revisionPtr revIDLastSave="0" documentId="13_ncr:1_{739E97DA-4098-3F4C-A12A-EFB9668EF19D}" xr6:coauthVersionLast="47" xr6:coauthVersionMax="47" xr10:uidLastSave="{00000000-0000-0000-0000-000000000000}"/>
  <bookViews>
    <workbookView xWindow="6300" yWindow="500" windowWidth="16320" windowHeight="16140" xr2:uid="{2E6A2F99-62EC-2142-898F-98BA744FCD01}"/>
  </bookViews>
  <sheets>
    <sheet name="Смертност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Y3" i="1"/>
  <c r="Y4" i="1" s="1"/>
  <c r="Y5" i="1" s="1"/>
  <c r="Y6" i="1" s="1"/>
  <c r="Y7" i="1" s="1"/>
  <c r="Y8" i="1" s="1"/>
  <c r="Y9" i="1" s="1"/>
  <c r="Y10" i="1" s="1"/>
  <c r="AA124" i="1"/>
  <c r="S127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G2" i="1"/>
  <c r="G5" i="1"/>
  <c r="Y47" i="1"/>
  <c r="Y48" i="1" s="1"/>
  <c r="Y49" i="1" s="1"/>
  <c r="Y50" i="1" s="1"/>
  <c r="Y42" i="1"/>
  <c r="Y43" i="1" s="1"/>
  <c r="Y44" i="1" s="1"/>
  <c r="Y45" i="1" s="1"/>
  <c r="Y32" i="1"/>
  <c r="Y33" i="1" s="1"/>
  <c r="Y34" i="1" s="1"/>
  <c r="Y35" i="1" s="1"/>
  <c r="Y36" i="1" s="1"/>
  <c r="Y37" i="1" s="1"/>
  <c r="Y38" i="1" s="1"/>
  <c r="Y39" i="1" s="1"/>
  <c r="Y40" i="1" s="1"/>
  <c r="Y22" i="1"/>
  <c r="Y23" i="1" s="1"/>
  <c r="Y24" i="1" s="1"/>
  <c r="Y25" i="1" s="1"/>
  <c r="Y26" i="1" s="1"/>
  <c r="Y27" i="1" s="1"/>
  <c r="Y28" i="1" s="1"/>
  <c r="Y29" i="1" s="1"/>
  <c r="Y30" i="1" s="1"/>
  <c r="Y12" i="1"/>
  <c r="Y13" i="1" s="1"/>
  <c r="Y14" i="1" s="1"/>
  <c r="Y15" i="1" s="1"/>
  <c r="Y16" i="1" s="1"/>
  <c r="Y17" i="1" s="1"/>
  <c r="Y18" i="1" s="1"/>
  <c r="Y19" i="1" s="1"/>
  <c r="Y20" i="1" s="1"/>
  <c r="G3" i="1"/>
  <c r="D198" i="1"/>
  <c r="D210" i="1" s="1"/>
  <c r="D174" i="1"/>
  <c r="D177" i="1" s="1"/>
  <c r="C198" i="1"/>
  <c r="C174" i="1"/>
  <c r="C197" i="1"/>
  <c r="C173" i="1"/>
  <c r="C196" i="1"/>
  <c r="C172" i="1"/>
  <c r="C195" i="1"/>
  <c r="C171" i="1"/>
  <c r="C194" i="1"/>
  <c r="C170" i="1"/>
  <c r="C193" i="1"/>
  <c r="C169" i="1"/>
  <c r="C192" i="1"/>
  <c r="C168" i="1"/>
  <c r="B198" i="1"/>
  <c r="B197" i="1"/>
  <c r="B196" i="1"/>
  <c r="B195" i="1"/>
  <c r="B194" i="1"/>
  <c r="B193" i="1"/>
  <c r="B192" i="1"/>
  <c r="B174" i="1"/>
  <c r="B173" i="1"/>
  <c r="B172" i="1"/>
  <c r="B171" i="1"/>
  <c r="B170" i="1"/>
  <c r="B169" i="1"/>
  <c r="B168" i="1"/>
  <c r="J127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B108" i="1"/>
  <c r="A109" i="1" s="1"/>
  <c r="B109" i="1" s="1"/>
  <c r="A110" i="1" s="1"/>
  <c r="B110" i="1" s="1"/>
  <c r="G73" i="1"/>
  <c r="G72" i="1"/>
  <c r="G71" i="1"/>
  <c r="G69" i="1"/>
  <c r="G70" i="1" s="1"/>
  <c r="G68" i="1"/>
  <c r="G67" i="1"/>
  <c r="G66" i="1"/>
  <c r="G64" i="1"/>
  <c r="G63" i="1"/>
  <c r="B43" i="1"/>
  <c r="G10" i="1"/>
  <c r="G11" i="1"/>
  <c r="G12" i="1"/>
  <c r="G6" i="1"/>
  <c r="G8" i="1"/>
  <c r="G9" i="1" s="1"/>
  <c r="G7" i="1"/>
  <c r="B127" i="1" l="1"/>
  <c r="C127" i="1" s="1"/>
  <c r="G65" i="1"/>
  <c r="R143" i="1" s="1"/>
  <c r="T143" i="1" s="1"/>
  <c r="B134" i="1"/>
  <c r="C134" i="1" s="1"/>
  <c r="C180" i="1"/>
  <c r="D180" i="1"/>
  <c r="B177" i="1"/>
  <c r="D185" i="1"/>
  <c r="D181" i="1"/>
  <c r="D204" i="1"/>
  <c r="C183" i="1"/>
  <c r="C184" i="1" s="1"/>
  <c r="D205" i="1"/>
  <c r="E134" i="1"/>
  <c r="B210" i="1"/>
  <c r="C210" i="1"/>
  <c r="D201" i="1"/>
  <c r="B178" i="1"/>
  <c r="C181" i="1"/>
  <c r="D187" i="1"/>
  <c r="B180" i="1"/>
  <c r="D186" i="1"/>
  <c r="B181" i="1"/>
  <c r="C186" i="1"/>
  <c r="B202" i="1"/>
  <c r="B211" i="1"/>
  <c r="B183" i="1"/>
  <c r="B184" i="1" s="1"/>
  <c r="C185" i="1"/>
  <c r="C202" i="1"/>
  <c r="B207" i="1"/>
  <c r="B208" i="1" s="1"/>
  <c r="C211" i="1"/>
  <c r="B185" i="1"/>
  <c r="D178" i="1"/>
  <c r="D179" i="1" s="1"/>
  <c r="D202" i="1"/>
  <c r="C207" i="1"/>
  <c r="C208" i="1" s="1"/>
  <c r="D211" i="1"/>
  <c r="B186" i="1"/>
  <c r="D183" i="1"/>
  <c r="D184" i="1" s="1"/>
  <c r="C178" i="1"/>
  <c r="B204" i="1"/>
  <c r="D207" i="1"/>
  <c r="D208" i="1" s="1"/>
  <c r="B201" i="1"/>
  <c r="B135" i="1"/>
  <c r="C135" i="1" s="1"/>
  <c r="E135" i="1" s="1"/>
  <c r="B187" i="1"/>
  <c r="C204" i="1"/>
  <c r="B209" i="1"/>
  <c r="C201" i="1"/>
  <c r="C177" i="1"/>
  <c r="C209" i="1"/>
  <c r="C187" i="1"/>
  <c r="B205" i="1"/>
  <c r="D209" i="1"/>
  <c r="C205" i="1"/>
  <c r="A111" i="1"/>
  <c r="B111" i="1" s="1"/>
  <c r="B149" i="1"/>
  <c r="C149" i="1" s="1"/>
  <c r="E149" i="1" s="1"/>
  <c r="B141" i="1"/>
  <c r="C141" i="1" s="1"/>
  <c r="E141" i="1" s="1"/>
  <c r="B133" i="1"/>
  <c r="C133" i="1" s="1"/>
  <c r="E133" i="1" s="1"/>
  <c r="B148" i="1"/>
  <c r="C148" i="1" s="1"/>
  <c r="E148" i="1" s="1"/>
  <c r="B140" i="1"/>
  <c r="C140" i="1" s="1"/>
  <c r="E140" i="1" s="1"/>
  <c r="B132" i="1"/>
  <c r="C132" i="1" s="1"/>
  <c r="E132" i="1" s="1"/>
  <c r="B145" i="1"/>
  <c r="C145" i="1" s="1"/>
  <c r="E145" i="1" s="1"/>
  <c r="B137" i="1"/>
  <c r="C137" i="1" s="1"/>
  <c r="E137" i="1" s="1"/>
  <c r="B129" i="1"/>
  <c r="C129" i="1" s="1"/>
  <c r="E129" i="1" s="1"/>
  <c r="B138" i="1"/>
  <c r="C138" i="1" s="1"/>
  <c r="E138" i="1" s="1"/>
  <c r="B130" i="1"/>
  <c r="C130" i="1" s="1"/>
  <c r="E130" i="1" s="1"/>
  <c r="B147" i="1"/>
  <c r="C147" i="1" s="1"/>
  <c r="E147" i="1" s="1"/>
  <c r="B139" i="1"/>
  <c r="C139" i="1" s="1"/>
  <c r="E139" i="1" s="1"/>
  <c r="B131" i="1"/>
  <c r="C131" i="1" s="1"/>
  <c r="E131" i="1" s="1"/>
  <c r="B146" i="1"/>
  <c r="C146" i="1" s="1"/>
  <c r="E146" i="1" s="1"/>
  <c r="B144" i="1"/>
  <c r="C144" i="1" s="1"/>
  <c r="E144" i="1" s="1"/>
  <c r="B136" i="1"/>
  <c r="C136" i="1" s="1"/>
  <c r="E136" i="1" s="1"/>
  <c r="B128" i="1"/>
  <c r="C128" i="1" s="1"/>
  <c r="E128" i="1" s="1"/>
  <c r="E127" i="1"/>
  <c r="B143" i="1"/>
  <c r="C143" i="1" s="1"/>
  <c r="E143" i="1" s="1"/>
  <c r="B150" i="1"/>
  <c r="C150" i="1" s="1"/>
  <c r="E150" i="1" s="1"/>
  <c r="B142" i="1"/>
  <c r="C142" i="1" s="1"/>
  <c r="E142" i="1" s="1"/>
  <c r="G4" i="1"/>
  <c r="A44" i="1"/>
  <c r="B44" i="1" s="1"/>
  <c r="A45" i="1" s="1"/>
  <c r="B45" i="1" s="1"/>
  <c r="A46" i="1" s="1"/>
  <c r="B46" i="1" s="1"/>
  <c r="A47" i="1" s="1"/>
  <c r="B47" i="1" s="1"/>
  <c r="R136" i="1" l="1"/>
  <c r="T136" i="1" s="1"/>
  <c r="R139" i="1"/>
  <c r="T139" i="1" s="1"/>
  <c r="R142" i="1"/>
  <c r="T142" i="1" s="1"/>
  <c r="R137" i="1"/>
  <c r="T137" i="1" s="1"/>
  <c r="R150" i="1"/>
  <c r="T150" i="1" s="1"/>
  <c r="R133" i="1"/>
  <c r="T133" i="1" s="1"/>
  <c r="R130" i="1"/>
  <c r="T130" i="1" s="1"/>
  <c r="R141" i="1"/>
  <c r="T141" i="1" s="1"/>
  <c r="R146" i="1"/>
  <c r="T146" i="1" s="1"/>
  <c r="R149" i="1"/>
  <c r="T149" i="1" s="1"/>
  <c r="R144" i="1"/>
  <c r="T144" i="1" s="1"/>
  <c r="R131" i="1"/>
  <c r="T131" i="1" s="1"/>
  <c r="R129" i="1"/>
  <c r="T129" i="1" s="1"/>
  <c r="R145" i="1"/>
  <c r="T145" i="1" s="1"/>
  <c r="R132" i="1"/>
  <c r="T132" i="1" s="1"/>
  <c r="R135" i="1"/>
  <c r="T135" i="1" s="1"/>
  <c r="R128" i="1"/>
  <c r="T128" i="1" s="1"/>
  <c r="R138" i="1"/>
  <c r="T138" i="1" s="1"/>
  <c r="R134" i="1"/>
  <c r="T134" i="1" s="1"/>
  <c r="R147" i="1"/>
  <c r="T147" i="1" s="1"/>
  <c r="R140" i="1"/>
  <c r="T140" i="1" s="1"/>
  <c r="R127" i="1"/>
  <c r="T127" i="1" s="1"/>
  <c r="C179" i="1"/>
  <c r="R148" i="1"/>
  <c r="T148" i="1" s="1"/>
  <c r="T152" i="1" s="1"/>
  <c r="AA125" i="1" s="1"/>
  <c r="B179" i="1"/>
  <c r="C43" i="1" a="1"/>
  <c r="C43" i="1" s="1"/>
  <c r="B203" i="1"/>
  <c r="D203" i="1"/>
  <c r="C203" i="1"/>
  <c r="E152" i="1"/>
  <c r="J128" i="1" s="1"/>
  <c r="A112" i="1"/>
  <c r="B112" i="1" s="1"/>
  <c r="C108" i="1" s="1" a="1"/>
  <c r="C10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<sst xmlns="http://schemas.openxmlformats.org/spreadsheetml/2006/main" count="150" uniqueCount="85">
  <si>
    <t>Год</t>
  </si>
  <si>
    <t>Смертность на 1000 чел</t>
  </si>
  <si>
    <t>1. Дескриптивная статистика</t>
  </si>
  <si>
    <t>Медиана</t>
  </si>
  <si>
    <t>Мода</t>
  </si>
  <si>
    <t>Дисперсия</t>
  </si>
  <si>
    <t>Ассиметрия (3 момент)</t>
  </si>
  <si>
    <t>Коэффициент вариации</t>
  </si>
  <si>
    <t>Среднее</t>
  </si>
  <si>
    <t>Max</t>
  </si>
  <si>
    <t>Min</t>
  </si>
  <si>
    <t>Стандартное отклонение</t>
  </si>
  <si>
    <t>Эксцесс (4 момент)</t>
  </si>
  <si>
    <t>Размах</t>
  </si>
  <si>
    <t>очень большое колебание (почти в 2,2 раза)</t>
  </si>
  <si>
    <t>умеренный разброс, но явно сильнее, чем в "ровных" системах, например, в рождаемости</t>
  </si>
  <si>
    <t>скос в лево (отрицательная ассиметрия)</t>
  </si>
  <si>
    <t>острый пик, возможны выбросы (распределение более заостренное, чем нормальное)</t>
  </si>
  <si>
    <t>немного больше, чем среднее (больше лет с повышенной смертностью)</t>
  </si>
  <si>
    <t>среднее и медиана практически равны (распределение близко к симметричному)</t>
  </si>
  <si>
    <t>График</t>
  </si>
  <si>
    <t>Гистограмма</t>
  </si>
  <si>
    <t>Группы для гистограммы</t>
  </si>
  <si>
    <t>Частота</t>
  </si>
  <si>
    <t>Интервал</t>
  </si>
  <si>
    <t>7,4–9,24</t>
  </si>
  <si>
    <t>9,24–11,08</t>
  </si>
  <si>
    <t>11,08–12,92</t>
  </si>
  <si>
    <t>12,92–14,76</t>
  </si>
  <si>
    <t>14,76–16,6</t>
  </si>
  <si>
    <t>Подробное описание графика в отчете</t>
  </si>
  <si>
    <t>Резкий спад с 1950 - 1960</t>
  </si>
  <si>
    <t>Резкий скачок вверх с 1990-2005 пик в 2003</t>
  </si>
  <si>
    <t>Постепенное снижение смертности с 2005-2019</t>
  </si>
  <si>
    <t>Всплек до 16.6 (максимум) с 2020-2021</t>
  </si>
  <si>
    <t>Снижение с 2022-2023</t>
  </si>
  <si>
    <t>2. Дескриптивная статистика (с 2000 по 2023)</t>
  </si>
  <si>
    <t>12.1–13.0</t>
  </si>
  <si>
    <t>13.0–13.9</t>
  </si>
  <si>
    <t>13.9–14.8</t>
  </si>
  <si>
    <t>14.8–15.7</t>
  </si>
  <si>
    <t>15.7–16.6</t>
  </si>
  <si>
    <t>самый частый интервал 12,1-13,0 (6 лет) - устойчиво низкая смертность</t>
  </si>
  <si>
    <t>у 2,3 и 5 интервалов распределение равномерное</t>
  </si>
  <si>
    <t>в целом распределение довольно плоское</t>
  </si>
  <si>
    <t>с 2000 по 2005 пик высокой смертности (стабильно &gt;15)</t>
  </si>
  <si>
    <t>c 2006-2019 долгосрочное и плавное снижение</t>
  </si>
  <si>
    <t>с 2020 по 2021 резкий скачок (в 2021 самый высокий показатель за весь период)</t>
  </si>
  <si>
    <t>после 2021 "восстановление"</t>
  </si>
  <si>
    <r>
      <t>H</t>
    </r>
    <r>
      <rPr>
        <sz val="12"/>
        <color theme="1"/>
        <rFont val="Aptos Narrow (Основной текст)"/>
        <charset val="204"/>
      </rPr>
      <t>0</t>
    </r>
    <r>
      <rPr>
        <sz val="12"/>
        <color theme="1"/>
        <rFont val="Aptos Narrow"/>
        <family val="2"/>
        <charset val="204"/>
        <scheme val="minor"/>
      </rPr>
      <t>: распределение смертности нормальное</t>
    </r>
  </si>
  <si>
    <t>H1: распределение смертности отличается от нормальности</t>
  </si>
  <si>
    <t>Данные</t>
  </si>
  <si>
    <t>Нормальный вид</t>
  </si>
  <si>
    <t>F0(x) - теор</t>
  </si>
  <si>
    <t>F(x) - эмперническая</t>
  </si>
  <si>
    <t>|F(x) - F0(x)|</t>
  </si>
  <si>
    <t>D (статистика)</t>
  </si>
  <si>
    <t>максимум</t>
  </si>
  <si>
    <t>Критическое значение статистики</t>
  </si>
  <si>
    <t>D</t>
  </si>
  <si>
    <t>Вывод</t>
  </si>
  <si>
    <t>D &lt; Dкрит, соответсвенно у нас нет оснований отвергать нулевую гипотезу</t>
  </si>
  <si>
    <t>Рассмотрим разные года с промежутком 10 лет:</t>
  </si>
  <si>
    <t>Возраст</t>
  </si>
  <si>
    <t>70+</t>
  </si>
  <si>
    <t>0; 4</t>
  </si>
  <si>
    <t>5; 14</t>
  </si>
  <si>
    <t>15; 29</t>
  </si>
  <si>
    <t>30; 49</t>
  </si>
  <si>
    <t>50; 59</t>
  </si>
  <si>
    <t>60; 69</t>
  </si>
  <si>
    <t>МУЖЧИНЫ</t>
  </si>
  <si>
    <t>3. Дескриптивная статистика</t>
  </si>
  <si>
    <t>ЖЕНЩИНЫ</t>
  </si>
  <si>
    <r>
      <rPr>
        <b/>
        <sz val="12"/>
        <color theme="1"/>
        <rFont val="Aptos Narrow"/>
        <scheme val="minor"/>
      </rPr>
      <t>Возрастная динамика смертности</t>
    </r>
    <r>
      <rPr>
        <sz val="12"/>
        <color theme="1"/>
        <rFont val="Aptos Narrow"/>
        <family val="2"/>
        <charset val="204"/>
        <scheme val="minor"/>
      </rPr>
      <t xml:space="preserve"> (отдельно для мужчин и для женщин на 1000 человек)</t>
    </r>
  </si>
  <si>
    <t>-</t>
  </si>
  <si>
    <t>4. Дескриптивная статистика</t>
  </si>
  <si>
    <t>Рассмативаем с 2000-2023</t>
  </si>
  <si>
    <t>Большинство лет сосредоточены в диапазоне 7,4-9,24 смертей на 1000 человек</t>
  </si>
  <si>
    <t>Много лет с аномально низкой смертностью</t>
  </si>
  <si>
    <t>Видна ассиметрия вправо</t>
  </si>
  <si>
    <r>
      <t>H</t>
    </r>
    <r>
      <rPr>
        <sz val="12"/>
        <color theme="1"/>
        <rFont val="Aptos Narrow (Основной текст)"/>
        <charset val="204"/>
      </rPr>
      <t>0</t>
    </r>
    <r>
      <rPr>
        <sz val="12"/>
        <color theme="1"/>
        <rFont val="Aptos Narrow"/>
        <family val="2"/>
        <charset val="204"/>
        <scheme val="minor"/>
      </rPr>
      <t>: распределение смертности равномерное</t>
    </r>
  </si>
  <si>
    <t>H1: распределение смертности отличается от равномерного</t>
  </si>
  <si>
    <r>
      <rPr>
        <b/>
        <sz val="12"/>
        <color theme="1"/>
        <rFont val="Aptos Narrow"/>
        <scheme val="minor"/>
      </rPr>
      <t>Критерий Колмогорова</t>
    </r>
    <r>
      <rPr>
        <sz val="12"/>
        <color theme="1"/>
        <rFont val="Aptos Narrow"/>
        <family val="2"/>
        <charset val="204"/>
        <scheme val="minor"/>
      </rPr>
      <t xml:space="preserve"> (проверим данные на </t>
    </r>
    <r>
      <rPr>
        <b/>
        <sz val="12"/>
        <color theme="1"/>
        <rFont val="Aptos Narrow"/>
        <scheme val="minor"/>
      </rPr>
      <t>нормальность</t>
    </r>
    <r>
      <rPr>
        <sz val="12"/>
        <color theme="1"/>
        <rFont val="Aptos Narrow"/>
        <family val="2"/>
        <charset val="204"/>
        <scheme val="minor"/>
      </rPr>
      <t>)</t>
    </r>
  </si>
  <si>
    <r>
      <rPr>
        <b/>
        <sz val="12"/>
        <color theme="1"/>
        <rFont val="Aptos Narrow"/>
        <scheme val="minor"/>
      </rPr>
      <t>Критерий Колмогорова</t>
    </r>
    <r>
      <rPr>
        <sz val="12"/>
        <color theme="1"/>
        <rFont val="Aptos Narrow"/>
        <family val="2"/>
        <charset val="204"/>
        <scheme val="minor"/>
      </rPr>
      <t xml:space="preserve"> (проверим данные на </t>
    </r>
    <r>
      <rPr>
        <b/>
        <sz val="12"/>
        <color theme="1"/>
        <rFont val="Aptos Narrow"/>
        <scheme val="minor"/>
      </rPr>
      <t>равномерное</t>
    </r>
    <r>
      <rPr>
        <sz val="12"/>
        <color theme="1"/>
        <rFont val="Aptos Narrow"/>
        <family val="2"/>
        <charset val="204"/>
        <scheme val="minor"/>
      </rPr>
      <t xml:space="preserve"> распределение)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</si>
</sst>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"/>
  </numFmts>
  <fonts count="9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1"/>
      <color indexed="60"/>
      <name val="Calibri"/>
      <family val="2"/>
      <charset val="204"/>
    </font>
    <font>
      <b/>
      <sz val="7.5"/>
      <name val="Arial"/>
      <family val="2"/>
      <charset val="204"/>
    </font>
    <font>
      <b/>
      <sz val="12"/>
      <color theme="1"/>
      <name val="Aptos Narrow"/>
      <scheme val="minor"/>
    </font>
    <font>
      <sz val="12"/>
      <color theme="1"/>
      <name val="Aptos Narrow (Основной текст)"/>
      <charset val="204"/>
    </font>
    <font>
      <sz val="12"/>
      <color theme="1"/>
      <name val="Aptos Narrow"/>
      <scheme val="minor"/>
    </font>
    <font>
      <sz val="7"/>
      <name val="Times New Roman"/>
      <family val="1"/>
    </font>
    <font>
      <sz val="7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3" fillId="0" borderId="2" xfId="0" applyFont="1" applyBorder="1" applyAlignment="1">
      <alignment horizontal="center" wrapText="1"/>
    </xf>
    <xf numFmtId="164" fontId="3" fillId="0" borderId="1" xfId="1" applyNumberFormat="1" applyFont="1" applyBorder="1" applyAlignment="1">
      <alignment horizontal="right" wrapText="1"/>
    </xf>
    <xf numFmtId="164" fontId="0" fillId="0" borderId="0" xfId="0" applyNumberFormat="1"/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10" fontId="0" fillId="2" borderId="1" xfId="0" applyNumberFormat="1" applyFill="1" applyBorder="1"/>
    <xf numFmtId="0" fontId="1" fillId="0" borderId="0" xfId="0" applyFont="1"/>
    <xf numFmtId="0" fontId="4" fillId="2" borderId="1" xfId="0" applyFont="1" applyFill="1" applyBorder="1"/>
    <xf numFmtId="0" fontId="4" fillId="0" borderId="0" xfId="0" applyFont="1"/>
    <xf numFmtId="0" fontId="4" fillId="2" borderId="0" xfId="0" applyFont="1" applyFill="1"/>
    <xf numFmtId="0" fontId="0" fillId="3" borderId="0" xfId="0" applyFill="1"/>
    <xf numFmtId="0" fontId="6" fillId="2" borderId="0" xfId="0" applyFont="1" applyFill="1"/>
    <xf numFmtId="165" fontId="0" fillId="0" borderId="0" xfId="0" applyNumberFormat="1"/>
    <xf numFmtId="0" fontId="4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6" fillId="0" borderId="0" xfId="0" applyFont="1"/>
    <xf numFmtId="166" fontId="0" fillId="0" borderId="0" xfId="0" applyNumberFormat="1"/>
    <xf numFmtId="0" fontId="0" fillId="4" borderId="1" xfId="0" applyFill="1" applyBorder="1"/>
    <xf numFmtId="3" fontId="0" fillId="4" borderId="1" xfId="0" applyNumberFormat="1" applyFill="1" applyBorder="1"/>
    <xf numFmtId="3" fontId="0" fillId="4" borderId="2" xfId="0" applyNumberFormat="1" applyFill="1" applyBorder="1"/>
    <xf numFmtId="0" fontId="4" fillId="5" borderId="1" xfId="0" applyFont="1" applyFill="1" applyBorder="1"/>
    <xf numFmtId="0" fontId="0" fillId="5" borderId="1" xfId="0" applyFill="1" applyBorder="1"/>
    <xf numFmtId="4" fontId="0" fillId="6" borderId="1" xfId="0" applyNumberFormat="1" applyFill="1" applyBorder="1"/>
    <xf numFmtId="4" fontId="0" fillId="7" borderId="1" xfId="0" applyNumberFormat="1" applyFill="1" applyBorder="1"/>
    <xf numFmtId="4" fontId="0" fillId="8" borderId="1" xfId="0" applyNumberFormat="1" applyFill="1" applyBorder="1"/>
    <xf numFmtId="2" fontId="0" fillId="0" borderId="1" xfId="0" applyNumberFormat="1" applyBorder="1"/>
    <xf numFmtId="10" fontId="0" fillId="0" borderId="1" xfId="0" applyNumberFormat="1" applyBorder="1"/>
    <xf numFmtId="165" fontId="0" fillId="2" borderId="0" xfId="0" applyNumberFormat="1" applyFill="1"/>
    <xf numFmtId="1" fontId="0" fillId="0" borderId="0" xfId="0" applyNumberFormat="1"/>
    <xf numFmtId="1" fontId="3" fillId="0" borderId="1" xfId="0" applyNumberFormat="1" applyFont="1" applyBorder="1" applyAlignment="1">
      <alignment horizontal="center" wrapText="1"/>
    </xf>
    <xf numFmtId="1" fontId="3" fillId="0" borderId="2" xfId="0" applyNumberFormat="1" applyFont="1" applyBorder="1" applyAlignment="1">
      <alignment horizontal="center" wrapText="1"/>
    </xf>
    <xf numFmtId="0" fontId="0" fillId="0" borderId="0" xfId="0" applyBorder="1"/>
    <xf numFmtId="0" fontId="3" fillId="0" borderId="0" xfId="0" applyFont="1" applyBorder="1" applyAlignment="1">
      <alignment horizontal="center" wrapText="1"/>
    </xf>
    <xf numFmtId="164" fontId="3" fillId="0" borderId="0" xfId="1" applyNumberFormat="1" applyFont="1" applyBorder="1" applyAlignment="1">
      <alignment horizontal="right" wrapText="1"/>
    </xf>
    <xf numFmtId="164" fontId="7" fillId="0" borderId="0" xfId="1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/>
    </xf>
  </cellXfs>
  <cellStyles count="2">
    <cellStyle name="Обычный" xfId="0" builtinId="0"/>
    <cellStyle name="Обычный 2" xfId="1" xr:uid="{7410246B-979B-F14D-B36A-7B1CC85732C8}"/>
  </cellStyles>
  <dxfs count="12">
    <dxf>
      <fill>
        <patternFill>
          <bgColor theme="6" tint="0.59996337778862885"/>
        </patternFill>
      </fill>
    </dxf>
    <dxf>
      <fill>
        <patternFill>
          <bgColor rgb="FFFFFFCC"/>
        </patternFill>
      </fill>
    </dxf>
    <dxf>
      <fill>
        <patternFill>
          <bgColor rgb="FFF8ECB8"/>
        </patternFill>
      </fill>
    </dxf>
    <dxf>
      <fill>
        <patternFill>
          <bgColor rgb="FFF2DCDB"/>
        </patternFill>
      </fill>
    </dxf>
    <dxf>
      <fill>
        <patternFill>
          <bgColor theme="6" tint="0.59996337778862885"/>
        </patternFill>
      </fill>
    </dxf>
    <dxf>
      <fill>
        <patternFill>
          <bgColor rgb="FFFFFFCC"/>
        </patternFill>
      </fill>
    </dxf>
    <dxf>
      <fill>
        <patternFill>
          <bgColor rgb="FFF8ECB8"/>
        </patternFill>
      </fill>
    </dxf>
    <dxf>
      <fill>
        <patternFill>
          <bgColor rgb="FFF2DCDB"/>
        </patternFill>
      </fill>
    </dxf>
    <dxf>
      <fill>
        <patternFill>
          <bgColor theme="6" tint="0.59996337778862885"/>
        </patternFill>
      </fill>
    </dxf>
    <dxf>
      <fill>
        <patternFill>
          <bgColor rgb="FFFFFFCC"/>
        </patternFill>
      </fill>
    </dxf>
    <dxf>
      <fill>
        <patternFill>
          <bgColor rgb="FFF8ECB8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смертности</a:t>
            </a:r>
            <a:r>
              <a:rPr lang="ru-RU" baseline="0"/>
              <a:t> на 1000 человек </a:t>
            </a:r>
          </a:p>
          <a:p>
            <a:pPr>
              <a:defRPr/>
            </a:pPr>
            <a:r>
              <a:rPr lang="ru-RU" baseline="0"/>
              <a:t>(1950-2023)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LV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Смертность!$B$50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Смертность!$A$51:$A$55</c:f>
              <c:strCache>
                <c:ptCount val="5"/>
                <c:pt idx="0">
                  <c:v>7,4–9,24</c:v>
                </c:pt>
                <c:pt idx="1">
                  <c:v>9,24–11,08</c:v>
                </c:pt>
                <c:pt idx="2">
                  <c:v>11,08–12,92</c:v>
                </c:pt>
                <c:pt idx="3">
                  <c:v>12,92–14,76</c:v>
                </c:pt>
                <c:pt idx="4">
                  <c:v>14,76–16,6</c:v>
                </c:pt>
              </c:strCache>
            </c:strRef>
          </c:cat>
          <c:val>
            <c:numRef>
              <c:f>Смертность!$B$51:$B$55</c:f>
              <c:numCache>
                <c:formatCode>General</c:formatCode>
                <c:ptCount val="5"/>
                <c:pt idx="0">
                  <c:v>19</c:v>
                </c:pt>
                <c:pt idx="1">
                  <c:v>16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B-9846-9D4D-C9F8FEC4D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5"/>
        <c:overlap val="7"/>
        <c:axId val="236663920"/>
        <c:axId val="138541008"/>
      </c:barChart>
      <c:catAx>
        <c:axId val="23666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Смертность на 1000 человек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LV"/>
          </a:p>
        </c:txPr>
        <c:crossAx val="138541008"/>
        <c:crosses val="autoZero"/>
        <c:auto val="1"/>
        <c:lblAlgn val="ctr"/>
        <c:lblOffset val="100"/>
        <c:noMultiLvlLbl val="0"/>
      </c:catAx>
      <c:valAx>
        <c:axId val="13854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LV"/>
          </a:p>
        </c:txPr>
        <c:crossAx val="23666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LV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Смертей на 1000 человек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  <c:spPr>
              <a:ln w="28575"/>
            </c:spPr>
          </c:marker>
          <c:cat>
            <c:numRef>
              <c:f>Смертность!$A$63:$A$86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Смертность!$A$63:$A$86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5-6D4F-82EF-A80AEE3484F5}"/>
            </c:ext>
          </c:extLst>
        </c:ser>
        <c:ser>
          <c:idx val="1"/>
          <c:order val="1"/>
          <c:spPr>
            <a:ln w="38100">
              <a:solidFill>
                <a:srgbClr val="FFC000"/>
              </a:solidFill>
            </a:ln>
          </c:spPr>
          <c:marker>
            <c:symbol val="circle"/>
            <c:size val="7"/>
            <c:spPr>
              <a:ln w="1270"/>
            </c:spPr>
          </c:marker>
          <c:cat>
            <c:numRef>
              <c:f>Смертность!$A$63:$A$86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Смертность!$B$63:$B$86</c:f>
              <c:numCache>
                <c:formatCode>0.0</c:formatCode>
                <c:ptCount val="24"/>
                <c:pt idx="0">
                  <c:v>15.3</c:v>
                </c:pt>
                <c:pt idx="1">
                  <c:v>15.6</c:v>
                </c:pt>
                <c:pt idx="2">
                  <c:v>16.2</c:v>
                </c:pt>
                <c:pt idx="3">
                  <c:v>16.399999999999999</c:v>
                </c:pt>
                <c:pt idx="4">
                  <c:v>15.9</c:v>
                </c:pt>
                <c:pt idx="5">
                  <c:v>16.100000000000001</c:v>
                </c:pt>
                <c:pt idx="6">
                  <c:v>15.1</c:v>
                </c:pt>
                <c:pt idx="7">
                  <c:v>14.6</c:v>
                </c:pt>
                <c:pt idx="8">
                  <c:v>14.5</c:v>
                </c:pt>
                <c:pt idx="9">
                  <c:v>14.1</c:v>
                </c:pt>
                <c:pt idx="10">
                  <c:v>14.2</c:v>
                </c:pt>
                <c:pt idx="11">
                  <c:v>13.5</c:v>
                </c:pt>
                <c:pt idx="12">
                  <c:v>13.3</c:v>
                </c:pt>
                <c:pt idx="13">
                  <c:v>13</c:v>
                </c:pt>
                <c:pt idx="14">
                  <c:v>13.1</c:v>
                </c:pt>
                <c:pt idx="15">
                  <c:v>13</c:v>
                </c:pt>
                <c:pt idx="16">
                  <c:v>12.8</c:v>
                </c:pt>
                <c:pt idx="17">
                  <c:v>12.4</c:v>
                </c:pt>
                <c:pt idx="18">
                  <c:v>12.4</c:v>
                </c:pt>
                <c:pt idx="19">
                  <c:v>12.2</c:v>
                </c:pt>
                <c:pt idx="20">
                  <c:v>14.5</c:v>
                </c:pt>
                <c:pt idx="21">
                  <c:v>16.600000000000001</c:v>
                </c:pt>
                <c:pt idx="22">
                  <c:v>12.9</c:v>
                </c:pt>
                <c:pt idx="23">
                  <c:v>12.1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25-6D4F-82EF-A80AEE348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98788"/>
        <c:axId val="298843430"/>
      </c:lineChart>
      <c:catAx>
        <c:axId val="2076987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Годы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2700000" vert="horz" anchor="ctr" anchorCtr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LV"/>
          </a:p>
        </c:txPr>
        <c:crossAx val="298843430"/>
        <c:crosses val="autoZero"/>
        <c:auto val="1"/>
        <c:lblAlgn val="ctr"/>
        <c:lblOffset val="100"/>
        <c:noMultiLvlLbl val="1"/>
      </c:catAx>
      <c:valAx>
        <c:axId val="298843430"/>
        <c:scaling>
          <c:orientation val="minMax"/>
          <c:max val="17"/>
          <c:min val="1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смертей на 1000 человек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LV"/>
          </a:p>
        </c:txPr>
        <c:crossAx val="20769878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смертности</a:t>
            </a:r>
            <a:r>
              <a:rPr lang="ru-RU" baseline="0"/>
              <a:t> на 1000 человек </a:t>
            </a:r>
          </a:p>
          <a:p>
            <a:pPr>
              <a:defRPr/>
            </a:pPr>
            <a:r>
              <a:rPr lang="ru-RU" baseline="0"/>
              <a:t>(2020-2023)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Смертность!$B$115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Смертность!$A$116:$A$120</c:f>
              <c:strCache>
                <c:ptCount val="5"/>
                <c:pt idx="0">
                  <c:v>12.1–13.0</c:v>
                </c:pt>
                <c:pt idx="1">
                  <c:v>13.0–13.9</c:v>
                </c:pt>
                <c:pt idx="2">
                  <c:v>13.9–14.8</c:v>
                </c:pt>
                <c:pt idx="3">
                  <c:v>14.8–15.7</c:v>
                </c:pt>
                <c:pt idx="4">
                  <c:v>15.7–16.6</c:v>
                </c:pt>
              </c:strCache>
            </c:strRef>
          </c:cat>
          <c:val>
            <c:numRef>
              <c:f>Смертность!$B$116:$B$120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0-FA40-BBCA-62831381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5"/>
        <c:overlap val="7"/>
        <c:axId val="236663920"/>
        <c:axId val="138541008"/>
      </c:barChart>
      <c:catAx>
        <c:axId val="23666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Смертность на 1000 человек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LV"/>
          </a:p>
        </c:txPr>
        <c:crossAx val="138541008"/>
        <c:crosses val="autoZero"/>
        <c:auto val="1"/>
        <c:lblAlgn val="ctr"/>
        <c:lblOffset val="100"/>
        <c:noMultiLvlLbl val="0"/>
      </c:catAx>
      <c:valAx>
        <c:axId val="13854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LV"/>
          </a:p>
        </c:txPr>
        <c:crossAx val="23666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LV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смертности мужчин по возрасту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LV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Смертность!$A$168:$A$174</c:f>
              <c:strCache>
                <c:ptCount val="7"/>
                <c:pt idx="0">
                  <c:v>0; 4</c:v>
                </c:pt>
                <c:pt idx="1">
                  <c:v>5; 14</c:v>
                </c:pt>
                <c:pt idx="2">
                  <c:v>15; 29</c:v>
                </c:pt>
                <c:pt idx="3">
                  <c:v>30; 49</c:v>
                </c:pt>
                <c:pt idx="4">
                  <c:v>50; 59</c:v>
                </c:pt>
                <c:pt idx="5">
                  <c:v>60; 69</c:v>
                </c:pt>
                <c:pt idx="6">
                  <c:v>70+</c:v>
                </c:pt>
              </c:strCache>
            </c:strRef>
          </c:cat>
          <c:val>
            <c:numRef>
              <c:f>Смертность!$B$168:$B$174</c:f>
              <c:numCache>
                <c:formatCode>#,##0.00</c:formatCode>
                <c:ptCount val="7"/>
                <c:pt idx="0">
                  <c:v>0.14400000000000002</c:v>
                </c:pt>
                <c:pt idx="1">
                  <c:v>6.2E-2</c:v>
                </c:pt>
                <c:pt idx="2">
                  <c:v>0.76800000000000002</c:v>
                </c:pt>
                <c:pt idx="3">
                  <c:v>2.6139999999999999</c:v>
                </c:pt>
                <c:pt idx="4">
                  <c:v>1.8009999999999999</c:v>
                </c:pt>
                <c:pt idx="5">
                  <c:v>3.0680000000000001</c:v>
                </c:pt>
                <c:pt idx="6">
                  <c:v>3.3480000000000003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E-D041-BA52-B4A5AC1FC81A}"/>
            </c:ext>
          </c:extLst>
        </c:ser>
        <c:ser>
          <c:idx val="1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Смертность!$A$168:$A$174</c:f>
              <c:strCache>
                <c:ptCount val="7"/>
                <c:pt idx="0">
                  <c:v>0; 4</c:v>
                </c:pt>
                <c:pt idx="1">
                  <c:v>5; 14</c:v>
                </c:pt>
                <c:pt idx="2">
                  <c:v>15; 29</c:v>
                </c:pt>
                <c:pt idx="3">
                  <c:v>30; 49</c:v>
                </c:pt>
                <c:pt idx="4">
                  <c:v>50; 59</c:v>
                </c:pt>
                <c:pt idx="5">
                  <c:v>60; 69</c:v>
                </c:pt>
                <c:pt idx="6">
                  <c:v>70+</c:v>
                </c:pt>
              </c:strCache>
            </c:strRef>
          </c:cat>
          <c:val>
            <c:numRef>
              <c:f>Смертность!$C$168:$C$174</c:f>
              <c:numCache>
                <c:formatCode>#,##0.00</c:formatCode>
                <c:ptCount val="7"/>
                <c:pt idx="0">
                  <c:v>9.6948949909382201E-2</c:v>
                </c:pt>
                <c:pt idx="1">
                  <c:v>2.6000000000000002E-2</c:v>
                </c:pt>
                <c:pt idx="2">
                  <c:v>0.48499999999999999</c:v>
                </c:pt>
                <c:pt idx="3">
                  <c:v>1.9240000000000002</c:v>
                </c:pt>
                <c:pt idx="4">
                  <c:v>2.117</c:v>
                </c:pt>
                <c:pt idx="5">
                  <c:v>1.94354219744696</c:v>
                </c:pt>
                <c:pt idx="6">
                  <c:v>3.94561313162423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E-D041-BA52-B4A5AC1FC81A}"/>
            </c:ext>
          </c:extLst>
        </c:ser>
        <c:ser>
          <c:idx val="2"/>
          <c:order val="2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Смертность!$A$168:$A$174</c:f>
              <c:strCache>
                <c:ptCount val="7"/>
                <c:pt idx="0">
                  <c:v>0; 4</c:v>
                </c:pt>
                <c:pt idx="1">
                  <c:v>5; 14</c:v>
                </c:pt>
                <c:pt idx="2">
                  <c:v>15; 29</c:v>
                </c:pt>
                <c:pt idx="3">
                  <c:v>30; 49</c:v>
                </c:pt>
                <c:pt idx="4">
                  <c:v>50; 59</c:v>
                </c:pt>
                <c:pt idx="5">
                  <c:v>60; 69</c:v>
                </c:pt>
                <c:pt idx="6">
                  <c:v>70+</c:v>
                </c:pt>
              </c:strCache>
            </c:strRef>
          </c:cat>
          <c:val>
            <c:numRef>
              <c:f>Смертность!$D$168:$D$174</c:f>
              <c:numCache>
                <c:formatCode>#,##0.00</c:formatCode>
                <c:ptCount val="7"/>
                <c:pt idx="0">
                  <c:v>4.6620715285377499E-2</c:v>
                </c:pt>
                <c:pt idx="1">
                  <c:v>1.9619592182909998E-2</c:v>
                </c:pt>
                <c:pt idx="2">
                  <c:v>0.16</c:v>
                </c:pt>
                <c:pt idx="3">
                  <c:v>1.4923633918199299</c:v>
                </c:pt>
                <c:pt idx="4">
                  <c:v>1.5640000000000001</c:v>
                </c:pt>
                <c:pt idx="5">
                  <c:v>2.9256473641543197</c:v>
                </c:pt>
                <c:pt idx="6">
                  <c:v>4.57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7E-D041-BA52-B4A5AC1FC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866959"/>
        <c:axId val="5506688"/>
      </c:lineChart>
      <c:catAx>
        <c:axId val="213486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LV"/>
          </a:p>
        </c:txPr>
        <c:crossAx val="5506688"/>
        <c:crosses val="autoZero"/>
        <c:auto val="1"/>
        <c:lblAlgn val="ctr"/>
        <c:lblOffset val="100"/>
        <c:noMultiLvlLbl val="0"/>
      </c:catAx>
      <c:valAx>
        <c:axId val="55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LV"/>
          </a:p>
        </c:txPr>
        <c:crossAx val="213486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LV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смертности женщин по возрасту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LV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Смертность!$A$192:$A$198</c:f>
              <c:strCache>
                <c:ptCount val="7"/>
                <c:pt idx="0">
                  <c:v>0; 4</c:v>
                </c:pt>
                <c:pt idx="1">
                  <c:v>5; 14</c:v>
                </c:pt>
                <c:pt idx="2">
                  <c:v>15; 29</c:v>
                </c:pt>
                <c:pt idx="3">
                  <c:v>30; 49</c:v>
                </c:pt>
                <c:pt idx="4">
                  <c:v>50; 59</c:v>
                </c:pt>
                <c:pt idx="5">
                  <c:v>60; 69</c:v>
                </c:pt>
                <c:pt idx="6">
                  <c:v>70+</c:v>
                </c:pt>
              </c:strCache>
            </c:strRef>
          </c:cat>
          <c:val>
            <c:numRef>
              <c:f>Смертность!$B$192:$B$198</c:f>
              <c:numCache>
                <c:formatCode>#,##0.00</c:formatCode>
                <c:ptCount val="7"/>
                <c:pt idx="0">
                  <c:v>0.10400000000000001</c:v>
                </c:pt>
                <c:pt idx="1">
                  <c:v>3.3986134336640002E-2</c:v>
                </c:pt>
                <c:pt idx="2">
                  <c:v>0.188</c:v>
                </c:pt>
                <c:pt idx="3">
                  <c:v>0.752</c:v>
                </c:pt>
                <c:pt idx="4">
                  <c:v>0.71599999999999997</c:v>
                </c:pt>
                <c:pt idx="5">
                  <c:v>1.7730000000000001</c:v>
                </c:pt>
                <c:pt idx="6">
                  <c:v>6.7810000000000006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6-B84B-B909-38AF73D56698}"/>
            </c:ext>
          </c:extLst>
        </c:ser>
        <c:ser>
          <c:idx val="1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Смертность!$A$192:$A$198</c:f>
              <c:strCache>
                <c:ptCount val="7"/>
                <c:pt idx="0">
                  <c:v>0; 4</c:v>
                </c:pt>
                <c:pt idx="1">
                  <c:v>5; 14</c:v>
                </c:pt>
                <c:pt idx="2">
                  <c:v>15; 29</c:v>
                </c:pt>
                <c:pt idx="3">
                  <c:v>30; 49</c:v>
                </c:pt>
                <c:pt idx="4">
                  <c:v>50; 59</c:v>
                </c:pt>
                <c:pt idx="5">
                  <c:v>60; 69</c:v>
                </c:pt>
                <c:pt idx="6">
                  <c:v>70+</c:v>
                </c:pt>
              </c:strCache>
            </c:strRef>
          </c:cat>
          <c:val>
            <c:numRef>
              <c:f>Смертность!$C$192:$C$198</c:f>
              <c:numCache>
                <c:formatCode>#,##0.00</c:formatCode>
                <c:ptCount val="7"/>
                <c:pt idx="0">
                  <c:v>7.2999999999999995E-2</c:v>
                </c:pt>
                <c:pt idx="1">
                  <c:v>1.7000000000000001E-2</c:v>
                </c:pt>
                <c:pt idx="2">
                  <c:v>0.14800000000000002</c:v>
                </c:pt>
                <c:pt idx="3">
                  <c:v>0.63</c:v>
                </c:pt>
                <c:pt idx="4">
                  <c:v>0.89429157777574009</c:v>
                </c:pt>
                <c:pt idx="5">
                  <c:v>1.11865675186622</c:v>
                </c:pt>
                <c:pt idx="6">
                  <c:v>6.8374427804457198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56-B84B-B909-38AF73D56698}"/>
            </c:ext>
          </c:extLst>
        </c:ser>
        <c:ser>
          <c:idx val="2"/>
          <c:order val="2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Смертность!$A$192:$A$198</c:f>
              <c:strCache>
                <c:ptCount val="7"/>
                <c:pt idx="0">
                  <c:v>0; 4</c:v>
                </c:pt>
                <c:pt idx="1">
                  <c:v>5; 14</c:v>
                </c:pt>
                <c:pt idx="2">
                  <c:v>15; 29</c:v>
                </c:pt>
                <c:pt idx="3">
                  <c:v>30; 49</c:v>
                </c:pt>
                <c:pt idx="4">
                  <c:v>50; 59</c:v>
                </c:pt>
                <c:pt idx="5">
                  <c:v>60; 69</c:v>
                </c:pt>
                <c:pt idx="6">
                  <c:v>70+</c:v>
                </c:pt>
              </c:strCache>
            </c:strRef>
          </c:cat>
          <c:val>
            <c:numRef>
              <c:f>Смертность!$D$192:$D$198</c:f>
              <c:numCache>
                <c:formatCode>#,##0.00</c:formatCode>
                <c:ptCount val="7"/>
                <c:pt idx="0">
                  <c:v>3.5816056873162895E-2</c:v>
                </c:pt>
                <c:pt idx="1">
                  <c:v>1.2533596065449999E-2</c:v>
                </c:pt>
                <c:pt idx="2">
                  <c:v>5.9955652595729998E-2</c:v>
                </c:pt>
                <c:pt idx="3">
                  <c:v>0.59315648258894005</c:v>
                </c:pt>
                <c:pt idx="4">
                  <c:v>0.71700000000000008</c:v>
                </c:pt>
                <c:pt idx="5">
                  <c:v>1.673</c:v>
                </c:pt>
                <c:pt idx="6">
                  <c:v>7.718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56-B84B-B909-38AF73D56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866959"/>
        <c:axId val="5506688"/>
      </c:lineChart>
      <c:catAx>
        <c:axId val="213486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LV"/>
          </a:p>
        </c:txPr>
        <c:crossAx val="5506688"/>
        <c:crosses val="autoZero"/>
        <c:auto val="1"/>
        <c:lblAlgn val="ctr"/>
        <c:lblOffset val="100"/>
        <c:noMultiLvlLbl val="0"/>
      </c:catAx>
      <c:valAx>
        <c:axId val="55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LV"/>
          </a:p>
        </c:txPr>
        <c:crossAx val="213486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LV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Смертей на 1000 чел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LV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Смертность!$B$1</c:f>
              <c:strCache>
                <c:ptCount val="1"/>
                <c:pt idx="0">
                  <c:v>Смертность на 1000 чел</c:v>
                </c:pt>
              </c:strCache>
            </c:strRef>
          </c:tx>
          <c:spPr>
            <a:ln w="19050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Смертность!$A$2:$A$31</c:f>
              <c:numCache>
                <c:formatCode>0</c:formatCode>
                <c:ptCount val="30"/>
                <c:pt idx="0">
                  <c:v>1950</c:v>
                </c:pt>
                <c:pt idx="1">
                  <c:v>1960</c:v>
                </c:pt>
                <c:pt idx="2">
                  <c:v>1970</c:v>
                </c:pt>
                <c:pt idx="3">
                  <c:v>1980</c:v>
                </c:pt>
                <c:pt idx="4">
                  <c:v>1990</c:v>
                </c:pt>
                <c:pt idx="5">
                  <c:v>1995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2021</c:v>
                </c:pt>
                <c:pt idx="28">
                  <c:v>2022</c:v>
                </c:pt>
                <c:pt idx="29">
                  <c:v>2023</c:v>
                </c:pt>
              </c:numCache>
            </c:numRef>
          </c:xVal>
          <c:yVal>
            <c:numRef>
              <c:f>Смертность!$B$2:$B$31</c:f>
              <c:numCache>
                <c:formatCode>0.0</c:formatCode>
                <c:ptCount val="30"/>
                <c:pt idx="0">
                  <c:v>10.1</c:v>
                </c:pt>
                <c:pt idx="1">
                  <c:v>7.4</c:v>
                </c:pt>
                <c:pt idx="2">
                  <c:v>8.6999999999999993</c:v>
                </c:pt>
                <c:pt idx="3">
                  <c:v>11</c:v>
                </c:pt>
                <c:pt idx="4">
                  <c:v>11.2</c:v>
                </c:pt>
                <c:pt idx="5">
                  <c:v>15</c:v>
                </c:pt>
                <c:pt idx="6">
                  <c:v>15.3</c:v>
                </c:pt>
                <c:pt idx="7">
                  <c:v>15.6</c:v>
                </c:pt>
                <c:pt idx="8">
                  <c:v>16.2</c:v>
                </c:pt>
                <c:pt idx="9">
                  <c:v>16.399999999999999</c:v>
                </c:pt>
                <c:pt idx="10">
                  <c:v>15.9</c:v>
                </c:pt>
                <c:pt idx="11">
                  <c:v>16.100000000000001</c:v>
                </c:pt>
                <c:pt idx="12">
                  <c:v>15.1</c:v>
                </c:pt>
                <c:pt idx="13">
                  <c:v>14.6</c:v>
                </c:pt>
                <c:pt idx="14">
                  <c:v>14.5</c:v>
                </c:pt>
                <c:pt idx="15">
                  <c:v>14.1</c:v>
                </c:pt>
                <c:pt idx="16">
                  <c:v>14.2</c:v>
                </c:pt>
                <c:pt idx="17">
                  <c:v>13.5</c:v>
                </c:pt>
                <c:pt idx="18">
                  <c:v>13.3</c:v>
                </c:pt>
                <c:pt idx="19">
                  <c:v>13</c:v>
                </c:pt>
                <c:pt idx="20">
                  <c:v>13.1</c:v>
                </c:pt>
                <c:pt idx="21">
                  <c:v>13</c:v>
                </c:pt>
                <c:pt idx="22">
                  <c:v>12.8</c:v>
                </c:pt>
                <c:pt idx="23">
                  <c:v>12.4</c:v>
                </c:pt>
                <c:pt idx="24">
                  <c:v>12.4</c:v>
                </c:pt>
                <c:pt idx="25">
                  <c:v>12.2</c:v>
                </c:pt>
                <c:pt idx="26">
                  <c:v>14.5</c:v>
                </c:pt>
                <c:pt idx="27">
                  <c:v>16.600000000000001</c:v>
                </c:pt>
                <c:pt idx="28">
                  <c:v>12.9</c:v>
                </c:pt>
                <c:pt idx="29">
                  <c:v>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A1-2248-A968-B1702514D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077088"/>
        <c:axId val="312889328"/>
      </c:scatterChart>
      <c:valAx>
        <c:axId val="36907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LV"/>
          </a:p>
        </c:txPr>
        <c:crossAx val="312889328"/>
        <c:crosses val="autoZero"/>
        <c:crossBetween val="midCat"/>
      </c:valAx>
      <c:valAx>
        <c:axId val="31288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LV"/>
          </a:p>
        </c:txPr>
        <c:crossAx val="36907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LV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34351</xdr:colOff>
      <xdr:row>43</xdr:row>
      <xdr:rowOff>120956</xdr:rowOff>
    </xdr:from>
    <xdr:to>
      <xdr:col>9</xdr:col>
      <xdr:colOff>734457</xdr:colOff>
      <xdr:row>58</xdr:row>
      <xdr:rowOff>107109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C8A9CEF-A49C-6888-05B4-2BDD2AD10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780361</xdr:colOff>
      <xdr:row>77</xdr:row>
      <xdr:rowOff>198915</xdr:rowOff>
    </xdr:from>
    <xdr:ext cx="7553325" cy="4667250"/>
    <xdr:graphicFrame macro="">
      <xdr:nvGraphicFramePr>
        <xdr:cNvPr id="7" name="Chart 1" title="Диаграмма">
          <a:extLst>
            <a:ext uri="{FF2B5EF4-FFF2-40B4-BE49-F238E27FC236}">
              <a16:creationId xmlns:a16="http://schemas.microsoft.com/office/drawing/2014/main" id="{41A28979-A3A9-F341-95F8-4E3F4676B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twoCellAnchor>
    <xdr:from>
      <xdr:col>5</xdr:col>
      <xdr:colOff>0</xdr:colOff>
      <xdr:row>105</xdr:row>
      <xdr:rowOff>0</xdr:rowOff>
    </xdr:from>
    <xdr:to>
      <xdr:col>9</xdr:col>
      <xdr:colOff>780361</xdr:colOff>
      <xdr:row>119</xdr:row>
      <xdr:rowOff>168313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2135590-A1CF-8B4D-9555-B8242C841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497319</xdr:colOff>
      <xdr:row>165</xdr:row>
      <xdr:rowOff>153586</xdr:rowOff>
    </xdr:from>
    <xdr:to>
      <xdr:col>11</xdr:col>
      <xdr:colOff>203200</xdr:colOff>
      <xdr:row>184</xdr:row>
      <xdr:rowOff>177799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A02843B6-4043-D81E-46DF-22E0DD987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190</xdr:row>
      <xdr:rowOff>0</xdr:rowOff>
    </xdr:from>
    <xdr:to>
      <xdr:col>12</xdr:col>
      <xdr:colOff>63500</xdr:colOff>
      <xdr:row>210</xdr:row>
      <xdr:rowOff>50800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85C6FDE0-3F0F-9D42-8FA8-9EBF25CDE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22410</xdr:colOff>
      <xdr:row>17</xdr:row>
      <xdr:rowOff>92634</xdr:rowOff>
    </xdr:from>
    <xdr:to>
      <xdr:col>13</xdr:col>
      <xdr:colOff>552824</xdr:colOff>
      <xdr:row>36</xdr:row>
      <xdr:rowOff>164352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B4CDA88C-F8C4-13A8-47A1-63BFFFEBE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DA6B-5479-1E41-BF39-58A0905008B4}">
  <dimension ref="A1:AE215"/>
  <sheetViews>
    <sheetView tabSelected="1" zoomScale="66" workbookViewId="0">
      <selection activeCell="AD1" sqref="AD1:AG59"/>
    </sheetView>
  </sheetViews>
  <sheetFormatPr baseColWidth="10" defaultRowHeight="16" x14ac:dyDescent="0.2"/>
  <cols>
    <col min="1" max="1" width="28" customWidth="1"/>
    <col min="2" max="2" width="11.6640625" bestFit="1" customWidth="1"/>
    <col min="6" max="6" width="21.83203125" customWidth="1"/>
    <col min="31" max="31" width="10.83203125" style="31"/>
  </cols>
  <sheetData>
    <row r="1" spans="1:29" x14ac:dyDescent="0.2">
      <c r="A1" t="s">
        <v>0</v>
      </c>
      <c r="B1" t="s">
        <v>1</v>
      </c>
      <c r="F1" s="9" t="s">
        <v>2</v>
      </c>
      <c r="G1" s="5"/>
      <c r="X1" s="38">
        <v>1950</v>
      </c>
      <c r="Y1" s="37">
        <v>10.1</v>
      </c>
      <c r="AA1" s="34"/>
      <c r="AB1" s="35"/>
      <c r="AC1" s="36"/>
    </row>
    <row r="2" spans="1:29" x14ac:dyDescent="0.2">
      <c r="A2" s="32">
        <v>1950</v>
      </c>
      <c r="B2" s="2">
        <v>10.1</v>
      </c>
      <c r="F2" s="5" t="s">
        <v>9</v>
      </c>
      <c r="G2" s="6">
        <f>MAX(B2:B31)</f>
        <v>16.600000000000001</v>
      </c>
      <c r="H2">
        <v>2021</v>
      </c>
      <c r="X2" s="39">
        <v>1951</v>
      </c>
      <c r="Y2" s="39">
        <f>Y1-(Y$1-Y$11)/10</f>
        <v>9.83</v>
      </c>
      <c r="AA2" s="34"/>
      <c r="AB2" s="35"/>
      <c r="AC2" s="36"/>
    </row>
    <row r="3" spans="1:29" x14ac:dyDescent="0.2">
      <c r="A3" s="33">
        <v>1960</v>
      </c>
      <c r="B3" s="2">
        <v>7.4</v>
      </c>
      <c r="F3" s="5" t="s">
        <v>10</v>
      </c>
      <c r="G3" s="6">
        <f>MIN(B2:B31)</f>
        <v>7.4</v>
      </c>
      <c r="H3">
        <v>1960</v>
      </c>
      <c r="X3" s="38">
        <v>1952</v>
      </c>
      <c r="Y3" s="39">
        <f>Y2-(Y$1-Y$11)/10</f>
        <v>9.56</v>
      </c>
      <c r="AA3" s="34"/>
      <c r="AB3" s="35"/>
      <c r="AC3" s="36"/>
    </row>
    <row r="4" spans="1:29" x14ac:dyDescent="0.2">
      <c r="A4" s="33">
        <v>1970</v>
      </c>
      <c r="B4" s="2">
        <v>8.6999999999999993</v>
      </c>
      <c r="F4" s="5" t="s">
        <v>13</v>
      </c>
      <c r="G4" s="6">
        <f>G2-G3</f>
        <v>9.2000000000000011</v>
      </c>
      <c r="H4" t="s">
        <v>14</v>
      </c>
      <c r="X4" s="39">
        <v>1953</v>
      </c>
      <c r="Y4" s="39">
        <f>Y3-(Y$1-Y$11)/10</f>
        <v>9.2900000000000009</v>
      </c>
      <c r="AA4" s="34"/>
      <c r="AB4" s="35"/>
      <c r="AC4" s="36"/>
    </row>
    <row r="5" spans="1:29" x14ac:dyDescent="0.2">
      <c r="A5" s="33">
        <v>1980</v>
      </c>
      <c r="B5" s="2">
        <v>11</v>
      </c>
      <c r="F5" s="5" t="s">
        <v>8</v>
      </c>
      <c r="G5" s="6">
        <f>AVERAGE(B2:B31)</f>
        <v>13.44</v>
      </c>
      <c r="H5" t="s">
        <v>19</v>
      </c>
      <c r="X5" s="38">
        <v>1954</v>
      </c>
      <c r="Y5" s="39">
        <f t="shared" ref="Y3:Y10" si="0">Y4-(Y$1-Y$11)/10</f>
        <v>9.0200000000000014</v>
      </c>
      <c r="AA5" s="34"/>
      <c r="AB5" s="35"/>
      <c r="AC5" s="36"/>
    </row>
    <row r="6" spans="1:29" x14ac:dyDescent="0.2">
      <c r="A6" s="33">
        <v>1990</v>
      </c>
      <c r="B6" s="2">
        <v>11.2</v>
      </c>
      <c r="F6" s="5" t="s">
        <v>3</v>
      </c>
      <c r="G6" s="6">
        <f>MEDIAN(B2:B31)</f>
        <v>13.4</v>
      </c>
      <c r="X6" s="39">
        <v>1955</v>
      </c>
      <c r="Y6" s="39">
        <f t="shared" si="0"/>
        <v>8.7500000000000018</v>
      </c>
      <c r="AA6" s="34"/>
      <c r="AB6" s="35"/>
      <c r="AC6" s="36"/>
    </row>
    <row r="7" spans="1:29" x14ac:dyDescent="0.2">
      <c r="A7" s="33">
        <v>1995</v>
      </c>
      <c r="B7" s="2">
        <v>15</v>
      </c>
      <c r="F7" s="5" t="s">
        <v>4</v>
      </c>
      <c r="G7" s="6">
        <f>MODE(B2:B31)</f>
        <v>14.5</v>
      </c>
      <c r="H7" t="s">
        <v>18</v>
      </c>
      <c r="X7" s="38">
        <v>1956</v>
      </c>
      <c r="Y7" s="39">
        <f t="shared" si="0"/>
        <v>8.4800000000000022</v>
      </c>
      <c r="AA7" s="34"/>
      <c r="AB7" s="35"/>
      <c r="AC7" s="36"/>
    </row>
    <row r="8" spans="1:29" x14ac:dyDescent="0.2">
      <c r="A8" s="33">
        <v>2000</v>
      </c>
      <c r="B8" s="2">
        <v>15.3</v>
      </c>
      <c r="F8" s="5" t="s">
        <v>5</v>
      </c>
      <c r="G8" s="6">
        <f>VARP(B2:B31)</f>
        <v>4.8404000000000167</v>
      </c>
      <c r="X8" s="39">
        <v>1957</v>
      </c>
      <c r="Y8" s="39">
        <f t="shared" si="0"/>
        <v>8.2100000000000026</v>
      </c>
      <c r="AA8" s="34"/>
      <c r="AB8" s="35"/>
      <c r="AC8" s="36"/>
    </row>
    <row r="9" spans="1:29" x14ac:dyDescent="0.2">
      <c r="A9" s="33">
        <v>2001</v>
      </c>
      <c r="B9" s="2">
        <v>15.6</v>
      </c>
      <c r="F9" s="5" t="s">
        <v>11</v>
      </c>
      <c r="G9" s="6">
        <f>SQRT(G8)</f>
        <v>2.2000909072127035</v>
      </c>
      <c r="X9" s="38">
        <v>1958</v>
      </c>
      <c r="Y9" s="39">
        <f t="shared" si="0"/>
        <v>7.9400000000000031</v>
      </c>
      <c r="AA9" s="34"/>
      <c r="AB9" s="35"/>
      <c r="AC9" s="36"/>
    </row>
    <row r="10" spans="1:29" x14ac:dyDescent="0.2">
      <c r="A10" s="33">
        <v>2002</v>
      </c>
      <c r="B10" s="2">
        <v>16.2</v>
      </c>
      <c r="F10" s="5" t="s">
        <v>7</v>
      </c>
      <c r="G10" s="7">
        <f>STDEV(B2:B31)/AVERAGE(B2:B31)</f>
        <v>0.16649568625322908</v>
      </c>
      <c r="H10" t="s">
        <v>15</v>
      </c>
      <c r="X10" s="39">
        <v>1959</v>
      </c>
      <c r="Y10" s="39">
        <f t="shared" si="0"/>
        <v>7.6700000000000035</v>
      </c>
      <c r="AA10" s="34"/>
      <c r="AB10" s="35"/>
      <c r="AC10" s="36"/>
    </row>
    <row r="11" spans="1:29" x14ac:dyDescent="0.2">
      <c r="A11" s="33">
        <v>2003</v>
      </c>
      <c r="B11" s="2">
        <v>16.399999999999999</v>
      </c>
      <c r="F11" s="5" t="s">
        <v>6</v>
      </c>
      <c r="G11" s="6">
        <f>_xlfn.SKEW.P(B2:B31)</f>
        <v>-0.79908500995435061</v>
      </c>
      <c r="H11" t="s">
        <v>16</v>
      </c>
      <c r="X11" s="38">
        <v>1960</v>
      </c>
      <c r="Y11" s="37">
        <v>7.4</v>
      </c>
      <c r="AA11" s="34"/>
      <c r="AB11" s="35"/>
      <c r="AC11" s="36"/>
    </row>
    <row r="12" spans="1:29" x14ac:dyDescent="0.2">
      <c r="A12" s="33">
        <v>2004</v>
      </c>
      <c r="B12" s="2">
        <v>15.9</v>
      </c>
      <c r="F12" s="5" t="s">
        <v>12</v>
      </c>
      <c r="G12" s="6">
        <f>KURT(B2:B31)</f>
        <v>0.72702832953403762</v>
      </c>
      <c r="H12" t="s">
        <v>17</v>
      </c>
      <c r="X12" s="39">
        <v>1961</v>
      </c>
      <c r="Y12" s="37">
        <f>Y11+(Y$21-Y$11)/10</f>
        <v>7.53</v>
      </c>
      <c r="AA12" s="34"/>
      <c r="AB12" s="35"/>
      <c r="AC12" s="36"/>
    </row>
    <row r="13" spans="1:29" x14ac:dyDescent="0.2">
      <c r="A13" s="33">
        <v>2005</v>
      </c>
      <c r="B13" s="2">
        <v>16.100000000000001</v>
      </c>
      <c r="X13" s="38">
        <v>1962</v>
      </c>
      <c r="Y13" s="37">
        <f t="shared" ref="Y13:Y20" si="1">Y12+(Y$21-Y$11)/10</f>
        <v>7.66</v>
      </c>
      <c r="AA13" s="34"/>
      <c r="AB13" s="35"/>
      <c r="AC13" s="36"/>
    </row>
    <row r="14" spans="1:29" x14ac:dyDescent="0.2">
      <c r="A14" s="33">
        <v>2006</v>
      </c>
      <c r="B14" s="2">
        <v>15.1</v>
      </c>
      <c r="X14" s="39">
        <v>1963</v>
      </c>
      <c r="Y14" s="37">
        <f t="shared" si="1"/>
        <v>7.79</v>
      </c>
      <c r="AA14" s="34"/>
      <c r="AB14" s="35"/>
      <c r="AC14" s="36"/>
    </row>
    <row r="15" spans="1:29" x14ac:dyDescent="0.2">
      <c r="A15" s="33">
        <v>2007</v>
      </c>
      <c r="B15" s="2">
        <v>14.6</v>
      </c>
      <c r="X15" s="38">
        <v>1964</v>
      </c>
      <c r="Y15" s="37">
        <f t="shared" si="1"/>
        <v>7.92</v>
      </c>
      <c r="AA15" s="34"/>
      <c r="AB15" s="35"/>
      <c r="AC15" s="36"/>
    </row>
    <row r="16" spans="1:29" x14ac:dyDescent="0.2">
      <c r="A16" s="33">
        <v>2008</v>
      </c>
      <c r="B16" s="2">
        <v>14.5</v>
      </c>
      <c r="F16" s="11" t="s">
        <v>20</v>
      </c>
      <c r="X16" s="39">
        <v>1965</v>
      </c>
      <c r="Y16" s="37">
        <f t="shared" si="1"/>
        <v>8.0500000000000007</v>
      </c>
      <c r="AA16" s="34"/>
      <c r="AB16" s="35"/>
      <c r="AC16" s="36"/>
    </row>
    <row r="17" spans="1:29" x14ac:dyDescent="0.2">
      <c r="A17" s="33">
        <v>2009</v>
      </c>
      <c r="B17" s="2">
        <v>14.1</v>
      </c>
      <c r="X17" s="38">
        <v>1966</v>
      </c>
      <c r="Y17" s="37">
        <f t="shared" si="1"/>
        <v>8.18</v>
      </c>
      <c r="AA17" s="34"/>
      <c r="AB17" s="35"/>
      <c r="AC17" s="36"/>
    </row>
    <row r="18" spans="1:29" x14ac:dyDescent="0.2">
      <c r="A18" s="33">
        <v>2010</v>
      </c>
      <c r="B18" s="2">
        <v>14.2</v>
      </c>
      <c r="X18" s="39">
        <v>1967</v>
      </c>
      <c r="Y18" s="37">
        <f t="shared" si="1"/>
        <v>8.3099999999999987</v>
      </c>
      <c r="AA18" s="34"/>
      <c r="AB18" s="35"/>
      <c r="AC18" s="36"/>
    </row>
    <row r="19" spans="1:29" x14ac:dyDescent="0.2">
      <c r="A19" s="33">
        <v>2011</v>
      </c>
      <c r="B19" s="2">
        <v>13.5</v>
      </c>
      <c r="X19" s="38">
        <v>1968</v>
      </c>
      <c r="Y19" s="37">
        <f t="shared" si="1"/>
        <v>8.4399999999999977</v>
      </c>
      <c r="AA19" s="34"/>
      <c r="AB19" s="35"/>
      <c r="AC19" s="36"/>
    </row>
    <row r="20" spans="1:29" x14ac:dyDescent="0.2">
      <c r="A20" s="33">
        <v>2012</v>
      </c>
      <c r="B20" s="2">
        <v>13.3</v>
      </c>
      <c r="X20" s="39">
        <v>1969</v>
      </c>
      <c r="Y20" s="37">
        <f t="shared" si="1"/>
        <v>8.5699999999999967</v>
      </c>
      <c r="AA20" s="34"/>
      <c r="AB20" s="35"/>
      <c r="AC20" s="36"/>
    </row>
    <row r="21" spans="1:29" x14ac:dyDescent="0.2">
      <c r="A21" s="33">
        <v>2013</v>
      </c>
      <c r="B21" s="2">
        <v>13</v>
      </c>
      <c r="X21" s="38">
        <v>1970</v>
      </c>
      <c r="Y21" s="37">
        <v>8.6999999999999993</v>
      </c>
      <c r="AA21" s="34"/>
      <c r="AB21" s="35"/>
      <c r="AC21" s="36"/>
    </row>
    <row r="22" spans="1:29" x14ac:dyDescent="0.2">
      <c r="A22" s="33">
        <v>2014</v>
      </c>
      <c r="B22" s="2">
        <v>13.1</v>
      </c>
      <c r="O22" t="s">
        <v>30</v>
      </c>
      <c r="X22" s="38">
        <v>1971</v>
      </c>
      <c r="Y22" s="37">
        <f>Y21+(Y$31-Y$21)/10</f>
        <v>8.93</v>
      </c>
      <c r="AA22" s="34"/>
      <c r="AB22" s="35"/>
      <c r="AC22" s="36"/>
    </row>
    <row r="23" spans="1:29" x14ac:dyDescent="0.2">
      <c r="A23" s="33">
        <v>2015</v>
      </c>
      <c r="B23" s="2">
        <v>13</v>
      </c>
      <c r="X23" s="39">
        <v>1972</v>
      </c>
      <c r="Y23" s="37">
        <f t="shared" ref="Y23:Y30" si="2">Y22+(Y$31-Y$21)/10</f>
        <v>9.16</v>
      </c>
      <c r="AA23" s="34"/>
      <c r="AB23" s="35"/>
      <c r="AC23" s="36"/>
    </row>
    <row r="24" spans="1:29" x14ac:dyDescent="0.2">
      <c r="A24" s="33">
        <v>2016</v>
      </c>
      <c r="B24" s="2">
        <v>12.8</v>
      </c>
      <c r="O24" t="s">
        <v>31</v>
      </c>
      <c r="X24" s="38">
        <v>1973</v>
      </c>
      <c r="Y24" s="37">
        <f t="shared" si="2"/>
        <v>9.39</v>
      </c>
      <c r="AA24" s="34"/>
      <c r="AB24" s="35"/>
      <c r="AC24" s="36"/>
    </row>
    <row r="25" spans="1:29" x14ac:dyDescent="0.2">
      <c r="A25" s="33">
        <v>2017</v>
      </c>
      <c r="B25" s="2">
        <v>12.4</v>
      </c>
      <c r="X25" s="38">
        <v>1974</v>
      </c>
      <c r="Y25" s="37">
        <f t="shared" si="2"/>
        <v>9.620000000000001</v>
      </c>
      <c r="AA25" s="34"/>
      <c r="AB25" s="34"/>
      <c r="AC25" s="34"/>
    </row>
    <row r="26" spans="1:29" x14ac:dyDescent="0.2">
      <c r="A26" s="33">
        <v>2018</v>
      </c>
      <c r="B26" s="2">
        <v>12.4</v>
      </c>
      <c r="O26" t="s">
        <v>32</v>
      </c>
      <c r="X26" s="39">
        <v>1975</v>
      </c>
      <c r="Y26" s="37">
        <f t="shared" si="2"/>
        <v>9.8500000000000014</v>
      </c>
      <c r="AA26" s="34"/>
      <c r="AB26" s="34"/>
      <c r="AC26" s="34"/>
    </row>
    <row r="27" spans="1:29" x14ac:dyDescent="0.2">
      <c r="A27" s="33">
        <v>2019</v>
      </c>
      <c r="B27" s="2">
        <v>12.2</v>
      </c>
      <c r="X27" s="38">
        <v>1976</v>
      </c>
      <c r="Y27" s="37">
        <f t="shared" si="2"/>
        <v>10.080000000000002</v>
      </c>
      <c r="AA27" s="34"/>
      <c r="AB27" s="34"/>
      <c r="AC27" s="34"/>
    </row>
    <row r="28" spans="1:29" x14ac:dyDescent="0.2">
      <c r="A28" s="33">
        <v>2020</v>
      </c>
      <c r="B28" s="2">
        <v>14.5</v>
      </c>
      <c r="O28" t="s">
        <v>33</v>
      </c>
      <c r="X28" s="38">
        <v>1977</v>
      </c>
      <c r="Y28" s="37">
        <f t="shared" si="2"/>
        <v>10.310000000000002</v>
      </c>
      <c r="AA28" s="34"/>
      <c r="AB28" s="34"/>
      <c r="AC28" s="34"/>
    </row>
    <row r="29" spans="1:29" x14ac:dyDescent="0.2">
      <c r="A29" s="33">
        <v>2021</v>
      </c>
      <c r="B29" s="2">
        <v>16.600000000000001</v>
      </c>
      <c r="X29" s="39">
        <v>1978</v>
      </c>
      <c r="Y29" s="37">
        <f t="shared" si="2"/>
        <v>10.540000000000003</v>
      </c>
      <c r="AA29" s="34"/>
      <c r="AB29" s="34"/>
      <c r="AC29" s="34"/>
    </row>
    <row r="30" spans="1:29" x14ac:dyDescent="0.2">
      <c r="A30" s="33">
        <v>2022</v>
      </c>
      <c r="B30" s="2">
        <v>12.9</v>
      </c>
      <c r="O30" t="s">
        <v>34</v>
      </c>
      <c r="X30" s="38">
        <v>1979</v>
      </c>
      <c r="Y30" s="37">
        <f t="shared" si="2"/>
        <v>10.770000000000003</v>
      </c>
      <c r="AA30" s="34"/>
      <c r="AB30" s="34"/>
      <c r="AC30" s="34"/>
    </row>
    <row r="31" spans="1:29" x14ac:dyDescent="0.2">
      <c r="A31" s="33">
        <v>2023</v>
      </c>
      <c r="B31" s="2">
        <v>12.1</v>
      </c>
      <c r="X31" s="38">
        <v>1980</v>
      </c>
      <c r="Y31" s="37">
        <v>11</v>
      </c>
      <c r="AA31" s="34"/>
      <c r="AB31" s="34"/>
      <c r="AC31" s="34"/>
    </row>
    <row r="32" spans="1:29" x14ac:dyDescent="0.2">
      <c r="A32" s="31"/>
      <c r="O32" t="s">
        <v>35</v>
      </c>
      <c r="X32" s="38">
        <v>1981</v>
      </c>
      <c r="Y32" s="37">
        <f>Y31+(Y$41-Y$31)/10</f>
        <v>11.02</v>
      </c>
      <c r="AA32" s="34"/>
      <c r="AB32" s="35"/>
      <c r="AC32" s="36"/>
    </row>
    <row r="33" spans="1:29" x14ac:dyDescent="0.2">
      <c r="A33" s="31"/>
      <c r="X33" s="38">
        <v>1982</v>
      </c>
      <c r="Y33" s="37">
        <f t="shared" ref="Y33:Y40" si="3">Y32+(Y$41-Y$31)/10</f>
        <v>11.04</v>
      </c>
      <c r="AA33" s="34"/>
      <c r="AB33" s="34"/>
      <c r="AC33" s="34"/>
    </row>
    <row r="34" spans="1:29" x14ac:dyDescent="0.2">
      <c r="A34" s="31"/>
      <c r="X34" s="38">
        <v>1983</v>
      </c>
      <c r="Y34" s="37">
        <f t="shared" si="3"/>
        <v>11.059999999999999</v>
      </c>
      <c r="AA34" s="34"/>
      <c r="AB34" s="34"/>
      <c r="AC34" s="34"/>
    </row>
    <row r="35" spans="1:29" x14ac:dyDescent="0.2">
      <c r="A35" s="31"/>
      <c r="X35" s="38">
        <v>1984</v>
      </c>
      <c r="Y35" s="37">
        <f t="shared" si="3"/>
        <v>11.079999999999998</v>
      </c>
      <c r="AA35" s="34"/>
      <c r="AB35" s="34"/>
      <c r="AC35" s="34"/>
    </row>
    <row r="36" spans="1:29" x14ac:dyDescent="0.2">
      <c r="A36" s="31"/>
      <c r="X36" s="38">
        <v>1985</v>
      </c>
      <c r="Y36" s="37">
        <f t="shared" si="3"/>
        <v>11.099999999999998</v>
      </c>
      <c r="AA36" s="34"/>
      <c r="AB36" s="34"/>
      <c r="AC36" s="34"/>
    </row>
    <row r="37" spans="1:29" x14ac:dyDescent="0.2">
      <c r="A37" s="31"/>
      <c r="X37" s="38">
        <v>1986</v>
      </c>
      <c r="Y37" s="37">
        <f t="shared" si="3"/>
        <v>11.119999999999997</v>
      </c>
      <c r="AA37" s="34"/>
      <c r="AB37" s="34"/>
      <c r="AC37" s="34"/>
    </row>
    <row r="38" spans="1:29" x14ac:dyDescent="0.2">
      <c r="X38" s="38">
        <v>1987</v>
      </c>
      <c r="Y38" s="37">
        <f t="shared" si="3"/>
        <v>11.139999999999997</v>
      </c>
      <c r="AA38" s="34"/>
      <c r="AB38" s="34"/>
      <c r="AC38" s="34"/>
    </row>
    <row r="39" spans="1:29" x14ac:dyDescent="0.2">
      <c r="X39" s="38">
        <v>1988</v>
      </c>
      <c r="Y39" s="37">
        <f t="shared" si="3"/>
        <v>11.159999999999997</v>
      </c>
      <c r="AA39" s="34"/>
      <c r="AB39" s="34"/>
      <c r="AC39" s="34"/>
    </row>
    <row r="40" spans="1:29" x14ac:dyDescent="0.2">
      <c r="A40">
        <v>7.4</v>
      </c>
      <c r="B40">
        <v>16.600000000000001</v>
      </c>
      <c r="X40" s="38">
        <v>1989</v>
      </c>
      <c r="Y40" s="37">
        <f t="shared" si="3"/>
        <v>11.179999999999996</v>
      </c>
      <c r="AA40" s="34"/>
      <c r="AB40" s="34"/>
      <c r="AC40" s="34"/>
    </row>
    <row r="41" spans="1:29" x14ac:dyDescent="0.2">
      <c r="X41" s="38">
        <v>1990</v>
      </c>
      <c r="Y41" s="37">
        <v>11.2</v>
      </c>
      <c r="AA41" s="34"/>
      <c r="AB41" s="34"/>
      <c r="AC41" s="34"/>
    </row>
    <row r="42" spans="1:29" x14ac:dyDescent="0.2">
      <c r="A42" t="s">
        <v>22</v>
      </c>
      <c r="C42" t="s">
        <v>23</v>
      </c>
      <c r="X42" s="38">
        <v>1991</v>
      </c>
      <c r="Y42" s="37">
        <f>Y41+(Y$46-Y$41)/5</f>
        <v>11.959999999999999</v>
      </c>
      <c r="AA42" s="34"/>
      <c r="AB42" s="34"/>
      <c r="AC42" s="34"/>
    </row>
    <row r="43" spans="1:29" x14ac:dyDescent="0.2">
      <c r="A43">
        <v>7.4</v>
      </c>
      <c r="B43">
        <f>A43+(B$40-A$40)/5</f>
        <v>9.24</v>
      </c>
      <c r="C43" cm="1">
        <f t="array" ref="C43:C48">FREQUENCY(Y1:Y74,B43:B47)</f>
        <v>19</v>
      </c>
      <c r="F43" s="11" t="s">
        <v>21</v>
      </c>
      <c r="X43" s="38">
        <v>1992</v>
      </c>
      <c r="Y43" s="37">
        <f t="shared" ref="Y43:Y45" si="4">Y42+(Y$46-Y$41)/5</f>
        <v>12.719999999999999</v>
      </c>
      <c r="AA43" s="34"/>
      <c r="AB43" s="34"/>
      <c r="AC43" s="34"/>
    </row>
    <row r="44" spans="1:29" x14ac:dyDescent="0.2">
      <c r="A44">
        <f>B43</f>
        <v>9.24</v>
      </c>
      <c r="B44">
        <f>A44+(B$40-A$40)/5</f>
        <v>11.08</v>
      </c>
      <c r="C44">
        <v>16</v>
      </c>
      <c r="X44" s="38">
        <v>1993</v>
      </c>
      <c r="Y44" s="37">
        <f t="shared" si="4"/>
        <v>13.479999999999999</v>
      </c>
    </row>
    <row r="45" spans="1:29" x14ac:dyDescent="0.2">
      <c r="A45">
        <f>B44</f>
        <v>11.08</v>
      </c>
      <c r="B45">
        <f t="shared" ref="B45:B47" si="5">A45+(B$40-A$40)/5</f>
        <v>12.92</v>
      </c>
      <c r="C45">
        <v>14</v>
      </c>
      <c r="X45" s="38">
        <v>1994</v>
      </c>
      <c r="Y45" s="37">
        <f t="shared" si="4"/>
        <v>14.239999999999998</v>
      </c>
    </row>
    <row r="46" spans="1:29" x14ac:dyDescent="0.2">
      <c r="A46">
        <f t="shared" ref="A46" si="6">B45</f>
        <v>12.92</v>
      </c>
      <c r="B46">
        <f t="shared" si="5"/>
        <v>14.76</v>
      </c>
      <c r="C46">
        <v>13</v>
      </c>
      <c r="X46" s="38">
        <v>1995</v>
      </c>
      <c r="Y46" s="37">
        <v>15</v>
      </c>
    </row>
    <row r="47" spans="1:29" x14ac:dyDescent="0.2">
      <c r="A47">
        <f>B46</f>
        <v>14.76</v>
      </c>
      <c r="B47">
        <f t="shared" si="5"/>
        <v>16.600000000000001</v>
      </c>
      <c r="C47">
        <v>12</v>
      </c>
      <c r="K47" t="s">
        <v>78</v>
      </c>
      <c r="X47" s="38">
        <v>1996</v>
      </c>
      <c r="Y47" s="37">
        <f>Y46-(Y$51-Y$46)/5</f>
        <v>14.94</v>
      </c>
    </row>
    <row r="48" spans="1:29" x14ac:dyDescent="0.2">
      <c r="C48">
        <v>0</v>
      </c>
      <c r="X48" s="38">
        <v>1997</v>
      </c>
      <c r="Y48" s="37">
        <f t="shared" ref="Y48:Y50" si="7">Y47-(Y$51-Y$46)/5</f>
        <v>14.879999999999999</v>
      </c>
    </row>
    <row r="49" spans="1:25" x14ac:dyDescent="0.2">
      <c r="K49" t="s">
        <v>79</v>
      </c>
      <c r="X49" s="38">
        <v>1998</v>
      </c>
      <c r="Y49" s="37">
        <f t="shared" si="7"/>
        <v>14.819999999999999</v>
      </c>
    </row>
    <row r="50" spans="1:25" x14ac:dyDescent="0.2">
      <c r="A50" s="8" t="s">
        <v>24</v>
      </c>
      <c r="B50" s="8" t="s">
        <v>23</v>
      </c>
      <c r="X50" s="38">
        <v>1999</v>
      </c>
      <c r="Y50" s="37">
        <f t="shared" si="7"/>
        <v>14.759999999999998</v>
      </c>
    </row>
    <row r="51" spans="1:25" x14ac:dyDescent="0.2">
      <c r="A51" t="s">
        <v>25</v>
      </c>
      <c r="B51">
        <v>19</v>
      </c>
      <c r="K51" t="s">
        <v>80</v>
      </c>
      <c r="X51" s="38">
        <v>2000</v>
      </c>
      <c r="Y51" s="37">
        <v>15.3</v>
      </c>
    </row>
    <row r="52" spans="1:25" x14ac:dyDescent="0.2">
      <c r="A52" t="s">
        <v>26</v>
      </c>
      <c r="B52">
        <v>16</v>
      </c>
      <c r="X52" s="38">
        <v>2001</v>
      </c>
      <c r="Y52" s="37">
        <v>15.6</v>
      </c>
    </row>
    <row r="53" spans="1:25" x14ac:dyDescent="0.2">
      <c r="A53" t="s">
        <v>27</v>
      </c>
      <c r="B53">
        <v>14</v>
      </c>
      <c r="X53" s="38">
        <v>2002</v>
      </c>
      <c r="Y53" s="37">
        <v>16.2</v>
      </c>
    </row>
    <row r="54" spans="1:25" x14ac:dyDescent="0.2">
      <c r="A54" t="s">
        <v>28</v>
      </c>
      <c r="B54">
        <v>13</v>
      </c>
      <c r="X54" s="38">
        <v>2003</v>
      </c>
      <c r="Y54" s="37">
        <v>16.399999999999999</v>
      </c>
    </row>
    <row r="55" spans="1:25" x14ac:dyDescent="0.2">
      <c r="A55" t="s">
        <v>29</v>
      </c>
      <c r="B55">
        <v>12</v>
      </c>
      <c r="X55" s="38">
        <v>2004</v>
      </c>
      <c r="Y55" s="37">
        <v>15.9</v>
      </c>
    </row>
    <row r="56" spans="1:25" x14ac:dyDescent="0.2">
      <c r="X56" s="38">
        <v>2005</v>
      </c>
      <c r="Y56" s="37">
        <v>16.100000000000001</v>
      </c>
    </row>
    <row r="57" spans="1:25" x14ac:dyDescent="0.2">
      <c r="X57" s="38">
        <v>2006</v>
      </c>
      <c r="Y57" s="37">
        <v>15.1</v>
      </c>
    </row>
    <row r="58" spans="1:25" x14ac:dyDescent="0.2">
      <c r="X58" s="38">
        <v>2007</v>
      </c>
      <c r="Y58" s="37">
        <v>14.6</v>
      </c>
    </row>
    <row r="59" spans="1:25" x14ac:dyDescent="0.2">
      <c r="X59" s="38">
        <v>2008</v>
      </c>
      <c r="Y59" s="37">
        <v>14.5</v>
      </c>
    </row>
    <row r="60" spans="1:25" x14ac:dyDescent="0.2">
      <c r="A60" s="12" t="s">
        <v>77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38">
        <v>2009</v>
      </c>
      <c r="Y60" s="37">
        <v>14.1</v>
      </c>
    </row>
    <row r="61" spans="1:25" x14ac:dyDescent="0.2">
      <c r="X61" s="38">
        <v>2010</v>
      </c>
      <c r="Y61" s="37">
        <v>14.2</v>
      </c>
    </row>
    <row r="62" spans="1:25" x14ac:dyDescent="0.2">
      <c r="A62" t="s">
        <v>0</v>
      </c>
      <c r="B62" t="s">
        <v>1</v>
      </c>
      <c r="F62" s="9" t="s">
        <v>36</v>
      </c>
      <c r="G62" s="5"/>
      <c r="H62" s="4"/>
      <c r="X62" s="38">
        <v>2011</v>
      </c>
      <c r="Y62" s="37">
        <v>13.5</v>
      </c>
    </row>
    <row r="63" spans="1:25" x14ac:dyDescent="0.2">
      <c r="A63" s="1">
        <v>2000</v>
      </c>
      <c r="B63" s="2">
        <v>15.3</v>
      </c>
      <c r="F63" s="5" t="s">
        <v>9</v>
      </c>
      <c r="G63" s="6">
        <f>MAX(B63:B86)</f>
        <v>16.600000000000001</v>
      </c>
      <c r="X63" s="38">
        <v>2012</v>
      </c>
      <c r="Y63" s="37">
        <v>13.3</v>
      </c>
    </row>
    <row r="64" spans="1:25" x14ac:dyDescent="0.2">
      <c r="A64" s="1">
        <v>2001</v>
      </c>
      <c r="B64" s="2">
        <v>15.6</v>
      </c>
      <c r="F64" s="5" t="s">
        <v>10</v>
      </c>
      <c r="G64" s="6">
        <f>MIN(B63:B86)</f>
        <v>12.1</v>
      </c>
      <c r="X64" s="38">
        <v>2013</v>
      </c>
      <c r="Y64" s="37">
        <v>13</v>
      </c>
    </row>
    <row r="65" spans="1:25" x14ac:dyDescent="0.2">
      <c r="A65" s="1">
        <v>2002</v>
      </c>
      <c r="B65" s="2">
        <v>16.2</v>
      </c>
      <c r="F65" s="5" t="s">
        <v>13</v>
      </c>
      <c r="G65" s="6">
        <f>G63-G64</f>
        <v>4.5000000000000018</v>
      </c>
      <c r="X65" s="38">
        <v>2014</v>
      </c>
      <c r="Y65" s="37">
        <v>13.1</v>
      </c>
    </row>
    <row r="66" spans="1:25" x14ac:dyDescent="0.2">
      <c r="A66" s="1">
        <v>2003</v>
      </c>
      <c r="B66" s="2">
        <v>16.399999999999999</v>
      </c>
      <c r="F66" s="5" t="s">
        <v>8</v>
      </c>
      <c r="G66" s="6">
        <f>AVERAGE(B63:B86)</f>
        <v>14.158333333333331</v>
      </c>
      <c r="X66" s="38">
        <v>2015</v>
      </c>
      <c r="Y66" s="37">
        <v>13</v>
      </c>
    </row>
    <row r="67" spans="1:25" x14ac:dyDescent="0.2">
      <c r="A67" s="1">
        <v>2004</v>
      </c>
      <c r="B67" s="2">
        <v>15.9</v>
      </c>
      <c r="F67" s="5" t="s">
        <v>3</v>
      </c>
      <c r="G67" s="6">
        <f>MEDIAN(B63:B86)</f>
        <v>14.149999999999999</v>
      </c>
      <c r="X67" s="38">
        <v>2016</v>
      </c>
      <c r="Y67" s="37">
        <v>12.8</v>
      </c>
    </row>
    <row r="68" spans="1:25" x14ac:dyDescent="0.2">
      <c r="A68" s="1">
        <v>2005</v>
      </c>
      <c r="B68" s="2">
        <v>16.100000000000001</v>
      </c>
      <c r="F68" s="5" t="s">
        <v>4</v>
      </c>
      <c r="G68" s="6">
        <f>MODE(B63:B86)</f>
        <v>14.5</v>
      </c>
      <c r="X68" s="38">
        <v>2017</v>
      </c>
      <c r="Y68" s="37">
        <v>12.4</v>
      </c>
    </row>
    <row r="69" spans="1:25" x14ac:dyDescent="0.2">
      <c r="A69" s="1">
        <v>2006</v>
      </c>
      <c r="B69" s="2">
        <v>15.1</v>
      </c>
      <c r="F69" s="5" t="s">
        <v>5</v>
      </c>
      <c r="G69" s="6">
        <f>VARP(B63:B86)</f>
        <v>2.0549305555556554</v>
      </c>
      <c r="X69" s="38">
        <v>2018</v>
      </c>
      <c r="Y69" s="37">
        <v>12.4</v>
      </c>
    </row>
    <row r="70" spans="1:25" x14ac:dyDescent="0.2">
      <c r="A70" s="1">
        <v>2007</v>
      </c>
      <c r="B70" s="2">
        <v>14.6</v>
      </c>
      <c r="F70" s="5" t="s">
        <v>11</v>
      </c>
      <c r="G70" s="6">
        <f>SQRT(G69)</f>
        <v>1.4335028969470747</v>
      </c>
      <c r="X70" s="38">
        <v>2019</v>
      </c>
      <c r="Y70" s="37">
        <v>12.2</v>
      </c>
    </row>
    <row r="71" spans="1:25" x14ac:dyDescent="0.2">
      <c r="A71" s="1">
        <v>2008</v>
      </c>
      <c r="B71" s="2">
        <v>14.5</v>
      </c>
      <c r="F71" s="5" t="s">
        <v>7</v>
      </c>
      <c r="G71" s="7">
        <f>STDEV(B63:B86)/AVERAGE(B63:B86)</f>
        <v>0.10342562284628616</v>
      </c>
      <c r="X71" s="38">
        <v>2020</v>
      </c>
      <c r="Y71" s="37">
        <v>14.5</v>
      </c>
    </row>
    <row r="72" spans="1:25" x14ac:dyDescent="0.2">
      <c r="A72" s="1">
        <v>2009</v>
      </c>
      <c r="B72" s="2">
        <v>14.1</v>
      </c>
      <c r="F72" s="5" t="s">
        <v>6</v>
      </c>
      <c r="G72" s="6">
        <f>_xlfn.SKEW.P(B63:B86)</f>
        <v>0.22074929392875001</v>
      </c>
      <c r="X72" s="38">
        <v>2021</v>
      </c>
      <c r="Y72" s="37">
        <v>16.600000000000001</v>
      </c>
    </row>
    <row r="73" spans="1:25" x14ac:dyDescent="0.2">
      <c r="A73" s="1">
        <v>2010</v>
      </c>
      <c r="B73" s="2">
        <v>14.2</v>
      </c>
      <c r="F73" s="5" t="s">
        <v>12</v>
      </c>
      <c r="G73" s="6">
        <f>KURT(B63:B86)</f>
        <v>-1.3261521739108133</v>
      </c>
      <c r="X73" s="38">
        <v>2022</v>
      </c>
      <c r="Y73" s="37">
        <v>12.9</v>
      </c>
    </row>
    <row r="74" spans="1:25" x14ac:dyDescent="0.2">
      <c r="A74" s="1">
        <v>2011</v>
      </c>
      <c r="B74" s="2">
        <v>13.5</v>
      </c>
      <c r="X74" s="38">
        <v>2023</v>
      </c>
      <c r="Y74" s="37">
        <v>12.1</v>
      </c>
    </row>
    <row r="75" spans="1:25" x14ac:dyDescent="0.2">
      <c r="A75" s="1">
        <v>2012</v>
      </c>
      <c r="B75" s="2">
        <v>13.3</v>
      </c>
    </row>
    <row r="76" spans="1:25" x14ac:dyDescent="0.2">
      <c r="A76" s="1">
        <v>2013</v>
      </c>
      <c r="B76" s="2">
        <v>13</v>
      </c>
    </row>
    <row r="77" spans="1:25" x14ac:dyDescent="0.2">
      <c r="A77" s="1">
        <v>2014</v>
      </c>
      <c r="B77" s="2">
        <v>13.1</v>
      </c>
      <c r="F77" s="11" t="s">
        <v>20</v>
      </c>
    </row>
    <row r="78" spans="1:25" x14ac:dyDescent="0.2">
      <c r="A78" s="1">
        <v>2015</v>
      </c>
      <c r="B78" s="2">
        <v>13</v>
      </c>
    </row>
    <row r="79" spans="1:25" x14ac:dyDescent="0.2">
      <c r="A79" s="1">
        <v>2016</v>
      </c>
      <c r="B79" s="2">
        <v>12.8</v>
      </c>
    </row>
    <row r="80" spans="1:25" x14ac:dyDescent="0.2">
      <c r="A80" s="1">
        <v>2017</v>
      </c>
      <c r="B80" s="2">
        <v>12.4</v>
      </c>
    </row>
    <row r="81" spans="1:15" x14ac:dyDescent="0.2">
      <c r="A81" s="1">
        <v>2018</v>
      </c>
      <c r="B81" s="2">
        <v>12.4</v>
      </c>
    </row>
    <row r="82" spans="1:15" x14ac:dyDescent="0.2">
      <c r="A82" s="1">
        <v>2019</v>
      </c>
      <c r="B82" s="2">
        <v>12.2</v>
      </c>
    </row>
    <row r="83" spans="1:15" x14ac:dyDescent="0.2">
      <c r="A83" s="1">
        <v>2020</v>
      </c>
      <c r="B83" s="2">
        <v>14.5</v>
      </c>
    </row>
    <row r="84" spans="1:15" x14ac:dyDescent="0.2">
      <c r="A84" s="1">
        <v>2021</v>
      </c>
      <c r="B84" s="2">
        <v>16.600000000000001</v>
      </c>
      <c r="O84" t="s">
        <v>45</v>
      </c>
    </row>
    <row r="85" spans="1:15" x14ac:dyDescent="0.2">
      <c r="A85" s="1">
        <v>2022</v>
      </c>
      <c r="B85" s="2">
        <v>12.9</v>
      </c>
    </row>
    <row r="86" spans="1:15" x14ac:dyDescent="0.2">
      <c r="A86" s="1">
        <v>2023</v>
      </c>
      <c r="B86" s="2">
        <v>12.1</v>
      </c>
      <c r="O86" t="s">
        <v>46</v>
      </c>
    </row>
    <row r="88" spans="1:15" x14ac:dyDescent="0.2">
      <c r="O88" t="s">
        <v>47</v>
      </c>
    </row>
    <row r="90" spans="1:15" x14ac:dyDescent="0.2">
      <c r="O90" t="s">
        <v>48</v>
      </c>
    </row>
    <row r="104" spans="1:11" x14ac:dyDescent="0.2">
      <c r="F104" s="11" t="s">
        <v>21</v>
      </c>
    </row>
    <row r="105" spans="1:11" x14ac:dyDescent="0.2">
      <c r="A105">
        <v>12.1</v>
      </c>
      <c r="B105">
        <v>16.600000000000001</v>
      </c>
    </row>
    <row r="107" spans="1:11" x14ac:dyDescent="0.2">
      <c r="A107" t="s">
        <v>22</v>
      </c>
      <c r="C107" t="s">
        <v>23</v>
      </c>
    </row>
    <row r="108" spans="1:11" x14ac:dyDescent="0.2">
      <c r="A108" s="3">
        <v>12.1</v>
      </c>
      <c r="B108" s="3">
        <f>A108+(B$105-A$105)/5</f>
        <v>13</v>
      </c>
      <c r="C108" cm="1">
        <f t="array" ref="C108:C113">FREQUENCY(B63:B86,B108:B112)</f>
        <v>8</v>
      </c>
    </row>
    <row r="109" spans="1:11" x14ac:dyDescent="0.2">
      <c r="A109" s="3">
        <f>B108</f>
        <v>13</v>
      </c>
      <c r="B109" s="3">
        <f>A109+(B$105-A$105)/5</f>
        <v>13.9</v>
      </c>
      <c r="C109">
        <v>3</v>
      </c>
    </row>
    <row r="110" spans="1:11" x14ac:dyDescent="0.2">
      <c r="A110" s="3">
        <f>B109</f>
        <v>13.9</v>
      </c>
      <c r="B110" s="3">
        <f t="shared" ref="B110" si="8">A110+(B$105-A$105)/5</f>
        <v>14.8</v>
      </c>
      <c r="C110">
        <v>5</v>
      </c>
    </row>
    <row r="111" spans="1:11" x14ac:dyDescent="0.2">
      <c r="A111" s="3">
        <f>B110</f>
        <v>14.8</v>
      </c>
      <c r="B111" s="3">
        <f>A111+(B$105-A$105)/5</f>
        <v>15.700000000000001</v>
      </c>
      <c r="C111">
        <v>3</v>
      </c>
      <c r="K111" t="s">
        <v>42</v>
      </c>
    </row>
    <row r="112" spans="1:11" x14ac:dyDescent="0.2">
      <c r="A112" s="3">
        <f>B111</f>
        <v>15.700000000000001</v>
      </c>
      <c r="B112" s="3">
        <f>A112+(B$105-A$105)/5</f>
        <v>16.600000000000001</v>
      </c>
      <c r="C112">
        <v>5</v>
      </c>
    </row>
    <row r="113" spans="1:28" x14ac:dyDescent="0.2">
      <c r="C113">
        <v>0</v>
      </c>
      <c r="K113" t="s">
        <v>43</v>
      </c>
    </row>
    <row r="115" spans="1:28" x14ac:dyDescent="0.2">
      <c r="A115" s="8" t="s">
        <v>24</v>
      </c>
      <c r="B115" s="8" t="s">
        <v>23</v>
      </c>
      <c r="K115" t="s">
        <v>44</v>
      </c>
    </row>
    <row r="116" spans="1:28" x14ac:dyDescent="0.2">
      <c r="A116" t="s">
        <v>37</v>
      </c>
      <c r="B116">
        <v>6</v>
      </c>
    </row>
    <row r="117" spans="1:28" x14ac:dyDescent="0.2">
      <c r="A117" t="s">
        <v>38</v>
      </c>
      <c r="B117">
        <v>5</v>
      </c>
    </row>
    <row r="118" spans="1:28" x14ac:dyDescent="0.2">
      <c r="A118" t="s">
        <v>39</v>
      </c>
      <c r="B118">
        <v>5</v>
      </c>
    </row>
    <row r="119" spans="1:28" x14ac:dyDescent="0.2">
      <c r="A119" t="s">
        <v>40</v>
      </c>
      <c r="B119">
        <v>3</v>
      </c>
    </row>
    <row r="120" spans="1:28" x14ac:dyDescent="0.2">
      <c r="A120" t="s">
        <v>41</v>
      </c>
      <c r="B120">
        <v>5</v>
      </c>
    </row>
    <row r="123" spans="1:28" x14ac:dyDescent="0.2">
      <c r="A123" s="13" t="s">
        <v>83</v>
      </c>
      <c r="B123" s="4"/>
      <c r="C123" s="4"/>
      <c r="D123" s="4"/>
      <c r="E123" s="4"/>
      <c r="Q123" s="13" t="s">
        <v>84</v>
      </c>
      <c r="R123" s="4"/>
      <c r="S123" s="4"/>
      <c r="T123" s="4"/>
      <c r="U123" s="4"/>
    </row>
    <row r="124" spans="1:28" x14ac:dyDescent="0.2">
      <c r="A124" t="s">
        <v>49</v>
      </c>
      <c r="Q124" t="s">
        <v>81</v>
      </c>
      <c r="X124" s="4" t="s">
        <v>58</v>
      </c>
      <c r="Y124" s="4"/>
      <c r="Z124" s="4"/>
      <c r="AA124" s="4">
        <f>1.36/SQRT(24)</f>
        <v>0.27760883751542692</v>
      </c>
    </row>
    <row r="125" spans="1:28" x14ac:dyDescent="0.2">
      <c r="A125" t="s">
        <v>50</v>
      </c>
      <c r="Q125" t="s">
        <v>82</v>
      </c>
      <c r="X125" s="4" t="s">
        <v>59</v>
      </c>
      <c r="Y125" s="4"/>
      <c r="Z125" s="4"/>
      <c r="AA125" s="30">
        <f>T152</f>
        <v>0.15277777777777787</v>
      </c>
    </row>
    <row r="126" spans="1:28" x14ac:dyDescent="0.2">
      <c r="A126" t="s">
        <v>51</v>
      </c>
      <c r="B126" t="s">
        <v>52</v>
      </c>
      <c r="C126" t="s">
        <v>53</v>
      </c>
      <c r="D126" t="s">
        <v>54</v>
      </c>
      <c r="E126" t="s">
        <v>55</v>
      </c>
      <c r="Q126" t="s">
        <v>51</v>
      </c>
      <c r="R126" t="s">
        <v>53</v>
      </c>
      <c r="S126" t="s">
        <v>54</v>
      </c>
      <c r="T126" t="s">
        <v>55</v>
      </c>
      <c r="Z126" s="15" t="s">
        <v>60</v>
      </c>
      <c r="AA126" s="16" t="s">
        <v>61</v>
      </c>
      <c r="AB126" s="16"/>
    </row>
    <row r="127" spans="1:28" x14ac:dyDescent="0.2">
      <c r="A127" s="2">
        <v>12.1</v>
      </c>
      <c r="B127" s="14">
        <f>(A127-G$66)/G$70</f>
        <v>-1.4358766471396438</v>
      </c>
      <c r="C127">
        <f>_xlfn.NORM.S.DIST(B127,TRUE)</f>
        <v>7.5518722336413477E-2</v>
      </c>
      <c r="D127">
        <f>_xlfn.RANK.EQ(A127,A$127:A$150, 1)/24</f>
        <v>4.1666666666666664E-2</v>
      </c>
      <c r="E127">
        <f>D127-C127</f>
        <v>-3.3852055669746813E-2</v>
      </c>
      <c r="G127" s="4" t="s">
        <v>58</v>
      </c>
      <c r="H127" s="4"/>
      <c r="I127" s="4"/>
      <c r="J127" s="4">
        <f>1.36/SQRT(24)</f>
        <v>0.27760883751542692</v>
      </c>
      <c r="Q127" s="2">
        <v>12.1</v>
      </c>
      <c r="R127" s="14">
        <f>(Q127-G$64)/G$65</f>
        <v>0</v>
      </c>
      <c r="S127">
        <f t="shared" ref="S127:S150" si="9">_xlfn.RANK.EQ(Q127,Q$127:Q$150, 1)/24</f>
        <v>4.1666666666666664E-2</v>
      </c>
      <c r="T127" s="14">
        <f>ABS(S127-R127)</f>
        <v>4.1666666666666664E-2</v>
      </c>
    </row>
    <row r="128" spans="1:28" x14ac:dyDescent="0.2">
      <c r="A128" s="2">
        <v>12.2</v>
      </c>
      <c r="B128" s="14">
        <f t="shared" ref="B128:B150" si="10">(A128-G$66)/G$70</f>
        <v>-1.3661174578049244</v>
      </c>
      <c r="C128">
        <f t="shared" ref="C128:C150" si="11">_xlfn.NORM.S.DIST(B128,TRUE)</f>
        <v>8.5951049803401305E-2</v>
      </c>
      <c r="D128">
        <f t="shared" ref="D128:D150" si="12">_xlfn.RANK.EQ(A128,A$127:A$150, 1)/24</f>
        <v>8.3333333333333329E-2</v>
      </c>
      <c r="E128">
        <f t="shared" ref="E128:E150" si="13">D128-C128</f>
        <v>-2.6177164700679767E-3</v>
      </c>
      <c r="G128" s="4" t="s">
        <v>59</v>
      </c>
      <c r="H128" s="4"/>
      <c r="I128" s="4"/>
      <c r="J128" s="4">
        <f>E152</f>
        <v>0.14482928537329309</v>
      </c>
      <c r="Q128" s="2">
        <v>12.2</v>
      </c>
      <c r="R128" s="14">
        <f t="shared" ref="R128:R150" si="14">(Q128-G$64)/G$65</f>
        <v>2.2222222222222133E-2</v>
      </c>
      <c r="S128">
        <f t="shared" si="9"/>
        <v>8.3333333333333329E-2</v>
      </c>
      <c r="T128" s="14">
        <f t="shared" ref="T128:T150" si="15">ABS(S128-R128)</f>
        <v>6.1111111111111199E-2</v>
      </c>
    </row>
    <row r="129" spans="1:20" x14ac:dyDescent="0.2">
      <c r="A129" s="2">
        <v>12.4</v>
      </c>
      <c r="B129" s="14">
        <f t="shared" si="10"/>
        <v>-1.2265990791354844</v>
      </c>
      <c r="C129">
        <f t="shared" si="11"/>
        <v>0.10998665774623867</v>
      </c>
      <c r="D129">
        <f t="shared" si="12"/>
        <v>0.125</v>
      </c>
      <c r="E129">
        <f t="shared" si="13"/>
        <v>1.501334225376133E-2</v>
      </c>
      <c r="I129" s="15" t="s">
        <v>60</v>
      </c>
      <c r="J129" s="16" t="s">
        <v>61</v>
      </c>
      <c r="K129" s="16"/>
      <c r="L129" s="16"/>
      <c r="M129" s="16"/>
      <c r="N129" s="16"/>
      <c r="O129" s="17"/>
      <c r="Q129" s="2">
        <v>12.4</v>
      </c>
      <c r="R129" s="14">
        <f t="shared" si="14"/>
        <v>6.6666666666666805E-2</v>
      </c>
      <c r="S129">
        <f t="shared" si="9"/>
        <v>0.125</v>
      </c>
      <c r="T129" s="14">
        <f t="shared" si="15"/>
        <v>5.8333333333333195E-2</v>
      </c>
    </row>
    <row r="130" spans="1:20" x14ac:dyDescent="0.2">
      <c r="A130" s="2">
        <v>12.4</v>
      </c>
      <c r="B130" s="14">
        <f t="shared" si="10"/>
        <v>-1.2265990791354844</v>
      </c>
      <c r="C130">
        <f t="shared" si="11"/>
        <v>0.10998665774623867</v>
      </c>
      <c r="D130">
        <f t="shared" si="12"/>
        <v>0.125</v>
      </c>
      <c r="E130">
        <f t="shared" si="13"/>
        <v>1.501334225376133E-2</v>
      </c>
      <c r="Q130" s="2">
        <v>12.4</v>
      </c>
      <c r="R130" s="14">
        <f t="shared" si="14"/>
        <v>6.6666666666666805E-2</v>
      </c>
      <c r="S130">
        <f t="shared" si="9"/>
        <v>0.125</v>
      </c>
      <c r="T130" s="14">
        <f t="shared" si="15"/>
        <v>5.8333333333333195E-2</v>
      </c>
    </row>
    <row r="131" spans="1:20" x14ac:dyDescent="0.2">
      <c r="A131" s="2">
        <v>12.8</v>
      </c>
      <c r="B131" s="14">
        <f t="shared" si="10"/>
        <v>-0.94756232179660593</v>
      </c>
      <c r="C131">
        <f t="shared" si="11"/>
        <v>0.17167615757443747</v>
      </c>
      <c r="D131">
        <f t="shared" si="12"/>
        <v>0.20833333333333334</v>
      </c>
      <c r="E131">
        <f t="shared" si="13"/>
        <v>3.6657175758895877E-2</v>
      </c>
      <c r="Q131" s="2">
        <v>12.8</v>
      </c>
      <c r="R131" s="14">
        <f t="shared" si="14"/>
        <v>0.15555555555555572</v>
      </c>
      <c r="S131">
        <f t="shared" si="9"/>
        <v>0.20833333333333334</v>
      </c>
      <c r="T131" s="14">
        <f t="shared" si="15"/>
        <v>5.2777777777777618E-2</v>
      </c>
    </row>
    <row r="132" spans="1:20" x14ac:dyDescent="0.2">
      <c r="A132" s="2">
        <v>12.9</v>
      </c>
      <c r="B132" s="14">
        <f t="shared" si="10"/>
        <v>-0.87780313246188657</v>
      </c>
      <c r="C132">
        <f t="shared" si="11"/>
        <v>0.19002528212554734</v>
      </c>
      <c r="D132">
        <f t="shared" si="12"/>
        <v>0.25</v>
      </c>
      <c r="E132">
        <f t="shared" si="13"/>
        <v>5.997471787445266E-2</v>
      </c>
      <c r="Q132" s="2">
        <v>12.9</v>
      </c>
      <c r="R132" s="14">
        <f t="shared" si="14"/>
        <v>0.17777777777777787</v>
      </c>
      <c r="S132">
        <f t="shared" si="9"/>
        <v>0.25</v>
      </c>
      <c r="T132" s="14">
        <f t="shared" si="15"/>
        <v>7.2222222222222132E-2</v>
      </c>
    </row>
    <row r="133" spans="1:20" x14ac:dyDescent="0.2">
      <c r="A133" s="2">
        <v>13</v>
      </c>
      <c r="B133" s="14">
        <f t="shared" si="10"/>
        <v>-0.80804394312716721</v>
      </c>
      <c r="C133">
        <f t="shared" si="11"/>
        <v>0.20953264295917282</v>
      </c>
      <c r="D133">
        <f t="shared" si="12"/>
        <v>0.29166666666666669</v>
      </c>
      <c r="E133">
        <f t="shared" si="13"/>
        <v>8.2134023707493869E-2</v>
      </c>
      <c r="Q133" s="2">
        <v>13</v>
      </c>
      <c r="R133" s="14">
        <f t="shared" si="14"/>
        <v>0.2</v>
      </c>
      <c r="S133">
        <f t="shared" si="9"/>
        <v>0.29166666666666669</v>
      </c>
      <c r="T133" s="14">
        <f t="shared" si="15"/>
        <v>9.1666666666666674E-2</v>
      </c>
    </row>
    <row r="134" spans="1:20" x14ac:dyDescent="0.2">
      <c r="A134" s="2">
        <v>13</v>
      </c>
      <c r="B134" s="14">
        <f t="shared" si="10"/>
        <v>-0.80804394312716721</v>
      </c>
      <c r="C134">
        <f t="shared" si="11"/>
        <v>0.20953264295917282</v>
      </c>
      <c r="D134">
        <f t="shared" si="12"/>
        <v>0.29166666666666669</v>
      </c>
      <c r="E134">
        <f t="shared" si="13"/>
        <v>8.2134023707493869E-2</v>
      </c>
      <c r="Q134" s="2">
        <v>13</v>
      </c>
      <c r="R134" s="14">
        <f t="shared" si="14"/>
        <v>0.2</v>
      </c>
      <c r="S134">
        <f t="shared" si="9"/>
        <v>0.29166666666666669</v>
      </c>
      <c r="T134" s="14">
        <f t="shared" si="15"/>
        <v>9.1666666666666674E-2</v>
      </c>
    </row>
    <row r="135" spans="1:20" x14ac:dyDescent="0.2">
      <c r="A135" s="2">
        <v>13.1</v>
      </c>
      <c r="B135" s="14">
        <f t="shared" si="10"/>
        <v>-0.73828475379244785</v>
      </c>
      <c r="C135">
        <f t="shared" si="11"/>
        <v>0.23017071462670691</v>
      </c>
      <c r="D135">
        <f t="shared" si="12"/>
        <v>0.375</v>
      </c>
      <c r="E135">
        <f t="shared" si="13"/>
        <v>0.14482928537329309</v>
      </c>
      <c r="Q135" s="2">
        <v>13.1</v>
      </c>
      <c r="R135" s="14">
        <f t="shared" si="14"/>
        <v>0.22222222222222213</v>
      </c>
      <c r="S135">
        <f t="shared" si="9"/>
        <v>0.375</v>
      </c>
      <c r="T135" s="14">
        <f t="shared" si="15"/>
        <v>0.15277777777777787</v>
      </c>
    </row>
    <row r="136" spans="1:20" x14ac:dyDescent="0.2">
      <c r="A136" s="2">
        <v>13.3</v>
      </c>
      <c r="B136" s="14">
        <f t="shared" si="10"/>
        <v>-0.59876637512300801</v>
      </c>
      <c r="C136">
        <f t="shared" si="11"/>
        <v>0.27466434397643957</v>
      </c>
      <c r="D136">
        <f t="shared" si="12"/>
        <v>0.41666666666666669</v>
      </c>
      <c r="E136">
        <f t="shared" si="13"/>
        <v>0.14200232269022711</v>
      </c>
      <c r="Q136" s="2">
        <v>13.3</v>
      </c>
      <c r="R136" s="14">
        <f t="shared" si="14"/>
        <v>0.26666666666666677</v>
      </c>
      <c r="S136">
        <f t="shared" si="9"/>
        <v>0.41666666666666669</v>
      </c>
      <c r="T136" s="14">
        <f t="shared" si="15"/>
        <v>0.14999999999999991</v>
      </c>
    </row>
    <row r="137" spans="1:20" x14ac:dyDescent="0.2">
      <c r="A137" s="2">
        <v>13.5</v>
      </c>
      <c r="B137" s="14">
        <f t="shared" si="10"/>
        <v>-0.45924799645356928</v>
      </c>
      <c r="C137">
        <f t="shared" si="11"/>
        <v>0.3230280436817598</v>
      </c>
      <c r="D137">
        <f t="shared" si="12"/>
        <v>0.45833333333333331</v>
      </c>
      <c r="E137">
        <f t="shared" si="13"/>
        <v>0.13530528965157351</v>
      </c>
      <c r="Q137" s="2">
        <v>13.5</v>
      </c>
      <c r="R137" s="14">
        <f t="shared" si="14"/>
        <v>0.31111111111111106</v>
      </c>
      <c r="S137">
        <f t="shared" si="9"/>
        <v>0.45833333333333331</v>
      </c>
      <c r="T137" s="14">
        <f t="shared" si="15"/>
        <v>0.14722222222222225</v>
      </c>
    </row>
    <row r="138" spans="1:20" x14ac:dyDescent="0.2">
      <c r="A138" s="2">
        <v>14.1</v>
      </c>
      <c r="B138" s="14">
        <f t="shared" si="10"/>
        <v>-4.069286044525202E-2</v>
      </c>
      <c r="C138">
        <f t="shared" si="11"/>
        <v>0.48377037671106166</v>
      </c>
      <c r="D138">
        <f t="shared" si="12"/>
        <v>0.5</v>
      </c>
      <c r="E138">
        <f t="shared" si="13"/>
        <v>1.6229623288938344E-2</v>
      </c>
      <c r="Q138" s="2">
        <v>14.1</v>
      </c>
      <c r="R138" s="14">
        <f t="shared" si="14"/>
        <v>0.44444444444444425</v>
      </c>
      <c r="S138">
        <f t="shared" si="9"/>
        <v>0.5</v>
      </c>
      <c r="T138" s="14">
        <f t="shared" si="15"/>
        <v>5.5555555555555747E-2</v>
      </c>
    </row>
    <row r="139" spans="1:20" x14ac:dyDescent="0.2">
      <c r="A139" s="2">
        <v>14.2</v>
      </c>
      <c r="B139" s="14">
        <f t="shared" si="10"/>
        <v>2.9066328889467322E-2</v>
      </c>
      <c r="C139">
        <f t="shared" si="11"/>
        <v>0.51159415495059402</v>
      </c>
      <c r="D139">
        <f t="shared" si="12"/>
        <v>0.54166666666666663</v>
      </c>
      <c r="E139">
        <f t="shared" si="13"/>
        <v>3.0072511716072614E-2</v>
      </c>
      <c r="Q139" s="2">
        <v>14.2</v>
      </c>
      <c r="R139" s="14">
        <f t="shared" si="14"/>
        <v>0.4666666666666664</v>
      </c>
      <c r="S139">
        <f t="shared" si="9"/>
        <v>0.54166666666666663</v>
      </c>
      <c r="T139" s="14">
        <f t="shared" si="15"/>
        <v>7.5000000000000233E-2</v>
      </c>
    </row>
    <row r="140" spans="1:20" x14ac:dyDescent="0.2">
      <c r="A140" s="2">
        <v>14.5</v>
      </c>
      <c r="B140" s="14">
        <f t="shared" si="10"/>
        <v>0.23834389689362656</v>
      </c>
      <c r="C140">
        <f t="shared" si="11"/>
        <v>0.59419281132114077</v>
      </c>
      <c r="D140">
        <f t="shared" si="12"/>
        <v>0.58333333333333337</v>
      </c>
      <c r="E140">
        <f t="shared" si="13"/>
        <v>-1.0859477987807398E-2</v>
      </c>
      <c r="Q140" s="2">
        <v>14.5</v>
      </c>
      <c r="R140" s="14">
        <f t="shared" si="14"/>
        <v>0.53333333333333321</v>
      </c>
      <c r="S140">
        <f t="shared" si="9"/>
        <v>0.58333333333333337</v>
      </c>
      <c r="T140" s="14">
        <f t="shared" si="15"/>
        <v>5.0000000000000155E-2</v>
      </c>
    </row>
    <row r="141" spans="1:20" x14ac:dyDescent="0.2">
      <c r="A141" s="2">
        <v>14.5</v>
      </c>
      <c r="B141" s="14">
        <f t="shared" si="10"/>
        <v>0.23834389689362656</v>
      </c>
      <c r="C141">
        <f t="shared" si="11"/>
        <v>0.59419281132114077</v>
      </c>
      <c r="D141">
        <f t="shared" si="12"/>
        <v>0.58333333333333337</v>
      </c>
      <c r="E141">
        <f t="shared" si="13"/>
        <v>-1.0859477987807398E-2</v>
      </c>
      <c r="Q141" s="2">
        <v>14.5</v>
      </c>
      <c r="R141" s="14">
        <f t="shared" si="14"/>
        <v>0.53333333333333321</v>
      </c>
      <c r="S141">
        <f t="shared" si="9"/>
        <v>0.58333333333333337</v>
      </c>
      <c r="T141" s="14">
        <f t="shared" si="15"/>
        <v>5.0000000000000155E-2</v>
      </c>
    </row>
    <row r="142" spans="1:20" x14ac:dyDescent="0.2">
      <c r="A142" s="2">
        <v>14.6</v>
      </c>
      <c r="B142" s="14">
        <f t="shared" si="10"/>
        <v>0.30810308622834592</v>
      </c>
      <c r="C142">
        <f t="shared" si="11"/>
        <v>0.62099805353946269</v>
      </c>
      <c r="D142">
        <f t="shared" si="12"/>
        <v>0.66666666666666663</v>
      </c>
      <c r="E142">
        <f t="shared" si="13"/>
        <v>4.5668613127203939E-2</v>
      </c>
      <c r="Q142" s="2">
        <v>14.6</v>
      </c>
      <c r="R142" s="14">
        <f t="shared" si="14"/>
        <v>0.55555555555555536</v>
      </c>
      <c r="S142">
        <f t="shared" si="9"/>
        <v>0.66666666666666663</v>
      </c>
      <c r="T142" s="14">
        <f t="shared" si="15"/>
        <v>0.11111111111111127</v>
      </c>
    </row>
    <row r="143" spans="1:20" x14ac:dyDescent="0.2">
      <c r="A143" s="2">
        <v>15.1</v>
      </c>
      <c r="B143" s="14">
        <f t="shared" si="10"/>
        <v>0.65689903290194385</v>
      </c>
      <c r="C143">
        <f t="shared" si="11"/>
        <v>0.74437707994194802</v>
      </c>
      <c r="D143">
        <f t="shared" si="12"/>
        <v>0.70833333333333337</v>
      </c>
      <c r="E143">
        <f t="shared" si="13"/>
        <v>-3.6043746608614646E-2</v>
      </c>
      <c r="Q143" s="2">
        <v>15.1</v>
      </c>
      <c r="R143" s="14">
        <f t="shared" si="14"/>
        <v>0.66666666666666641</v>
      </c>
      <c r="S143">
        <f t="shared" si="9"/>
        <v>0.70833333333333337</v>
      </c>
      <c r="T143" s="14">
        <f t="shared" si="15"/>
        <v>4.1666666666666963E-2</v>
      </c>
    </row>
    <row r="144" spans="1:20" x14ac:dyDescent="0.2">
      <c r="A144" s="2">
        <v>15.3</v>
      </c>
      <c r="B144" s="14">
        <f t="shared" si="10"/>
        <v>0.79641741157138379</v>
      </c>
      <c r="C144">
        <f t="shared" si="11"/>
        <v>0.78710526934534641</v>
      </c>
      <c r="D144">
        <f t="shared" si="12"/>
        <v>0.75</v>
      </c>
      <c r="E144">
        <f t="shared" si="13"/>
        <v>-3.7105269345346414E-2</v>
      </c>
      <c r="Q144" s="2">
        <v>15.3</v>
      </c>
      <c r="R144" s="14">
        <f t="shared" si="14"/>
        <v>0.71111111111111103</v>
      </c>
      <c r="S144">
        <f t="shared" si="9"/>
        <v>0.75</v>
      </c>
      <c r="T144" s="14">
        <f t="shared" si="15"/>
        <v>3.8888888888888973E-2</v>
      </c>
    </row>
    <row r="145" spans="1:21" x14ac:dyDescent="0.2">
      <c r="A145" s="2">
        <v>15.6</v>
      </c>
      <c r="B145" s="14">
        <f t="shared" si="10"/>
        <v>1.0056949795755417</v>
      </c>
      <c r="C145">
        <f t="shared" si="11"/>
        <v>0.8427188405306113</v>
      </c>
      <c r="D145">
        <f t="shared" si="12"/>
        <v>0.79166666666666663</v>
      </c>
      <c r="E145">
        <f t="shared" si="13"/>
        <v>-5.1052173863944672E-2</v>
      </c>
      <c r="Q145" s="2">
        <v>15.6</v>
      </c>
      <c r="R145" s="14">
        <f t="shared" si="14"/>
        <v>0.77777777777777746</v>
      </c>
      <c r="S145">
        <f t="shared" si="9"/>
        <v>0.79166666666666663</v>
      </c>
      <c r="T145" s="14">
        <f t="shared" si="15"/>
        <v>1.3888888888889173E-2</v>
      </c>
    </row>
    <row r="146" spans="1:21" x14ac:dyDescent="0.2">
      <c r="A146" s="2">
        <v>15.9</v>
      </c>
      <c r="B146" s="14">
        <f t="shared" si="10"/>
        <v>1.2149725475797011</v>
      </c>
      <c r="C146">
        <f t="shared" si="11"/>
        <v>0.88781171903089673</v>
      </c>
      <c r="D146">
        <f t="shared" si="12"/>
        <v>0.83333333333333337</v>
      </c>
      <c r="E146">
        <f t="shared" si="13"/>
        <v>-5.4478385697563358E-2</v>
      </c>
      <c r="Q146" s="2">
        <v>15.9</v>
      </c>
      <c r="R146" s="14">
        <f t="shared" si="14"/>
        <v>0.84444444444444422</v>
      </c>
      <c r="S146">
        <f t="shared" si="9"/>
        <v>0.83333333333333337</v>
      </c>
      <c r="T146" s="14">
        <f t="shared" si="15"/>
        <v>1.111111111111085E-2</v>
      </c>
    </row>
    <row r="147" spans="1:21" x14ac:dyDescent="0.2">
      <c r="A147" s="2">
        <v>16.100000000000001</v>
      </c>
      <c r="B147" s="14">
        <f t="shared" si="10"/>
        <v>1.3544909262491409</v>
      </c>
      <c r="C147">
        <f t="shared" si="11"/>
        <v>0.91221009684525778</v>
      </c>
      <c r="D147">
        <f t="shared" si="12"/>
        <v>0.875</v>
      </c>
      <c r="E147">
        <f t="shared" si="13"/>
        <v>-3.7210096845257778E-2</v>
      </c>
      <c r="Q147" s="2">
        <v>16.100000000000001</v>
      </c>
      <c r="R147" s="14">
        <f t="shared" si="14"/>
        <v>0.88888888888888895</v>
      </c>
      <c r="S147">
        <f t="shared" si="9"/>
        <v>0.875</v>
      </c>
      <c r="T147" s="14">
        <f t="shared" si="15"/>
        <v>1.3888888888888951E-2</v>
      </c>
    </row>
    <row r="148" spans="1:21" x14ac:dyDescent="0.2">
      <c r="A148" s="2">
        <v>16.2</v>
      </c>
      <c r="B148" s="14">
        <f t="shared" si="10"/>
        <v>1.4242501155838589</v>
      </c>
      <c r="C148">
        <f t="shared" si="11"/>
        <v>0.92281295887628678</v>
      </c>
      <c r="D148">
        <f t="shared" si="12"/>
        <v>0.91666666666666663</v>
      </c>
      <c r="E148">
        <f t="shared" si="13"/>
        <v>-6.1462922096201522E-3</v>
      </c>
      <c r="Q148" s="2">
        <v>16.2</v>
      </c>
      <c r="R148" s="14">
        <f t="shared" si="14"/>
        <v>0.91111111111111065</v>
      </c>
      <c r="S148">
        <f t="shared" si="9"/>
        <v>0.91666666666666663</v>
      </c>
      <c r="T148" s="14">
        <f t="shared" si="15"/>
        <v>5.5555555555559799E-3</v>
      </c>
    </row>
    <row r="149" spans="1:21" x14ac:dyDescent="0.2">
      <c r="A149" s="2">
        <v>16.399999999999999</v>
      </c>
      <c r="B149" s="14">
        <f t="shared" si="10"/>
        <v>1.5637684942532977</v>
      </c>
      <c r="C149">
        <f t="shared" si="11"/>
        <v>0.94106402715146087</v>
      </c>
      <c r="D149">
        <f t="shared" si="12"/>
        <v>0.95833333333333337</v>
      </c>
      <c r="E149">
        <f t="shared" si="13"/>
        <v>1.7269306181872501E-2</v>
      </c>
      <c r="Q149" s="2">
        <v>16.399999999999999</v>
      </c>
      <c r="R149" s="14">
        <f t="shared" si="14"/>
        <v>0.95555555555555494</v>
      </c>
      <c r="S149">
        <f t="shared" si="9"/>
        <v>0.95833333333333337</v>
      </c>
      <c r="T149" s="14">
        <f t="shared" si="15"/>
        <v>2.777777777778434E-3</v>
      </c>
    </row>
    <row r="150" spans="1:21" x14ac:dyDescent="0.2">
      <c r="A150" s="2">
        <v>16.600000000000001</v>
      </c>
      <c r="B150" s="14">
        <f t="shared" si="10"/>
        <v>1.7032868729227388</v>
      </c>
      <c r="C150">
        <f t="shared" si="11"/>
        <v>0.95574280200636152</v>
      </c>
      <c r="D150">
        <f t="shared" si="12"/>
        <v>1</v>
      </c>
      <c r="E150">
        <f t="shared" si="13"/>
        <v>4.4257197993638475E-2</v>
      </c>
      <c r="Q150" s="2">
        <v>16.600000000000001</v>
      </c>
      <c r="R150" s="14">
        <f t="shared" si="14"/>
        <v>1</v>
      </c>
      <c r="S150">
        <f t="shared" si="9"/>
        <v>1</v>
      </c>
      <c r="T150" s="14">
        <f t="shared" si="15"/>
        <v>0</v>
      </c>
    </row>
    <row r="151" spans="1:21" x14ac:dyDescent="0.2">
      <c r="F151" t="s">
        <v>56</v>
      </c>
      <c r="U151" t="s">
        <v>56</v>
      </c>
    </row>
    <row r="152" spans="1:21" x14ac:dyDescent="0.2">
      <c r="E152">
        <f>MAX(E127:E150)</f>
        <v>0.14482928537329309</v>
      </c>
      <c r="F152" t="s">
        <v>57</v>
      </c>
      <c r="T152" s="14">
        <f>MAX(T127:T150)</f>
        <v>0.15277777777777787</v>
      </c>
      <c r="U152" t="s">
        <v>57</v>
      </c>
    </row>
    <row r="158" spans="1:2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60" spans="1:21" x14ac:dyDescent="0.2">
      <c r="A160" s="18" t="s">
        <v>74</v>
      </c>
    </row>
    <row r="162" spans="1:4" x14ac:dyDescent="0.2">
      <c r="A162" t="s">
        <v>62</v>
      </c>
    </row>
    <row r="163" spans="1:4" x14ac:dyDescent="0.2">
      <c r="A163">
        <v>2000</v>
      </c>
    </row>
    <row r="164" spans="1:4" x14ac:dyDescent="0.2">
      <c r="A164">
        <v>2010</v>
      </c>
    </row>
    <row r="165" spans="1:4" x14ac:dyDescent="0.2">
      <c r="A165">
        <v>2020</v>
      </c>
    </row>
    <row r="166" spans="1:4" x14ac:dyDescent="0.2">
      <c r="A166" s="10" t="s">
        <v>71</v>
      </c>
    </row>
    <row r="167" spans="1:4" x14ac:dyDescent="0.2">
      <c r="A167" s="20" t="s">
        <v>63</v>
      </c>
      <c r="B167" s="20">
        <v>2000</v>
      </c>
      <c r="C167" s="20">
        <v>2010</v>
      </c>
      <c r="D167" s="20">
        <v>2020</v>
      </c>
    </row>
    <row r="168" spans="1:4" x14ac:dyDescent="0.2">
      <c r="A168" s="22" t="s">
        <v>65</v>
      </c>
      <c r="B168" s="25">
        <f>14.4/100</f>
        <v>0.14400000000000002</v>
      </c>
      <c r="C168" s="26">
        <f>9.69489499093822/100</f>
        <v>9.6948949909382201E-2</v>
      </c>
      <c r="D168" s="27">
        <v>4.6620715285377499E-2</v>
      </c>
    </row>
    <row r="169" spans="1:4" x14ac:dyDescent="0.2">
      <c r="A169" s="21" t="s">
        <v>66</v>
      </c>
      <c r="B169" s="25">
        <f>6.2/100</f>
        <v>6.2E-2</v>
      </c>
      <c r="C169" s="26">
        <f>2.6/100</f>
        <v>2.6000000000000002E-2</v>
      </c>
      <c r="D169" s="27">
        <v>1.9619592182909998E-2</v>
      </c>
    </row>
    <row r="170" spans="1:4" x14ac:dyDescent="0.2">
      <c r="A170" s="21" t="s">
        <v>67</v>
      </c>
      <c r="B170" s="25">
        <f>76.8/100</f>
        <v>0.76800000000000002</v>
      </c>
      <c r="C170" s="26">
        <f>48.5/100</f>
        <v>0.48499999999999999</v>
      </c>
      <c r="D170" s="27">
        <v>0.16</v>
      </c>
    </row>
    <row r="171" spans="1:4" x14ac:dyDescent="0.2">
      <c r="A171" s="21" t="s">
        <v>68</v>
      </c>
      <c r="B171" s="25">
        <f>261.4/100</f>
        <v>2.6139999999999999</v>
      </c>
      <c r="C171" s="26">
        <f>192.4/100</f>
        <v>1.9240000000000002</v>
      </c>
      <c r="D171" s="27">
        <v>1.4923633918199299</v>
      </c>
    </row>
    <row r="172" spans="1:4" x14ac:dyDescent="0.2">
      <c r="A172" s="21" t="s">
        <v>69</v>
      </c>
      <c r="B172" s="25">
        <f>180.1/100</f>
        <v>1.8009999999999999</v>
      </c>
      <c r="C172" s="26">
        <f>211.7/100</f>
        <v>2.117</v>
      </c>
      <c r="D172" s="27">
        <v>1.5640000000000001</v>
      </c>
    </row>
    <row r="173" spans="1:4" x14ac:dyDescent="0.2">
      <c r="A173" s="21" t="s">
        <v>70</v>
      </c>
      <c r="B173" s="25">
        <f>306.8/100</f>
        <v>3.0680000000000001</v>
      </c>
      <c r="C173" s="26">
        <f>194.354219744696/100</f>
        <v>1.94354219744696</v>
      </c>
      <c r="D173" s="27">
        <v>2.9256473641543197</v>
      </c>
    </row>
    <row r="174" spans="1:4" x14ac:dyDescent="0.2">
      <c r="A174" s="21" t="s">
        <v>64</v>
      </c>
      <c r="B174" s="25">
        <f>334.8/100</f>
        <v>3.3480000000000003</v>
      </c>
      <c r="C174" s="26">
        <f>394.561313162423/100</f>
        <v>3.94561313162423</v>
      </c>
      <c r="D174" s="27">
        <f>(457)/100</f>
        <v>4.57</v>
      </c>
    </row>
    <row r="175" spans="1:4" x14ac:dyDescent="0.2">
      <c r="B175" s="19"/>
    </row>
    <row r="176" spans="1:4" x14ac:dyDescent="0.2">
      <c r="A176" s="23" t="s">
        <v>72</v>
      </c>
      <c r="B176" s="23">
        <v>2000</v>
      </c>
      <c r="C176" s="23">
        <v>2010</v>
      </c>
      <c r="D176" s="23">
        <v>2020</v>
      </c>
    </row>
    <row r="177" spans="1:4" x14ac:dyDescent="0.2">
      <c r="A177" s="24" t="s">
        <v>9</v>
      </c>
      <c r="B177" s="28">
        <f>MAX(B168:B174)</f>
        <v>3.3480000000000003</v>
      </c>
      <c r="C177" s="28">
        <f>MAX(C168:C174)</f>
        <v>3.94561313162423</v>
      </c>
      <c r="D177" s="28">
        <f t="shared" ref="D177" si="16">MAX(D168:D174)</f>
        <v>4.57</v>
      </c>
    </row>
    <row r="178" spans="1:4" x14ac:dyDescent="0.2">
      <c r="A178" s="24" t="s">
        <v>10</v>
      </c>
      <c r="B178" s="28">
        <f>MIN(B168:B174)</f>
        <v>6.2E-2</v>
      </c>
      <c r="C178" s="28">
        <f t="shared" ref="C178:D178" si="17">MIN(C168:C174)</f>
        <v>2.6000000000000002E-2</v>
      </c>
      <c r="D178" s="28">
        <f t="shared" si="17"/>
        <v>1.9619592182909998E-2</v>
      </c>
    </row>
    <row r="179" spans="1:4" x14ac:dyDescent="0.2">
      <c r="A179" s="24" t="s">
        <v>13</v>
      </c>
      <c r="B179" s="28">
        <f>B177-B178</f>
        <v>3.2860000000000005</v>
      </c>
      <c r="C179" s="28">
        <f t="shared" ref="C179:D179" si="18">C177-C178</f>
        <v>3.9196131316242302</v>
      </c>
      <c r="D179" s="28">
        <f t="shared" si="18"/>
        <v>4.55038040781709</v>
      </c>
    </row>
    <row r="180" spans="1:4" x14ac:dyDescent="0.2">
      <c r="A180" s="24" t="s">
        <v>8</v>
      </c>
      <c r="B180" s="28">
        <f>AVERAGE(B168:B174)</f>
        <v>1.6864285714285716</v>
      </c>
      <c r="C180" s="28">
        <f t="shared" ref="C180:D180" si="19">AVERAGE(C168:C174)</f>
        <v>1.505443468425796</v>
      </c>
      <c r="D180" s="28">
        <f t="shared" si="19"/>
        <v>1.5397501519203625</v>
      </c>
    </row>
    <row r="181" spans="1:4" x14ac:dyDescent="0.2">
      <c r="A181" s="24" t="s">
        <v>3</v>
      </c>
      <c r="B181" s="28">
        <f>MEDIAN(B168:B174)</f>
        <v>1.8009999999999999</v>
      </c>
      <c r="C181" s="28">
        <f t="shared" ref="C181:D181" si="20">MEDIAN(C168:C174)</f>
        <v>1.9240000000000002</v>
      </c>
      <c r="D181" s="28">
        <f t="shared" si="20"/>
        <v>1.4923633918199299</v>
      </c>
    </row>
    <row r="182" spans="1:4" x14ac:dyDescent="0.2">
      <c r="A182" s="24" t="s">
        <v>4</v>
      </c>
      <c r="B182" s="28" t="s">
        <v>75</v>
      </c>
      <c r="C182" s="28" t="s">
        <v>75</v>
      </c>
      <c r="D182" s="28" t="s">
        <v>75</v>
      </c>
    </row>
    <row r="183" spans="1:4" x14ac:dyDescent="0.2">
      <c r="A183" s="24" t="s">
        <v>5</v>
      </c>
      <c r="B183" s="28">
        <f>VARP(B168:B174)</f>
        <v>1.629205673469388</v>
      </c>
      <c r="C183" s="28">
        <f t="shared" ref="C183:D183" si="21">VARP(C168:C174)</f>
        <v>1.7013520143156882</v>
      </c>
      <c r="D183" s="28">
        <f t="shared" si="21"/>
        <v>2.5071288142495849</v>
      </c>
    </row>
    <row r="184" spans="1:4" x14ac:dyDescent="0.2">
      <c r="A184" s="24" t="s">
        <v>11</v>
      </c>
      <c r="B184" s="28">
        <f>SQRT(B183)</f>
        <v>1.2764034132943189</v>
      </c>
      <c r="C184" s="28">
        <f t="shared" ref="C184:D184" si="22">SQRT(C183)</f>
        <v>1.3043588518178915</v>
      </c>
      <c r="D184" s="28">
        <f t="shared" si="22"/>
        <v>1.5833915543066361</v>
      </c>
    </row>
    <row r="185" spans="1:4" x14ac:dyDescent="0.2">
      <c r="A185" s="24" t="s">
        <v>7</v>
      </c>
      <c r="B185" s="29">
        <f>STDEV(B168:B174)/AVERAGE(B168:B174)</f>
        <v>0.81751061466698283</v>
      </c>
      <c r="C185" s="29">
        <f t="shared" ref="C185" si="23">STDEV(C168:C174)/AVERAGE(C168:C174)</f>
        <v>0.93584954351735139</v>
      </c>
      <c r="D185" s="29">
        <f>STDEV(D168:D174)/AVERAGE(D168:D174)</f>
        <v>1.1107375737455611</v>
      </c>
    </row>
    <row r="186" spans="1:4" x14ac:dyDescent="0.2">
      <c r="A186" s="24" t="s">
        <v>6</v>
      </c>
      <c r="B186" s="28">
        <f>_xlfn.SKEW.P(B168:B174)</f>
        <v>-4.8557140995801377E-2</v>
      </c>
      <c r="C186" s="28">
        <f t="shared" ref="C186:D186" si="24">_xlfn.SKEW.P(C168:C174)</f>
        <v>0.5034672379579177</v>
      </c>
      <c r="D186" s="28">
        <f t="shared" si="24"/>
        <v>0.75638241249259042</v>
      </c>
    </row>
    <row r="187" spans="1:4" x14ac:dyDescent="0.2">
      <c r="A187" s="24" t="s">
        <v>12</v>
      </c>
      <c r="B187" s="28">
        <f>KURT(B168:B174)</f>
        <v>-2.1267683365262005</v>
      </c>
      <c r="C187" s="28">
        <f t="shared" ref="C187:D187" si="25">KURT(C168:C174)</f>
        <v>-1.3818942315176663E-2</v>
      </c>
      <c r="D187" s="28">
        <f t="shared" si="25"/>
        <v>0.16038868199755374</v>
      </c>
    </row>
    <row r="190" spans="1:4" x14ac:dyDescent="0.2">
      <c r="A190" s="10" t="s">
        <v>73</v>
      </c>
    </row>
    <row r="191" spans="1:4" x14ac:dyDescent="0.2">
      <c r="A191" s="20" t="s">
        <v>63</v>
      </c>
      <c r="B191" s="20">
        <v>2000</v>
      </c>
      <c r="C191" s="20">
        <v>2010</v>
      </c>
      <c r="D191" s="20">
        <v>2020</v>
      </c>
    </row>
    <row r="192" spans="1:4" x14ac:dyDescent="0.2">
      <c r="A192" s="22" t="s">
        <v>65</v>
      </c>
      <c r="B192" s="25">
        <f>10.4/100</f>
        <v>0.10400000000000001</v>
      </c>
      <c r="C192" s="26">
        <f>7.3/100</f>
        <v>7.2999999999999995E-2</v>
      </c>
      <c r="D192" s="27">
        <v>3.5816056873162895E-2</v>
      </c>
    </row>
    <row r="193" spans="1:4" x14ac:dyDescent="0.2">
      <c r="A193" s="21" t="s">
        <v>66</v>
      </c>
      <c r="B193" s="25">
        <f>3.398613433664/100</f>
        <v>3.3986134336640002E-2</v>
      </c>
      <c r="C193" s="26">
        <f>1.7/100</f>
        <v>1.7000000000000001E-2</v>
      </c>
      <c r="D193" s="27">
        <v>1.2533596065449999E-2</v>
      </c>
    </row>
    <row r="194" spans="1:4" x14ac:dyDescent="0.2">
      <c r="A194" s="21" t="s">
        <v>67</v>
      </c>
      <c r="B194" s="25">
        <f>18.8/100</f>
        <v>0.188</v>
      </c>
      <c r="C194" s="26">
        <f>14.8/100</f>
        <v>0.14800000000000002</v>
      </c>
      <c r="D194" s="27">
        <v>5.9955652595729998E-2</v>
      </c>
    </row>
    <row r="195" spans="1:4" x14ac:dyDescent="0.2">
      <c r="A195" s="21" t="s">
        <v>68</v>
      </c>
      <c r="B195" s="25">
        <f>75.2/100</f>
        <v>0.752</v>
      </c>
      <c r="C195" s="26">
        <f>63/100</f>
        <v>0.63</v>
      </c>
      <c r="D195" s="27">
        <v>0.59315648258894005</v>
      </c>
    </row>
    <row r="196" spans="1:4" x14ac:dyDescent="0.2">
      <c r="A196" s="21" t="s">
        <v>69</v>
      </c>
      <c r="B196" s="25">
        <f>71.6/100</f>
        <v>0.71599999999999997</v>
      </c>
      <c r="C196" s="26">
        <f>89.429157777574/100</f>
        <v>0.89429157777574009</v>
      </c>
      <c r="D196" s="27">
        <v>0.71700000000000008</v>
      </c>
    </row>
    <row r="197" spans="1:4" x14ac:dyDescent="0.2">
      <c r="A197" s="21" t="s">
        <v>70</v>
      </c>
      <c r="B197" s="25">
        <f>177.3/100</f>
        <v>1.7730000000000001</v>
      </c>
      <c r="C197" s="26">
        <f>111.865675186622/100</f>
        <v>1.11865675186622</v>
      </c>
      <c r="D197" s="27">
        <v>1.673</v>
      </c>
    </row>
    <row r="198" spans="1:4" x14ac:dyDescent="0.2">
      <c r="A198" s="21" t="s">
        <v>64</v>
      </c>
      <c r="B198" s="25">
        <f>678.1/100</f>
        <v>6.7810000000000006</v>
      </c>
      <c r="C198" s="26">
        <f>683.744278044572/100</f>
        <v>6.8374427804457198</v>
      </c>
      <c r="D198" s="27">
        <f>(771.8)/100</f>
        <v>7.718</v>
      </c>
    </row>
    <row r="199" spans="1:4" x14ac:dyDescent="0.2">
      <c r="B199" s="19"/>
      <c r="C199" s="19"/>
      <c r="D199" s="19"/>
    </row>
    <row r="200" spans="1:4" x14ac:dyDescent="0.2">
      <c r="A200" s="23" t="s">
        <v>76</v>
      </c>
      <c r="B200" s="23">
        <v>2000</v>
      </c>
      <c r="C200" s="23">
        <v>2010</v>
      </c>
      <c r="D200" s="23">
        <v>2020</v>
      </c>
    </row>
    <row r="201" spans="1:4" x14ac:dyDescent="0.2">
      <c r="A201" s="24" t="s">
        <v>9</v>
      </c>
      <c r="B201" s="28">
        <f>MAX(B192:B198)</f>
        <v>6.7810000000000006</v>
      </c>
      <c r="C201" s="28">
        <f>MAX(C192:C198)</f>
        <v>6.8374427804457198</v>
      </c>
      <c r="D201" s="28">
        <f>MAX(D192:D198)</f>
        <v>7.718</v>
      </c>
    </row>
    <row r="202" spans="1:4" x14ac:dyDescent="0.2">
      <c r="A202" s="24" t="s">
        <v>10</v>
      </c>
      <c r="B202" s="28">
        <f>MIN(B192:B198)</f>
        <v>3.3986134336640002E-2</v>
      </c>
      <c r="C202" s="28">
        <f t="shared" ref="C202:D202" si="26">MIN(C192:C198)</f>
        <v>1.7000000000000001E-2</v>
      </c>
      <c r="D202" s="28">
        <f t="shared" si="26"/>
        <v>1.2533596065449999E-2</v>
      </c>
    </row>
    <row r="203" spans="1:4" x14ac:dyDescent="0.2">
      <c r="A203" s="24" t="s">
        <v>13</v>
      </c>
      <c r="B203" s="28">
        <f>B201-B202</f>
        <v>6.7470138656633605</v>
      </c>
      <c r="C203" s="28">
        <f t="shared" ref="C203" si="27">C201-C202</f>
        <v>6.8204427804457195</v>
      </c>
      <c r="D203" s="28">
        <f t="shared" ref="D203" si="28">D201-D202</f>
        <v>7.7054664039345502</v>
      </c>
    </row>
    <row r="204" spans="1:4" x14ac:dyDescent="0.2">
      <c r="A204" s="24" t="s">
        <v>8</v>
      </c>
      <c r="B204" s="28">
        <f>AVERAGE(B192:B198)</f>
        <v>1.478283733476663</v>
      </c>
      <c r="C204" s="28">
        <f t="shared" ref="C204:D204" si="29">AVERAGE(C192:C198)</f>
        <v>1.3883415871553828</v>
      </c>
      <c r="D204" s="28">
        <f t="shared" si="29"/>
        <v>1.5442088268747547</v>
      </c>
    </row>
    <row r="205" spans="1:4" x14ac:dyDescent="0.2">
      <c r="A205" s="24" t="s">
        <v>3</v>
      </c>
      <c r="B205" s="28">
        <f>MEDIAN(B192:B198)</f>
        <v>0.71599999999999997</v>
      </c>
      <c r="C205" s="28">
        <f t="shared" ref="C205:D205" si="30">MEDIAN(C192:C198)</f>
        <v>0.63</v>
      </c>
      <c r="D205" s="28">
        <f t="shared" si="30"/>
        <v>0.59315648258894005</v>
      </c>
    </row>
    <row r="206" spans="1:4" x14ac:dyDescent="0.2">
      <c r="A206" s="24" t="s">
        <v>4</v>
      </c>
      <c r="B206" s="28" t="s">
        <v>75</v>
      </c>
      <c r="C206" s="28" t="s">
        <v>75</v>
      </c>
      <c r="D206" s="28" t="s">
        <v>75</v>
      </c>
    </row>
    <row r="207" spans="1:4" x14ac:dyDescent="0.2">
      <c r="A207" s="24" t="s">
        <v>5</v>
      </c>
      <c r="B207" s="28">
        <f>VARP(B192:B198)</f>
        <v>4.9933864972421773</v>
      </c>
      <c r="C207" s="28">
        <f t="shared" ref="C207:D207" si="31">VARP(C192:C198)</f>
        <v>5.1048213702957002</v>
      </c>
      <c r="D207" s="28">
        <f t="shared" si="31"/>
        <v>6.6493349810129123</v>
      </c>
    </row>
    <row r="208" spans="1:4" x14ac:dyDescent="0.2">
      <c r="A208" s="24" t="s">
        <v>11</v>
      </c>
      <c r="B208" s="28">
        <f>SQRT(B207)</f>
        <v>2.23458866399214</v>
      </c>
      <c r="C208" s="28">
        <f t="shared" ref="C208" si="32">SQRT(C207)</f>
        <v>2.2593851752845731</v>
      </c>
      <c r="D208" s="28">
        <f t="shared" ref="D208" si="33">SQRT(D207)</f>
        <v>2.5786304467707102</v>
      </c>
    </row>
    <row r="209" spans="1:4" x14ac:dyDescent="0.2">
      <c r="A209" s="24" t="s">
        <v>7</v>
      </c>
      <c r="B209" s="29">
        <f>STDEV(B192:B198)/AVERAGE(B192:B198)</f>
        <v>1.6327255464096069</v>
      </c>
      <c r="C209" s="29">
        <f t="shared" ref="C209" si="34">STDEV(C192:C198)/AVERAGE(C192:C198)</f>
        <v>1.7577914055055632</v>
      </c>
      <c r="D209" s="29">
        <f>STDEV(D192:D198)/AVERAGE(D192:D198)</f>
        <v>1.8036674608276053</v>
      </c>
    </row>
    <row r="210" spans="1:4" x14ac:dyDescent="0.2">
      <c r="A210" s="24" t="s">
        <v>6</v>
      </c>
      <c r="B210" s="28">
        <f>_xlfn.SKEW.P(B192:B198)</f>
        <v>1.7994396670435837</v>
      </c>
      <c r="C210" s="28">
        <f t="shared" ref="C210" si="35">_xlfn.SKEW.P(C192:C198)</f>
        <v>1.9131345985591697</v>
      </c>
      <c r="D210" s="28">
        <f>_xlfn.SKEW.P(D192:D198)</f>
        <v>1.8629648472883207</v>
      </c>
    </row>
    <row r="211" spans="1:4" x14ac:dyDescent="0.2">
      <c r="A211" s="24" t="s">
        <v>12</v>
      </c>
      <c r="B211" s="28">
        <f>KURT(B192:B198)</f>
        <v>5.6277419082971765</v>
      </c>
      <c r="C211" s="28">
        <f t="shared" ref="C211:D211" si="36">KURT(C192:C198)</f>
        <v>6.3220867369938976</v>
      </c>
      <c r="D211" s="28">
        <f t="shared" si="36"/>
        <v>5.9962996765780741</v>
      </c>
    </row>
    <row r="215" spans="1:4" x14ac:dyDescent="0.2">
      <c r="A215" s="19"/>
    </row>
  </sheetData>
  <sortState xmlns:xlrd2="http://schemas.microsoft.com/office/spreadsheetml/2017/richdata2" ref="A127:A150">
    <sortCondition ref="A127:A150"/>
  </sortState>
  <conditionalFormatting sqref="D169">
    <cfRule type="expression" dxfId="11" priority="21">
      <formula>D$9=4</formula>
    </cfRule>
    <cfRule type="expression" dxfId="10" priority="22">
      <formula>D$9=3</formula>
    </cfRule>
    <cfRule type="expression" dxfId="9" priority="23">
      <formula>D$9=2</formula>
    </cfRule>
    <cfRule type="expression" dxfId="8" priority="24">
      <formula>D$9=1</formula>
    </cfRule>
  </conditionalFormatting>
  <conditionalFormatting sqref="D171">
    <cfRule type="expression" dxfId="7" priority="1">
      <formula>D$9=4</formula>
    </cfRule>
    <cfRule type="expression" dxfId="6" priority="2">
      <formula>D$9=3</formula>
    </cfRule>
    <cfRule type="expression" dxfId="5" priority="3">
      <formula>D$9=2</formula>
    </cfRule>
    <cfRule type="expression" dxfId="4" priority="4">
      <formula>D$9=1</formula>
    </cfRule>
  </conditionalFormatting>
  <conditionalFormatting sqref="D192:D194">
    <cfRule type="expression" dxfId="3" priority="9">
      <formula>D$9=4</formula>
    </cfRule>
    <cfRule type="expression" dxfId="2" priority="10">
      <formula>D$9=3</formula>
    </cfRule>
    <cfRule type="expression" dxfId="1" priority="11">
      <formula>D$9=2</formula>
    </cfRule>
    <cfRule type="expression" dxfId="0" priority="12">
      <formula>D$9=1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Смертность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Казакова Анастасия</dc:creator>
  <cp:lastModifiedBy>Anastasiya Kazakova</cp:lastModifiedBy>
  <dcterms:created xsi:type="dcterms:W3CDTF">2025-04-16T08:49:58Z</dcterms:created>
  <dcterms:modified xsi:type="dcterms:W3CDTF">2025-07-17T11:01:24Z</dcterms:modified>
</cp:coreProperties>
</file>