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sset Management\1. JI\1.1 Пенсионные активы\8. Reporting\2. Ежемесячный отчет на сайт\8. Август\Support\"/>
    </mc:Choice>
  </mc:AlternateContent>
  <xr:revisionPtr revIDLastSave="0" documentId="13_ncr:1_{CEBF2C09-EB56-4EB5-82CD-3DFBA9B6F204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портфель" sheetId="2" r:id="rId1"/>
    <sheet name="Equities" sheetId="6" r:id="rId2"/>
    <sheet name="Bonds" sheetId="7" r:id="rId3"/>
    <sheet name="доход УК" sheetId="3" r:id="rId4"/>
    <sheet name="стоимость УПЕ" sheetId="5" r:id="rId5"/>
    <sheet name="Base rate" sheetId="8" r:id="rId6"/>
    <sheet name="Exchange" sheetId="9" r:id="rId7"/>
    <sheet name="Website" sheetId="10" r:id="rId8"/>
  </sheets>
  <externalReferences>
    <externalReference r:id="rId9"/>
    <externalReference r:id="rId10"/>
  </externalReferences>
  <definedNames>
    <definedName name="__MAIN__" localSheetId="5">#REF!</definedName>
    <definedName name="__MAIN__" localSheetId="2">#REF!</definedName>
    <definedName name="__MAIN__" localSheetId="1">#REF!</definedName>
    <definedName name="__MAIN__" localSheetId="6">#REF!</definedName>
    <definedName name="__MAIN__" localSheetId="7">#REF!</definedName>
    <definedName name="__MAIN__" localSheetId="0">портфель!$2:$136</definedName>
    <definedName name="__MAIN__" localSheetId="4">'стоимость УПЕ'!$1:$67</definedName>
    <definedName name="__MAIN__">#REF!</definedName>
    <definedName name="__mdDATABody__">'стоимость УПЕ'!$4:$4</definedName>
    <definedName name="__mdDATABonds__" localSheetId="5">#REF!</definedName>
    <definedName name="__mdDATABonds__" localSheetId="2">#REF!</definedName>
    <definedName name="__mdDATABonds__" localSheetId="1">#REF!</definedName>
    <definedName name="__mdDATABonds__" localSheetId="6">#REF!</definedName>
    <definedName name="__mdDATABonds__" localSheetId="7">#REF!</definedName>
    <definedName name="__mdDATABonds__" localSheetId="0">портфель!#REF!</definedName>
    <definedName name="__mdDATABonds__">#REF!</definedName>
    <definedName name="__mdDATABondsEuro__" localSheetId="5">#REF!</definedName>
    <definedName name="__mdDATABondsEuro__" localSheetId="2">#REF!</definedName>
    <definedName name="__mdDATABondsEuro__" localSheetId="1">#REF!</definedName>
    <definedName name="__mdDATABondsEuro__" localSheetId="6">#REF!</definedName>
    <definedName name="__mdDATABondsEuro__" localSheetId="7">#REF!</definedName>
    <definedName name="__mdDATABondsEuro__" localSheetId="0">портфель!#REF!</definedName>
    <definedName name="__mdDATABondsEuro__">#REF!</definedName>
    <definedName name="__mdDATABondsGov__" localSheetId="5">#REF!</definedName>
    <definedName name="__mdDATABondsGov__" localSheetId="2">#REF!</definedName>
    <definedName name="__mdDATABondsGov__" localSheetId="1">#REF!</definedName>
    <definedName name="__mdDATABondsGov__" localSheetId="6">#REF!</definedName>
    <definedName name="__mdDATABondsGov__" localSheetId="7">#REF!</definedName>
    <definedName name="__mdDATABondsGov__" localSheetId="0">портфель!$78:$78</definedName>
    <definedName name="__mdDATABondsGov__">#REF!</definedName>
    <definedName name="__mdDATADepos__" localSheetId="5">#REF!</definedName>
    <definedName name="__mdDATADepos__" localSheetId="2">#REF!</definedName>
    <definedName name="__mdDATADepos__" localSheetId="1">#REF!</definedName>
    <definedName name="__mdDATADepos__" localSheetId="6">#REF!</definedName>
    <definedName name="__mdDATADepos__" localSheetId="7">#REF!</definedName>
    <definedName name="__mdDATADepos__" localSheetId="0">портфель!$116:$116</definedName>
    <definedName name="__mdDATADepos__">#REF!</definedName>
    <definedName name="__mdDATAremainders__" localSheetId="5">#REF!</definedName>
    <definedName name="__mdDATAremainders__" localSheetId="2">#REF!</definedName>
    <definedName name="__mdDATAremainders__" localSheetId="1">#REF!</definedName>
    <definedName name="__mdDATAremainders__" localSheetId="6">#REF!</definedName>
    <definedName name="__mdDATAremainders__" localSheetId="7">#REF!</definedName>
    <definedName name="__mdDATAremainders__" localSheetId="0">портфель!$124:$124</definedName>
    <definedName name="__mdDATAremainders__">#REF!</definedName>
    <definedName name="__mdDATARepos__" localSheetId="5">#REF!</definedName>
    <definedName name="__mdDATARepos__" localSheetId="2">#REF!</definedName>
    <definedName name="__mdDATARepos__" localSheetId="1">#REF!</definedName>
    <definedName name="__mdDATARepos__" localSheetId="6">#REF!</definedName>
    <definedName name="__mdDATARepos__" localSheetId="7">#REF!</definedName>
    <definedName name="__mdDATARepos__" localSheetId="0">портфель!#REF!</definedName>
    <definedName name="__mdDATARepos__">#REF!</definedName>
    <definedName name="__mdDATASharesInt__" localSheetId="5">#REF!</definedName>
    <definedName name="__mdDATASharesInt__" localSheetId="2">#REF!</definedName>
    <definedName name="__mdDATASharesInt__" localSheetId="1">#REF!</definedName>
    <definedName name="__mdDATASharesInt__" localSheetId="6">#REF!</definedName>
    <definedName name="__mdDATASharesInt__" localSheetId="7">#REF!</definedName>
    <definedName name="__mdDATASharesInt__" localSheetId="0">портфель!#REF!</definedName>
    <definedName name="__mdDATASharesInt__">#REF!</definedName>
    <definedName name="__mdDATASharesLocal__" localSheetId="5">#REF!</definedName>
    <definedName name="__mdDATASharesLocal__" localSheetId="2">#REF!</definedName>
    <definedName name="__mdDATASharesLocal__" localSheetId="1">#REF!</definedName>
    <definedName name="__mdDATASharesLocal__" localSheetId="6">#REF!</definedName>
    <definedName name="__mdDATASharesLocal__" localSheetId="7">#REF!</definedName>
    <definedName name="__mdDATASharesLocal__" localSheetId="0">портфель!#REF!</definedName>
    <definedName name="__mdDATASharesLocal__">#REF!</definedName>
    <definedName name="__mdDATASharesPLC__" localSheetId="5">#REF!</definedName>
    <definedName name="__mdDATASharesPLC__" localSheetId="2">#REF!</definedName>
    <definedName name="__mdDATASharesPLC__" localSheetId="1">#REF!</definedName>
    <definedName name="__mdDATASharesPLC__" localSheetId="6">#REF!</definedName>
    <definedName name="__mdDATASharesPLC__" localSheetId="7">#REF!</definedName>
    <definedName name="__mdDATASharesPLC__" localSheetId="0">портфель!$118:$118</definedName>
    <definedName name="__mdDATASharesPLC__">#REF!</definedName>
    <definedName name="_xlnm._FilterDatabase" localSheetId="2" hidden="1">Bonds!$D$36:$D$48</definedName>
    <definedName name="_xlnm._FilterDatabase" localSheetId="0" hidden="1">портфель!$A$12:$AI$111</definedName>
    <definedName name="_xlnm.Print_Area" localSheetId="0">портфель!$A$1:$AC$189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10" l="1"/>
  <c r="F53" i="10"/>
  <c r="F52" i="10"/>
  <c r="F51" i="10"/>
  <c r="F50" i="10"/>
  <c r="F49" i="10"/>
  <c r="F48" i="10"/>
  <c r="F47" i="10"/>
  <c r="F46" i="10"/>
  <c r="F45" i="10"/>
  <c r="F44" i="10"/>
  <c r="G26" i="10"/>
  <c r="G22" i="10"/>
  <c r="G21" i="10"/>
  <c r="G20" i="10"/>
  <c r="G19" i="10"/>
  <c r="G18" i="10"/>
  <c r="G17" i="10"/>
  <c r="G16" i="10"/>
  <c r="G15" i="10"/>
  <c r="G14" i="10"/>
  <c r="I5" i="10"/>
  <c r="F5" i="10"/>
  <c r="G27" i="10"/>
  <c r="C22" i="10"/>
  <c r="C21" i="10"/>
  <c r="C20" i="10"/>
  <c r="C19" i="10"/>
  <c r="C18" i="10"/>
  <c r="C17" i="10"/>
  <c r="C16" i="10"/>
  <c r="Y151" i="2" l="1"/>
  <c r="G39" i="9"/>
  <c r="F39" i="9"/>
  <c r="G38" i="9"/>
  <c r="F38" i="9"/>
  <c r="G37" i="9"/>
  <c r="I37" i="9" s="1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I6" i="9" s="1"/>
  <c r="F6" i="9"/>
  <c r="G5" i="9"/>
  <c r="F5" i="9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K173" i="5"/>
  <c r="I173" i="5"/>
  <c r="G173" i="5"/>
  <c r="AB101" i="2"/>
  <c r="AC101" i="2" s="1"/>
  <c r="AB102" i="2"/>
  <c r="AC102" i="2" s="1"/>
  <c r="AB103" i="2"/>
  <c r="AC103" i="2" s="1"/>
  <c r="AB100" i="2"/>
  <c r="AC100" i="2" s="1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I9" i="7" s="1"/>
  <c r="B10" i="7"/>
  <c r="C10" i="7"/>
  <c r="D10" i="7"/>
  <c r="E10" i="7"/>
  <c r="F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K13" i="7" s="1"/>
  <c r="F13" i="7"/>
  <c r="G13" i="7"/>
  <c r="H13" i="7"/>
  <c r="I13" i="7"/>
  <c r="B14" i="7"/>
  <c r="C14" i="7"/>
  <c r="D14" i="7"/>
  <c r="E14" i="7"/>
  <c r="K14" i="7" s="1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H7" i="7"/>
  <c r="G7" i="7"/>
  <c r="F7" i="7"/>
  <c r="E7" i="7"/>
  <c r="D7" i="7"/>
  <c r="C7" i="7"/>
  <c r="B7" i="7"/>
  <c r="B6" i="6"/>
  <c r="C6" i="6"/>
  <c r="D6" i="6"/>
  <c r="E6" i="6"/>
  <c r="F6" i="6"/>
  <c r="O6" i="6" s="1"/>
  <c r="G6" i="6"/>
  <c r="H6" i="6"/>
  <c r="I6" i="6"/>
  <c r="B7" i="6"/>
  <c r="C7" i="6"/>
  <c r="D7" i="6"/>
  <c r="E7" i="6"/>
  <c r="F7" i="6"/>
  <c r="O7" i="6" s="1"/>
  <c r="G7" i="6"/>
  <c r="H7" i="6"/>
  <c r="I7" i="6"/>
  <c r="B8" i="6"/>
  <c r="C8" i="6"/>
  <c r="D8" i="6"/>
  <c r="E8" i="6"/>
  <c r="F8" i="6"/>
  <c r="O8" i="6" s="1"/>
  <c r="G8" i="6"/>
  <c r="H8" i="6"/>
  <c r="I8" i="6"/>
  <c r="B9" i="6"/>
  <c r="C9" i="6"/>
  <c r="D9" i="6"/>
  <c r="E9" i="6"/>
  <c r="F9" i="6"/>
  <c r="O9" i="6" s="1"/>
  <c r="G9" i="6"/>
  <c r="H9" i="6"/>
  <c r="I9" i="6"/>
  <c r="B10" i="6"/>
  <c r="C10" i="6"/>
  <c r="D10" i="6"/>
  <c r="E10" i="6"/>
  <c r="F10" i="6"/>
  <c r="O10" i="6" s="1"/>
  <c r="G10" i="6"/>
  <c r="H10" i="6"/>
  <c r="I10" i="6"/>
  <c r="B11" i="6"/>
  <c r="C11" i="6"/>
  <c r="D11" i="6"/>
  <c r="E11" i="6"/>
  <c r="F11" i="6"/>
  <c r="O11" i="6" s="1"/>
  <c r="G11" i="6"/>
  <c r="H11" i="6"/>
  <c r="I11" i="6"/>
  <c r="B12" i="6"/>
  <c r="C12" i="6"/>
  <c r="D12" i="6"/>
  <c r="E12" i="6"/>
  <c r="F12" i="6"/>
  <c r="O12" i="6" s="1"/>
  <c r="G12" i="6"/>
  <c r="H12" i="6"/>
  <c r="I12" i="6"/>
  <c r="B13" i="6"/>
  <c r="C13" i="6"/>
  <c r="D13" i="6"/>
  <c r="E13" i="6"/>
  <c r="F13" i="6"/>
  <c r="O13" i="6" s="1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I15" i="6"/>
  <c r="B16" i="6"/>
  <c r="C16" i="6"/>
  <c r="D16" i="6"/>
  <c r="E16" i="6"/>
  <c r="F16" i="6"/>
  <c r="O16" i="6" s="1"/>
  <c r="G16" i="6"/>
  <c r="H16" i="6"/>
  <c r="I16" i="6"/>
  <c r="B17" i="6"/>
  <c r="C17" i="6"/>
  <c r="D17" i="6"/>
  <c r="E17" i="6"/>
  <c r="F17" i="6"/>
  <c r="O17" i="6" s="1"/>
  <c r="G17" i="6"/>
  <c r="H17" i="6"/>
  <c r="I17" i="6"/>
  <c r="B18" i="6"/>
  <c r="C18" i="6"/>
  <c r="D18" i="6"/>
  <c r="E18" i="6"/>
  <c r="F18" i="6"/>
  <c r="O18" i="6" s="1"/>
  <c r="G18" i="6"/>
  <c r="H18" i="6"/>
  <c r="I18" i="6"/>
  <c r="B19" i="6"/>
  <c r="C19" i="6"/>
  <c r="D19" i="6"/>
  <c r="E19" i="6"/>
  <c r="F19" i="6"/>
  <c r="O19" i="6" s="1"/>
  <c r="G19" i="6"/>
  <c r="H19" i="6"/>
  <c r="I19" i="6"/>
  <c r="B20" i="6"/>
  <c r="C20" i="6"/>
  <c r="D20" i="6"/>
  <c r="E20" i="6"/>
  <c r="F20" i="6"/>
  <c r="O20" i="6" s="1"/>
  <c r="G20" i="6"/>
  <c r="H20" i="6"/>
  <c r="I20" i="6"/>
  <c r="B21" i="6"/>
  <c r="C21" i="6"/>
  <c r="D21" i="6"/>
  <c r="E21" i="6"/>
  <c r="F21" i="6"/>
  <c r="O21" i="6" s="1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O23" i="6" s="1"/>
  <c r="G23" i="6"/>
  <c r="H23" i="6"/>
  <c r="I23" i="6"/>
  <c r="B24" i="6"/>
  <c r="C24" i="6"/>
  <c r="D24" i="6"/>
  <c r="E24" i="6"/>
  <c r="F24" i="6"/>
  <c r="O24" i="6" s="1"/>
  <c r="G24" i="6"/>
  <c r="H24" i="6"/>
  <c r="I24" i="6"/>
  <c r="B25" i="6"/>
  <c r="C25" i="6"/>
  <c r="D25" i="6"/>
  <c r="E25" i="6"/>
  <c r="F25" i="6"/>
  <c r="O25" i="6" s="1"/>
  <c r="G25" i="6"/>
  <c r="H25" i="6"/>
  <c r="I25" i="6"/>
  <c r="B26" i="6"/>
  <c r="C26" i="6"/>
  <c r="D26" i="6"/>
  <c r="E26" i="6"/>
  <c r="F26" i="6"/>
  <c r="O26" i="6" s="1"/>
  <c r="G26" i="6"/>
  <c r="H26" i="6"/>
  <c r="I26" i="6"/>
  <c r="B27" i="6"/>
  <c r="C27" i="6"/>
  <c r="D27" i="6"/>
  <c r="E27" i="6"/>
  <c r="F27" i="6"/>
  <c r="O27" i="6" s="1"/>
  <c r="G27" i="6"/>
  <c r="H27" i="6"/>
  <c r="I27" i="6"/>
  <c r="B28" i="6"/>
  <c r="C28" i="6"/>
  <c r="D28" i="6"/>
  <c r="E28" i="6"/>
  <c r="F28" i="6"/>
  <c r="O28" i="6" s="1"/>
  <c r="G28" i="6"/>
  <c r="H28" i="6"/>
  <c r="I28" i="6"/>
  <c r="B29" i="6"/>
  <c r="C29" i="6"/>
  <c r="D29" i="6"/>
  <c r="E29" i="6"/>
  <c r="F29" i="6"/>
  <c r="O29" i="6" s="1"/>
  <c r="G29" i="6"/>
  <c r="H29" i="6"/>
  <c r="I29" i="6"/>
  <c r="B30" i="6"/>
  <c r="C30" i="6"/>
  <c r="D30" i="6"/>
  <c r="E30" i="6"/>
  <c r="F30" i="6"/>
  <c r="O30" i="6" s="1"/>
  <c r="G30" i="6"/>
  <c r="H30" i="6"/>
  <c r="I30" i="6"/>
  <c r="B31" i="6"/>
  <c r="C31" i="6"/>
  <c r="D31" i="6"/>
  <c r="E31" i="6"/>
  <c r="F31" i="6"/>
  <c r="O31" i="6" s="1"/>
  <c r="G31" i="6"/>
  <c r="H31" i="6"/>
  <c r="I31" i="6"/>
  <c r="B32" i="6"/>
  <c r="C32" i="6"/>
  <c r="D32" i="6"/>
  <c r="E32" i="6"/>
  <c r="F32" i="6"/>
  <c r="O32" i="6" s="1"/>
  <c r="G32" i="6"/>
  <c r="H32" i="6"/>
  <c r="I32" i="6"/>
  <c r="B33" i="6"/>
  <c r="C33" i="6"/>
  <c r="D33" i="6"/>
  <c r="E33" i="6"/>
  <c r="F33" i="6"/>
  <c r="O33" i="6" s="1"/>
  <c r="G33" i="6"/>
  <c r="H33" i="6"/>
  <c r="I33" i="6"/>
  <c r="B34" i="6"/>
  <c r="C34" i="6"/>
  <c r="D34" i="6"/>
  <c r="E34" i="6"/>
  <c r="F34" i="6"/>
  <c r="O34" i="6" s="1"/>
  <c r="G34" i="6"/>
  <c r="H34" i="6"/>
  <c r="I34" i="6"/>
  <c r="B35" i="6"/>
  <c r="C35" i="6"/>
  <c r="D35" i="6"/>
  <c r="E35" i="6"/>
  <c r="F35" i="6"/>
  <c r="O35" i="6" s="1"/>
  <c r="G35" i="6"/>
  <c r="H35" i="6"/>
  <c r="I35" i="6"/>
  <c r="B36" i="6"/>
  <c r="C36" i="6"/>
  <c r="D36" i="6"/>
  <c r="E36" i="6"/>
  <c r="F36" i="6"/>
  <c r="O36" i="6" s="1"/>
  <c r="G36" i="6"/>
  <c r="H36" i="6"/>
  <c r="I36" i="6"/>
  <c r="B37" i="6"/>
  <c r="C37" i="6"/>
  <c r="D37" i="6"/>
  <c r="E37" i="6"/>
  <c r="F37" i="6"/>
  <c r="O37" i="6" s="1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I39" i="6"/>
  <c r="B40" i="6"/>
  <c r="C40" i="6"/>
  <c r="D40" i="6"/>
  <c r="E40" i="6"/>
  <c r="F40" i="6"/>
  <c r="O40" i="6" s="1"/>
  <c r="G40" i="6"/>
  <c r="H40" i="6"/>
  <c r="I40" i="6"/>
  <c r="B41" i="6"/>
  <c r="C41" i="6"/>
  <c r="D41" i="6"/>
  <c r="E41" i="6"/>
  <c r="F41" i="6"/>
  <c r="O41" i="6" s="1"/>
  <c r="G41" i="6"/>
  <c r="H41" i="6"/>
  <c r="I41" i="6"/>
  <c r="B42" i="6"/>
  <c r="C42" i="6"/>
  <c r="D42" i="6"/>
  <c r="E42" i="6"/>
  <c r="F42" i="6"/>
  <c r="O42" i="6" s="1"/>
  <c r="G42" i="6"/>
  <c r="H42" i="6"/>
  <c r="I42" i="6"/>
  <c r="B43" i="6"/>
  <c r="C43" i="6"/>
  <c r="D43" i="6"/>
  <c r="E43" i="6"/>
  <c r="F43" i="6"/>
  <c r="O43" i="6" s="1"/>
  <c r="G43" i="6"/>
  <c r="H43" i="6"/>
  <c r="I43" i="6"/>
  <c r="B44" i="6"/>
  <c r="C44" i="6"/>
  <c r="D44" i="6"/>
  <c r="E44" i="6"/>
  <c r="F44" i="6"/>
  <c r="O44" i="6" s="1"/>
  <c r="G44" i="6"/>
  <c r="H44" i="6"/>
  <c r="I44" i="6"/>
  <c r="B45" i="6"/>
  <c r="C45" i="6"/>
  <c r="D45" i="6"/>
  <c r="E45" i="6"/>
  <c r="F45" i="6"/>
  <c r="O45" i="6" s="1"/>
  <c r="G45" i="6"/>
  <c r="H45" i="6"/>
  <c r="I45" i="6"/>
  <c r="B46" i="6"/>
  <c r="C46" i="6"/>
  <c r="D46" i="6"/>
  <c r="E46" i="6"/>
  <c r="F46" i="6"/>
  <c r="O46" i="6" s="1"/>
  <c r="G46" i="6"/>
  <c r="H46" i="6"/>
  <c r="I46" i="6"/>
  <c r="B47" i="6"/>
  <c r="C47" i="6"/>
  <c r="D47" i="6"/>
  <c r="E47" i="6"/>
  <c r="F47" i="6"/>
  <c r="O47" i="6" s="1"/>
  <c r="G47" i="6"/>
  <c r="H47" i="6"/>
  <c r="I47" i="6"/>
  <c r="B48" i="6"/>
  <c r="C48" i="6"/>
  <c r="D48" i="6"/>
  <c r="E48" i="6"/>
  <c r="F48" i="6"/>
  <c r="O48" i="6" s="1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I50" i="6"/>
  <c r="B51" i="6"/>
  <c r="C51" i="6"/>
  <c r="D51" i="6"/>
  <c r="E51" i="6"/>
  <c r="F51" i="6"/>
  <c r="O51" i="6" s="1"/>
  <c r="G51" i="6"/>
  <c r="H51" i="6"/>
  <c r="I51" i="6"/>
  <c r="B52" i="6"/>
  <c r="C52" i="6"/>
  <c r="D52" i="6"/>
  <c r="E52" i="6"/>
  <c r="F52" i="6"/>
  <c r="O52" i="6" s="1"/>
  <c r="G52" i="6"/>
  <c r="H52" i="6"/>
  <c r="I52" i="6"/>
  <c r="B53" i="6"/>
  <c r="C53" i="6"/>
  <c r="D53" i="6"/>
  <c r="E53" i="6"/>
  <c r="F53" i="6"/>
  <c r="O53" i="6" s="1"/>
  <c r="G53" i="6"/>
  <c r="H53" i="6"/>
  <c r="I53" i="6"/>
  <c r="B54" i="6"/>
  <c r="C54" i="6"/>
  <c r="D54" i="6"/>
  <c r="E54" i="6"/>
  <c r="F54" i="6"/>
  <c r="O54" i="6" s="1"/>
  <c r="G54" i="6"/>
  <c r="H54" i="6"/>
  <c r="I54" i="6"/>
  <c r="B55" i="6"/>
  <c r="C55" i="6"/>
  <c r="D55" i="6"/>
  <c r="E55" i="6"/>
  <c r="F55" i="6"/>
  <c r="O55" i="6" s="1"/>
  <c r="G55" i="6"/>
  <c r="H55" i="6"/>
  <c r="I55" i="6"/>
  <c r="B56" i="6"/>
  <c r="C56" i="6"/>
  <c r="D56" i="6"/>
  <c r="E56" i="6"/>
  <c r="F56" i="6"/>
  <c r="O56" i="6" s="1"/>
  <c r="G56" i="6"/>
  <c r="H56" i="6"/>
  <c r="I56" i="6"/>
  <c r="B57" i="6"/>
  <c r="C57" i="6"/>
  <c r="D57" i="6"/>
  <c r="E57" i="6"/>
  <c r="F57" i="6"/>
  <c r="O57" i="6" s="1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O59" i="6" s="1"/>
  <c r="G59" i="6"/>
  <c r="H59" i="6"/>
  <c r="I59" i="6"/>
  <c r="B60" i="6"/>
  <c r="C60" i="6"/>
  <c r="D60" i="6"/>
  <c r="E60" i="6"/>
  <c r="F60" i="6"/>
  <c r="O60" i="6" s="1"/>
  <c r="G60" i="6"/>
  <c r="H60" i="6"/>
  <c r="I60" i="6"/>
  <c r="B61" i="6"/>
  <c r="C61" i="6"/>
  <c r="D61" i="6"/>
  <c r="E61" i="6"/>
  <c r="F61" i="6"/>
  <c r="O61" i="6" s="1"/>
  <c r="G61" i="6"/>
  <c r="H61" i="6"/>
  <c r="I61" i="6"/>
  <c r="B62" i="6"/>
  <c r="C62" i="6"/>
  <c r="D62" i="6"/>
  <c r="E62" i="6"/>
  <c r="F62" i="6"/>
  <c r="O62" i="6" s="1"/>
  <c r="G62" i="6"/>
  <c r="H62" i="6"/>
  <c r="I62" i="6"/>
  <c r="B63" i="6"/>
  <c r="C63" i="6"/>
  <c r="D63" i="6"/>
  <c r="E63" i="6"/>
  <c r="F63" i="6"/>
  <c r="O63" i="6" s="1"/>
  <c r="G63" i="6"/>
  <c r="H63" i="6"/>
  <c r="I63" i="6"/>
  <c r="B64" i="6"/>
  <c r="C64" i="6"/>
  <c r="D64" i="6"/>
  <c r="E64" i="6"/>
  <c r="F64" i="6"/>
  <c r="O64" i="6" s="1"/>
  <c r="G64" i="6"/>
  <c r="H64" i="6"/>
  <c r="I64" i="6"/>
  <c r="B65" i="6"/>
  <c r="C65" i="6"/>
  <c r="D65" i="6"/>
  <c r="E65" i="6"/>
  <c r="F65" i="6"/>
  <c r="O65" i="6" s="1"/>
  <c r="G65" i="6"/>
  <c r="H65" i="6"/>
  <c r="I65" i="6"/>
  <c r="B66" i="6"/>
  <c r="C66" i="6"/>
  <c r="D66" i="6"/>
  <c r="E66" i="6"/>
  <c r="F66" i="6"/>
  <c r="O66" i="6" s="1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O68" i="6" s="1"/>
  <c r="G68" i="6"/>
  <c r="H68" i="6"/>
  <c r="I68" i="6"/>
  <c r="B69" i="6"/>
  <c r="C69" i="6"/>
  <c r="D69" i="6"/>
  <c r="E69" i="6"/>
  <c r="F69" i="6"/>
  <c r="O69" i="6" s="1"/>
  <c r="G69" i="6"/>
  <c r="H69" i="6"/>
  <c r="I69" i="6"/>
  <c r="B70" i="6"/>
  <c r="C70" i="6"/>
  <c r="D70" i="6"/>
  <c r="E70" i="6"/>
  <c r="F70" i="6"/>
  <c r="O70" i="6" s="1"/>
  <c r="G70" i="6"/>
  <c r="H70" i="6"/>
  <c r="I70" i="6"/>
  <c r="B71" i="6"/>
  <c r="C71" i="6"/>
  <c r="D71" i="6"/>
  <c r="E71" i="6"/>
  <c r="F71" i="6"/>
  <c r="O71" i="6" s="1"/>
  <c r="G71" i="6"/>
  <c r="H71" i="6"/>
  <c r="I71" i="6"/>
  <c r="B72" i="6"/>
  <c r="C72" i="6"/>
  <c r="D72" i="6"/>
  <c r="E72" i="6"/>
  <c r="F72" i="6"/>
  <c r="O72" i="6" s="1"/>
  <c r="G72" i="6"/>
  <c r="H72" i="6"/>
  <c r="I72" i="6"/>
  <c r="B73" i="6"/>
  <c r="C73" i="6"/>
  <c r="D73" i="6"/>
  <c r="E73" i="6"/>
  <c r="F73" i="6"/>
  <c r="O73" i="6" s="1"/>
  <c r="G73" i="6"/>
  <c r="H73" i="6"/>
  <c r="I73" i="6"/>
  <c r="B74" i="6"/>
  <c r="C74" i="6"/>
  <c r="D74" i="6"/>
  <c r="E74" i="6"/>
  <c r="F74" i="6"/>
  <c r="O74" i="6" s="1"/>
  <c r="G74" i="6"/>
  <c r="H74" i="6"/>
  <c r="I74" i="6"/>
  <c r="B75" i="6"/>
  <c r="C75" i="6"/>
  <c r="D75" i="6"/>
  <c r="E75" i="6"/>
  <c r="F75" i="6"/>
  <c r="O75" i="6" s="1"/>
  <c r="G75" i="6"/>
  <c r="H75" i="6"/>
  <c r="I75" i="6"/>
  <c r="B76" i="6"/>
  <c r="C76" i="6"/>
  <c r="D76" i="6"/>
  <c r="E76" i="6"/>
  <c r="F76" i="6"/>
  <c r="O76" i="6" s="1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I78" i="6"/>
  <c r="B79" i="6"/>
  <c r="C79" i="6"/>
  <c r="D79" i="6"/>
  <c r="E79" i="6"/>
  <c r="F79" i="6"/>
  <c r="O79" i="6" s="1"/>
  <c r="G79" i="6"/>
  <c r="H79" i="6"/>
  <c r="I79" i="6"/>
  <c r="B80" i="6"/>
  <c r="C80" i="6"/>
  <c r="D80" i="6"/>
  <c r="E80" i="6"/>
  <c r="F80" i="6"/>
  <c r="O80" i="6" s="1"/>
  <c r="G80" i="6"/>
  <c r="H80" i="6"/>
  <c r="I80" i="6"/>
  <c r="B81" i="6"/>
  <c r="C81" i="6"/>
  <c r="D81" i="6"/>
  <c r="E81" i="6"/>
  <c r="F81" i="6"/>
  <c r="F86" i="6" s="1"/>
  <c r="G81" i="6"/>
  <c r="H81" i="6"/>
  <c r="I81" i="6"/>
  <c r="B82" i="6"/>
  <c r="C82" i="6"/>
  <c r="D82" i="6"/>
  <c r="E82" i="6"/>
  <c r="F82" i="6"/>
  <c r="O82" i="6" s="1"/>
  <c r="G82" i="6"/>
  <c r="H82" i="6"/>
  <c r="I82" i="6"/>
  <c r="B83" i="6"/>
  <c r="C83" i="6"/>
  <c r="D83" i="6"/>
  <c r="E83" i="6"/>
  <c r="F83" i="6"/>
  <c r="O83" i="6" s="1"/>
  <c r="G83" i="6"/>
  <c r="H83" i="6"/>
  <c r="I83" i="6"/>
  <c r="B84" i="6"/>
  <c r="C84" i="6"/>
  <c r="D84" i="6"/>
  <c r="E84" i="6"/>
  <c r="F84" i="6"/>
  <c r="G84" i="6"/>
  <c r="I84" i="6"/>
  <c r="K2" i="6"/>
  <c r="I5" i="6"/>
  <c r="H5" i="6"/>
  <c r="G5" i="6"/>
  <c r="F5" i="6"/>
  <c r="O5" i="6" s="1"/>
  <c r="E5" i="6"/>
  <c r="J5" i="6" s="1"/>
  <c r="D5" i="6"/>
  <c r="C5" i="6"/>
  <c r="B5" i="6"/>
  <c r="I17" i="7" l="1"/>
  <c r="I12" i="7"/>
  <c r="I18" i="7"/>
  <c r="I11" i="7"/>
  <c r="I8" i="7"/>
  <c r="I15" i="7"/>
  <c r="K11" i="7"/>
  <c r="I10" i="7"/>
  <c r="I19" i="7"/>
  <c r="I14" i="7"/>
  <c r="K12" i="7"/>
  <c r="K26" i="7"/>
  <c r="L14" i="7" s="1"/>
  <c r="I16" i="7"/>
  <c r="J83" i="6"/>
  <c r="L38" i="6"/>
  <c r="O88" i="6"/>
  <c r="K37" i="9"/>
  <c r="I7" i="7"/>
  <c r="J40" i="6"/>
  <c r="L77" i="6"/>
  <c r="O77" i="6" s="1"/>
  <c r="L58" i="6"/>
  <c r="L94" i="6" s="1"/>
  <c r="L49" i="6"/>
  <c r="J75" i="6"/>
  <c r="J71" i="6"/>
  <c r="L14" i="6"/>
  <c r="O14" i="6" s="1"/>
  <c r="J65" i="6"/>
  <c r="J54" i="6"/>
  <c r="J50" i="6"/>
  <c r="J81" i="6"/>
  <c r="J78" i="6"/>
  <c r="J69" i="6"/>
  <c r="J79" i="6"/>
  <c r="J73" i="6"/>
  <c r="O38" i="6"/>
  <c r="O81" i="6"/>
  <c r="J66" i="6"/>
  <c r="J60" i="6"/>
  <c r="J44" i="6"/>
  <c r="L22" i="6"/>
  <c r="L99" i="6" s="1"/>
  <c r="J67" i="6"/>
  <c r="J62" i="6"/>
  <c r="J77" i="6"/>
  <c r="J58" i="6"/>
  <c r="J48" i="6"/>
  <c r="L67" i="6"/>
  <c r="L98" i="6" s="1"/>
  <c r="J82" i="6"/>
  <c r="J76" i="6"/>
  <c r="J72" i="6"/>
  <c r="J68" i="6"/>
  <c r="J64" i="6"/>
  <c r="J13" i="6"/>
  <c r="J11" i="6"/>
  <c r="J46" i="6"/>
  <c r="J42" i="6"/>
  <c r="J36" i="6"/>
  <c r="J9" i="6"/>
  <c r="J7" i="6"/>
  <c r="J56" i="6"/>
  <c r="J84" i="6"/>
  <c r="J80" i="6"/>
  <c r="J74" i="6"/>
  <c r="J70" i="6"/>
  <c r="J52" i="6"/>
  <c r="J38" i="6"/>
  <c r="J59" i="6"/>
  <c r="J51" i="6"/>
  <c r="J45" i="6"/>
  <c r="J39" i="6"/>
  <c r="J33" i="6"/>
  <c r="J29" i="6"/>
  <c r="J25" i="6"/>
  <c r="J20" i="6"/>
  <c r="J16" i="6"/>
  <c r="J15" i="6"/>
  <c r="J14" i="6"/>
  <c r="J6" i="6"/>
  <c r="J57" i="6"/>
  <c r="J43" i="6"/>
  <c r="J37" i="6"/>
  <c r="J34" i="6"/>
  <c r="J30" i="6"/>
  <c r="J26" i="6"/>
  <c r="J21" i="6"/>
  <c r="J17" i="6"/>
  <c r="J12" i="6"/>
  <c r="J63" i="6"/>
  <c r="J55" i="6"/>
  <c r="J49" i="6"/>
  <c r="J41" i="6"/>
  <c r="J35" i="6"/>
  <c r="J31" i="6"/>
  <c r="J27" i="6"/>
  <c r="J23" i="6"/>
  <c r="J22" i="6"/>
  <c r="J18" i="6"/>
  <c r="J10" i="6"/>
  <c r="J61" i="6"/>
  <c r="J53" i="6"/>
  <c r="J47" i="6"/>
  <c r="J32" i="6"/>
  <c r="J28" i="6"/>
  <c r="J24" i="6"/>
  <c r="J19" i="6"/>
  <c r="J8" i="6"/>
  <c r="L7" i="7" l="1"/>
  <c r="L9" i="7"/>
  <c r="O58" i="6"/>
  <c r="O94" i="6" s="1"/>
  <c r="O49" i="6"/>
  <c r="L18" i="7"/>
  <c r="L8" i="7"/>
  <c r="L16" i="7"/>
  <c r="L10" i="7"/>
  <c r="L13" i="7"/>
  <c r="L12" i="7"/>
  <c r="L19" i="7"/>
  <c r="L17" i="7"/>
  <c r="L11" i="7"/>
  <c r="L15" i="7"/>
  <c r="J95" i="6"/>
  <c r="K95" i="6" s="1"/>
  <c r="J93" i="6"/>
  <c r="K93" i="6" s="1"/>
  <c r="J97" i="6"/>
  <c r="J99" i="6"/>
  <c r="K99" i="6" s="1"/>
  <c r="J98" i="6"/>
  <c r="P98" i="6" s="1"/>
  <c r="E111" i="6" s="1"/>
  <c r="J87" i="6"/>
  <c r="O67" i="6"/>
  <c r="O98" i="6" s="1"/>
  <c r="O22" i="6"/>
  <c r="O99" i="6" s="1"/>
  <c r="J96" i="6"/>
  <c r="J94" i="6"/>
  <c r="K94" i="6" s="1"/>
  <c r="K98" i="6" l="1"/>
  <c r="K96" i="6"/>
  <c r="P99" i="6"/>
  <c r="E105" i="6" s="1"/>
  <c r="P94" i="6"/>
  <c r="E107" i="6" s="1"/>
  <c r="Q94" i="6"/>
  <c r="K97" i="6"/>
  <c r="Q99" i="6"/>
  <c r="Q98" i="6" l="1"/>
  <c r="AE71" i="3" l="1"/>
  <c r="AF71" i="3"/>
  <c r="AG71" i="3"/>
  <c r="AH71" i="3"/>
  <c r="P109" i="2"/>
  <c r="P108" i="2"/>
  <c r="P107" i="2"/>
  <c r="P106" i="2"/>
  <c r="P105" i="2"/>
  <c r="X109" i="2" l="1"/>
  <c r="X103" i="2"/>
  <c r="X100" i="2"/>
  <c r="R103" i="2"/>
  <c r="AD71" i="3"/>
  <c r="C70" i="3"/>
  <c r="AC71" i="3"/>
  <c r="Y129" i="2"/>
  <c r="AB71" i="3"/>
  <c r="AA71" i="3"/>
  <c r="D174" i="5"/>
  <c r="Y71" i="3"/>
  <c r="Z71" i="3"/>
  <c r="X71" i="3"/>
  <c r="R102" i="2"/>
  <c r="T102" i="2" s="1"/>
  <c r="V23" i="2"/>
  <c r="V47" i="2"/>
  <c r="V58" i="2"/>
  <c r="V86" i="2"/>
  <c r="W72" i="3"/>
  <c r="V72" i="3"/>
  <c r="W71" i="3"/>
  <c r="Y102" i="2"/>
  <c r="X102" i="2"/>
  <c r="D6" i="2"/>
  <c r="V71" i="3"/>
  <c r="S86" i="2"/>
  <c r="M86" i="2"/>
  <c r="H78" i="6" s="1"/>
  <c r="L78" i="6" s="1"/>
  <c r="Q86" i="2"/>
  <c r="S58" i="2"/>
  <c r="M58" i="2"/>
  <c r="H50" i="6" s="1"/>
  <c r="L50" i="6" s="1"/>
  <c r="Q58" i="2"/>
  <c r="S47" i="2"/>
  <c r="X47" i="2"/>
  <c r="M47" i="2"/>
  <c r="H39" i="6" s="1"/>
  <c r="L39" i="6" s="1"/>
  <c r="Q47" i="2"/>
  <c r="S23" i="2"/>
  <c r="X23" i="2"/>
  <c r="M23" i="2"/>
  <c r="H15" i="6" s="1"/>
  <c r="L15" i="6" s="1"/>
  <c r="U71" i="3"/>
  <c r="T71" i="3"/>
  <c r="V66" i="2"/>
  <c r="V57" i="2"/>
  <c r="V46" i="2"/>
  <c r="V30" i="2"/>
  <c r="V22" i="2"/>
  <c r="V92" i="2"/>
  <c r="V85" i="2"/>
  <c r="V75" i="2"/>
  <c r="Q71" i="3"/>
  <c r="R71" i="3"/>
  <c r="S71" i="3"/>
  <c r="P71" i="3"/>
  <c r="O71" i="3"/>
  <c r="R101" i="2"/>
  <c r="T101" i="2" s="1"/>
  <c r="Y101" i="2"/>
  <c r="X101" i="2"/>
  <c r="N71" i="3"/>
  <c r="M71" i="3"/>
  <c r="R100" i="2"/>
  <c r="J71" i="3"/>
  <c r="K71" i="3"/>
  <c r="L71" i="3"/>
  <c r="I71" i="3"/>
  <c r="I72" i="3"/>
  <c r="M92" i="2"/>
  <c r="H84" i="6" s="1"/>
  <c r="L84" i="6" s="1"/>
  <c r="Q92" i="2"/>
  <c r="X85" i="2"/>
  <c r="T85" i="2"/>
  <c r="U85" i="2" s="1"/>
  <c r="Q85" i="2"/>
  <c r="X75" i="2"/>
  <c r="T75" i="2"/>
  <c r="U75" i="2" s="1"/>
  <c r="X66" i="2"/>
  <c r="T66" i="2"/>
  <c r="U66" i="2" s="1"/>
  <c r="Q66" i="2"/>
  <c r="X57" i="2"/>
  <c r="T57" i="2"/>
  <c r="U57" i="2" s="1"/>
  <c r="Q57" i="2"/>
  <c r="X46" i="2"/>
  <c r="T46" i="2"/>
  <c r="U46" i="2" s="1"/>
  <c r="Q46" i="2"/>
  <c r="X30" i="2"/>
  <c r="T30" i="2"/>
  <c r="U30" i="2" s="1"/>
  <c r="X22" i="2"/>
  <c r="T22" i="2"/>
  <c r="U22" i="2" s="1"/>
  <c r="H71" i="3"/>
  <c r="G71" i="3"/>
  <c r="F71" i="3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E71" i="3"/>
  <c r="D71" i="3"/>
  <c r="C75" i="3"/>
  <c r="C74" i="3"/>
  <c r="C73" i="3"/>
  <c r="C72" i="3"/>
  <c r="C69" i="3"/>
  <c r="AG58" i="3"/>
  <c r="AF58" i="3"/>
  <c r="AE58" i="3"/>
  <c r="AD58" i="3"/>
  <c r="T56" i="2"/>
  <c r="X36" i="2"/>
  <c r="V91" i="2"/>
  <c r="V90" i="2"/>
  <c r="V84" i="2"/>
  <c r="V83" i="2"/>
  <c r="V74" i="2"/>
  <c r="V73" i="2"/>
  <c r="V65" i="2"/>
  <c r="V56" i="2"/>
  <c r="V55" i="2"/>
  <c r="V45" i="2"/>
  <c r="V44" i="2"/>
  <c r="V36" i="2"/>
  <c r="T20" i="2"/>
  <c r="V21" i="2"/>
  <c r="V20" i="2"/>
  <c r="AA58" i="3"/>
  <c r="AB58" i="3"/>
  <c r="AC58" i="3"/>
  <c r="Z58" i="3"/>
  <c r="Y59" i="3"/>
  <c r="Y61" i="3"/>
  <c r="Y60" i="3"/>
  <c r="Y58" i="3"/>
  <c r="Y117" i="2"/>
  <c r="X117" i="2"/>
  <c r="Y36" i="2" l="1"/>
  <c r="K28" i="6"/>
  <c r="Y22" i="2"/>
  <c r="K14" i="6"/>
  <c r="Y57" i="2"/>
  <c r="K49" i="6"/>
  <c r="Y85" i="2"/>
  <c r="K77" i="6"/>
  <c r="J12" i="7"/>
  <c r="O78" i="6"/>
  <c r="Y46" i="2"/>
  <c r="K38" i="6"/>
  <c r="Y75" i="2"/>
  <c r="K67" i="6"/>
  <c r="O50" i="6"/>
  <c r="O97" i="6" s="1"/>
  <c r="Q97" i="6" s="1"/>
  <c r="L97" i="6"/>
  <c r="P97" i="6" s="1"/>
  <c r="E110" i="6" s="1"/>
  <c r="J13" i="7"/>
  <c r="O39" i="6"/>
  <c r="O96" i="6" s="1"/>
  <c r="Q96" i="6" s="1"/>
  <c r="L96" i="6"/>
  <c r="P96" i="6" s="1"/>
  <c r="E109" i="6" s="1"/>
  <c r="Y30" i="2"/>
  <c r="K22" i="6"/>
  <c r="O84" i="6"/>
  <c r="O95" i="6" s="1"/>
  <c r="Q95" i="6" s="1"/>
  <c r="L95" i="6"/>
  <c r="P95" i="6" s="1"/>
  <c r="E108" i="6" s="1"/>
  <c r="Y23" i="2"/>
  <c r="K15" i="6"/>
  <c r="P15" i="6" s="1"/>
  <c r="Y47" i="2"/>
  <c r="K39" i="6"/>
  <c r="L93" i="6"/>
  <c r="P93" i="6" s="1"/>
  <c r="E106" i="6" s="1"/>
  <c r="L87" i="6"/>
  <c r="M84" i="6" s="1"/>
  <c r="O15" i="6"/>
  <c r="M15" i="6"/>
  <c r="Y66" i="2"/>
  <c r="K58" i="6"/>
  <c r="Y103" i="2"/>
  <c r="T103" i="2"/>
  <c r="W103" i="2" s="1"/>
  <c r="T100" i="2"/>
  <c r="Y100" i="2"/>
  <c r="W102" i="2"/>
  <c r="AA102" i="2" s="1"/>
  <c r="T23" i="2"/>
  <c r="U23" i="2" s="1"/>
  <c r="T47" i="2"/>
  <c r="U47" i="2" s="1"/>
  <c r="T86" i="2"/>
  <c r="U86" i="2" s="1"/>
  <c r="Y130" i="2"/>
  <c r="X130" i="2" s="1"/>
  <c r="X58" i="2"/>
  <c r="X86" i="2"/>
  <c r="T58" i="2"/>
  <c r="U58" i="2" s="1"/>
  <c r="W58" i="2" s="1"/>
  <c r="W101" i="2"/>
  <c r="AA101" i="2" s="1"/>
  <c r="T92" i="2"/>
  <c r="U92" i="2" s="1"/>
  <c r="W92" i="2" s="1"/>
  <c r="X92" i="2"/>
  <c r="W85" i="2"/>
  <c r="W75" i="2"/>
  <c r="W66" i="2"/>
  <c r="W57" i="2"/>
  <c r="W46" i="2"/>
  <c r="W30" i="2"/>
  <c r="W22" i="2"/>
  <c r="C71" i="3"/>
  <c r="Y128" i="2" s="1"/>
  <c r="C76" i="3"/>
  <c r="Y116" i="2"/>
  <c r="X91" i="2"/>
  <c r="T91" i="2"/>
  <c r="U91" i="2" s="1"/>
  <c r="Q91" i="2"/>
  <c r="X84" i="2"/>
  <c r="T84" i="2"/>
  <c r="U84" i="2" s="1"/>
  <c r="Q84" i="2"/>
  <c r="X74" i="2"/>
  <c r="T74" i="2"/>
  <c r="U74" i="2" s="1"/>
  <c r="U56" i="2"/>
  <c r="X56" i="2"/>
  <c r="Q56" i="2"/>
  <c r="X45" i="2"/>
  <c r="T45" i="2"/>
  <c r="U45" i="2" s="1"/>
  <c r="Q45" i="2"/>
  <c r="W58" i="3"/>
  <c r="X58" i="3"/>
  <c r="N15" i="6" l="1"/>
  <c r="Y45" i="2"/>
  <c r="K37" i="6"/>
  <c r="Y84" i="2"/>
  <c r="K76" i="6"/>
  <c r="Y92" i="2"/>
  <c r="K84" i="6"/>
  <c r="Y86" i="2"/>
  <c r="K78" i="6"/>
  <c r="J11" i="7"/>
  <c r="M7" i="6"/>
  <c r="M23" i="6"/>
  <c r="M31" i="6"/>
  <c r="M10" i="6"/>
  <c r="M18" i="6"/>
  <c r="M26" i="6"/>
  <c r="M34" i="6"/>
  <c r="M42" i="6"/>
  <c r="M58" i="6"/>
  <c r="M37" i="6"/>
  <c r="M45" i="6"/>
  <c r="M67" i="6"/>
  <c r="M75" i="6"/>
  <c r="M83" i="6"/>
  <c r="M47" i="6"/>
  <c r="M41" i="6"/>
  <c r="M66" i="6"/>
  <c r="M74" i="6"/>
  <c r="M9" i="6"/>
  <c r="M17" i="6"/>
  <c r="M25" i="6"/>
  <c r="M33" i="6"/>
  <c r="M12" i="6"/>
  <c r="M20" i="6"/>
  <c r="M28" i="6"/>
  <c r="M36" i="6"/>
  <c r="M44" i="6"/>
  <c r="M60" i="6"/>
  <c r="M43" i="6"/>
  <c r="M69" i="6"/>
  <c r="M80" i="6"/>
  <c r="M68" i="6"/>
  <c r="M11" i="6"/>
  <c r="M19" i="6"/>
  <c r="M27" i="6"/>
  <c r="M6" i="6"/>
  <c r="M14" i="6"/>
  <c r="M22" i="6"/>
  <c r="M30" i="6"/>
  <c r="M38" i="6"/>
  <c r="M46" i="6"/>
  <c r="M54" i="6"/>
  <c r="M62" i="6"/>
  <c r="M57" i="6"/>
  <c r="M59" i="6"/>
  <c r="M71" i="6"/>
  <c r="M79" i="6"/>
  <c r="M82" i="6"/>
  <c r="M61" i="6"/>
  <c r="M55" i="6"/>
  <c r="M70" i="6"/>
  <c r="M5" i="6"/>
  <c r="M13" i="6"/>
  <c r="M21" i="6"/>
  <c r="M29" i="6"/>
  <c r="M8" i="6"/>
  <c r="M16" i="6"/>
  <c r="M24" i="6"/>
  <c r="M32" i="6"/>
  <c r="M40" i="6"/>
  <c r="M48" i="6"/>
  <c r="M56" i="6"/>
  <c r="M64" i="6"/>
  <c r="M65" i="6"/>
  <c r="M73" i="6"/>
  <c r="M81" i="6"/>
  <c r="M35" i="6"/>
  <c r="M63" i="6"/>
  <c r="M72" i="6"/>
  <c r="M52" i="6"/>
  <c r="M51" i="6"/>
  <c r="M77" i="6"/>
  <c r="M53" i="6"/>
  <c r="M49" i="6"/>
  <c r="M76" i="6"/>
  <c r="M39" i="6"/>
  <c r="P13" i="7"/>
  <c r="M13" i="7"/>
  <c r="Y91" i="2"/>
  <c r="K83" i="6"/>
  <c r="Y58" i="2"/>
  <c r="K50" i="6"/>
  <c r="M50" i="6"/>
  <c r="P67" i="6"/>
  <c r="N67" i="6"/>
  <c r="M78" i="6"/>
  <c r="P77" i="6"/>
  <c r="N77" i="6"/>
  <c r="P14" i="6"/>
  <c r="N14" i="6"/>
  <c r="P22" i="6"/>
  <c r="N22" i="6"/>
  <c r="Y74" i="2"/>
  <c r="K66" i="6"/>
  <c r="AA103" i="2"/>
  <c r="J14" i="7"/>
  <c r="O87" i="6"/>
  <c r="O93" i="6"/>
  <c r="Q93" i="6" s="1"/>
  <c r="P39" i="6"/>
  <c r="N39" i="6"/>
  <c r="P38" i="6"/>
  <c r="N38" i="6"/>
  <c r="P12" i="7"/>
  <c r="M12" i="7"/>
  <c r="P49" i="6"/>
  <c r="N49" i="6"/>
  <c r="N28" i="6"/>
  <c r="P28" i="6"/>
  <c r="Y56" i="2"/>
  <c r="K48" i="6"/>
  <c r="P58" i="6"/>
  <c r="N58" i="6"/>
  <c r="W100" i="2"/>
  <c r="AA100" i="2" s="1"/>
  <c r="W47" i="2"/>
  <c r="W23" i="2"/>
  <c r="W86" i="2"/>
  <c r="C77" i="3"/>
  <c r="W56" i="2"/>
  <c r="W74" i="2"/>
  <c r="W91" i="2"/>
  <c r="W84" i="2"/>
  <c r="W45" i="2"/>
  <c r="T21" i="2"/>
  <c r="U21" i="2" s="1"/>
  <c r="X21" i="2"/>
  <c r="V13" i="2"/>
  <c r="T58" i="3"/>
  <c r="U58" i="3"/>
  <c r="V58" i="3"/>
  <c r="R109" i="2"/>
  <c r="T109" i="2" s="1"/>
  <c r="S58" i="3"/>
  <c r="Q90" i="2"/>
  <c r="X83" i="2"/>
  <c r="T83" i="2"/>
  <c r="U83" i="2" s="1"/>
  <c r="Q83" i="2"/>
  <c r="X73" i="2"/>
  <c r="T73" i="2"/>
  <c r="U73" i="2" s="1"/>
  <c r="X65" i="2"/>
  <c r="T65" i="2"/>
  <c r="U65" i="2" s="1"/>
  <c r="Q65" i="2"/>
  <c r="X55" i="2"/>
  <c r="T55" i="2"/>
  <c r="U55" i="2" s="1"/>
  <c r="Q55" i="2"/>
  <c r="X44" i="2"/>
  <c r="T44" i="2"/>
  <c r="U44" i="2" s="1"/>
  <c r="Q44" i="2"/>
  <c r="T36" i="2"/>
  <c r="U36" i="2" s="1"/>
  <c r="Q36" i="2"/>
  <c r="R61" i="3"/>
  <c r="R60" i="3"/>
  <c r="R58" i="3"/>
  <c r="Q61" i="3"/>
  <c r="Q60" i="3"/>
  <c r="Q59" i="3"/>
  <c r="Q58" i="3"/>
  <c r="P58" i="3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M58" i="3"/>
  <c r="N58" i="3"/>
  <c r="O58" i="3"/>
  <c r="M14" i="7" l="1"/>
  <c r="P14" i="7"/>
  <c r="Y44" i="2"/>
  <c r="K36" i="6"/>
  <c r="Y73" i="2"/>
  <c r="K65" i="6"/>
  <c r="N48" i="6"/>
  <c r="P48" i="6"/>
  <c r="N66" i="6"/>
  <c r="P66" i="6"/>
  <c r="P50" i="6"/>
  <c r="N50" i="6"/>
  <c r="P78" i="6"/>
  <c r="N78" i="6"/>
  <c r="N76" i="6"/>
  <c r="P76" i="6"/>
  <c r="Y65" i="2"/>
  <c r="K57" i="6"/>
  <c r="P11" i="7"/>
  <c r="M11" i="7"/>
  <c r="P84" i="6"/>
  <c r="N84" i="6"/>
  <c r="N37" i="6"/>
  <c r="P37" i="6"/>
  <c r="Y55" i="2"/>
  <c r="K47" i="6"/>
  <c r="Y83" i="2"/>
  <c r="K75" i="6"/>
  <c r="Y21" i="2"/>
  <c r="K13" i="6"/>
  <c r="P83" i="6"/>
  <c r="N83" i="6"/>
  <c r="Y109" i="2"/>
  <c r="J19" i="7" s="1"/>
  <c r="W109" i="2"/>
  <c r="W21" i="2"/>
  <c r="X20" i="2"/>
  <c r="X90" i="2"/>
  <c r="T90" i="2"/>
  <c r="U90" i="2" s="1"/>
  <c r="W90" i="2" s="1"/>
  <c r="W83" i="2"/>
  <c r="W73" i="2"/>
  <c r="W65" i="2"/>
  <c r="W55" i="2"/>
  <c r="U20" i="2"/>
  <c r="W44" i="2"/>
  <c r="W36" i="2"/>
  <c r="K58" i="3"/>
  <c r="L58" i="3"/>
  <c r="J61" i="3"/>
  <c r="J60" i="3"/>
  <c r="Y98" i="2"/>
  <c r="J10" i="7" s="1"/>
  <c r="J58" i="3"/>
  <c r="J59" i="3"/>
  <c r="G58" i="3"/>
  <c r="H58" i="3"/>
  <c r="I58" i="3"/>
  <c r="N36" i="6" l="1"/>
  <c r="P36" i="6"/>
  <c r="M10" i="7"/>
  <c r="P10" i="7"/>
  <c r="N13" i="6"/>
  <c r="P13" i="6"/>
  <c r="N47" i="6"/>
  <c r="P47" i="6"/>
  <c r="Y90" i="2"/>
  <c r="K82" i="6"/>
  <c r="P19" i="7"/>
  <c r="M19" i="7"/>
  <c r="Y20" i="2"/>
  <c r="K12" i="6"/>
  <c r="P75" i="6"/>
  <c r="N75" i="6"/>
  <c r="N57" i="6"/>
  <c r="P57" i="6"/>
  <c r="N65" i="6"/>
  <c r="P65" i="6"/>
  <c r="W20" i="2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76" i="2"/>
  <c r="Q76" i="2" s="1"/>
  <c r="N12" i="6" l="1"/>
  <c r="P12" i="6"/>
  <c r="N82" i="6"/>
  <c r="P82" i="6"/>
  <c r="F58" i="3"/>
  <c r="E58" i="3"/>
  <c r="A112" i="5" l="1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Y137" i="2"/>
  <c r="D58" i="3" l="1"/>
  <c r="C58" i="3" s="1"/>
  <c r="C57" i="3"/>
  <c r="C59" i="3"/>
  <c r="C56" i="3"/>
  <c r="C62" i="3"/>
  <c r="C61" i="3"/>
  <c r="C60" i="3"/>
  <c r="P60" i="2"/>
  <c r="P61" i="2"/>
  <c r="P62" i="2"/>
  <c r="P63" i="2"/>
  <c r="P64" i="2"/>
  <c r="P59" i="2"/>
  <c r="AA48" i="3"/>
  <c r="AA47" i="3"/>
  <c r="C63" i="3" l="1"/>
  <c r="C64" i="3" s="1"/>
  <c r="AA43" i="3"/>
  <c r="AG45" i="3"/>
  <c r="Q43" i="2"/>
  <c r="Q62" i="2"/>
  <c r="Q63" i="2"/>
  <c r="Q60" i="2"/>
  <c r="Q61" i="2"/>
  <c r="Q64" i="2"/>
  <c r="Q59" i="2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48" i="2"/>
  <c r="Q48" i="2" s="1"/>
  <c r="AF45" i="3"/>
  <c r="AE49" i="3"/>
  <c r="R98" i="2"/>
  <c r="T98" i="2" s="1"/>
  <c r="AC45" i="3"/>
  <c r="AD45" i="3"/>
  <c r="AE45" i="3"/>
  <c r="Y97" i="2"/>
  <c r="J9" i="7" s="1"/>
  <c r="X98" i="2"/>
  <c r="AB45" i="3"/>
  <c r="AA45" i="3"/>
  <c r="P89" i="2"/>
  <c r="Q89" i="2" s="1"/>
  <c r="Z45" i="3"/>
  <c r="Y45" i="3"/>
  <c r="P88" i="2"/>
  <c r="Q88" i="2" s="1"/>
  <c r="P87" i="2"/>
  <c r="Q87" i="2" s="1"/>
  <c r="X45" i="3"/>
  <c r="V45" i="3"/>
  <c r="W45" i="3"/>
  <c r="U45" i="3"/>
  <c r="T45" i="3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13" i="2"/>
  <c r="Q13" i="2" s="1"/>
  <c r="P25" i="2"/>
  <c r="Q25" i="2" s="1"/>
  <c r="P26" i="2"/>
  <c r="Q26" i="2" s="1"/>
  <c r="P27" i="2"/>
  <c r="Q27" i="2" s="1"/>
  <c r="P28" i="2"/>
  <c r="Q28" i="2" s="1"/>
  <c r="P29" i="2"/>
  <c r="Q29" i="2" s="1"/>
  <c r="P24" i="2"/>
  <c r="Q24" i="2" s="1"/>
  <c r="P32" i="2"/>
  <c r="Q32" i="2" s="1"/>
  <c r="P33" i="2"/>
  <c r="Q33" i="2" s="1"/>
  <c r="P34" i="2"/>
  <c r="Q34" i="2" s="1"/>
  <c r="P35" i="2"/>
  <c r="Q35" i="2" s="1"/>
  <c r="P31" i="2"/>
  <c r="Q31" i="2" s="1"/>
  <c r="Y111" i="2"/>
  <c r="S46" i="3"/>
  <c r="S45" i="3"/>
  <c r="X89" i="2"/>
  <c r="V89" i="2"/>
  <c r="T89" i="2"/>
  <c r="U89" i="2" s="1"/>
  <c r="X82" i="2"/>
  <c r="V82" i="2"/>
  <c r="T82" i="2"/>
  <c r="U82" i="2" s="1"/>
  <c r="X72" i="2"/>
  <c r="V72" i="2"/>
  <c r="T72" i="2"/>
  <c r="U72" i="2" s="1"/>
  <c r="X54" i="2"/>
  <c r="V54" i="2"/>
  <c r="T54" i="2"/>
  <c r="U54" i="2" s="1"/>
  <c r="X43" i="2"/>
  <c r="V43" i="2"/>
  <c r="T43" i="2"/>
  <c r="U43" i="2" s="1"/>
  <c r="X19" i="2"/>
  <c r="V19" i="2"/>
  <c r="T19" i="2"/>
  <c r="U19" i="2" s="1"/>
  <c r="N46" i="3"/>
  <c r="AH33" i="3"/>
  <c r="A103" i="5"/>
  <c r="A104" i="5"/>
  <c r="A105" i="5"/>
  <c r="A106" i="5"/>
  <c r="A107" i="5"/>
  <c r="A108" i="5"/>
  <c r="A109" i="5"/>
  <c r="A110" i="5"/>
  <c r="A111" i="5"/>
  <c r="A96" i="5"/>
  <c r="A97" i="5"/>
  <c r="A98" i="5"/>
  <c r="A99" i="5"/>
  <c r="A100" i="5"/>
  <c r="A101" i="5"/>
  <c r="A102" i="5"/>
  <c r="R45" i="3"/>
  <c r="Q45" i="3"/>
  <c r="O45" i="3"/>
  <c r="P45" i="3"/>
  <c r="R105" i="2"/>
  <c r="R97" i="2"/>
  <c r="T97" i="2" s="1"/>
  <c r="W97" i="2" s="1"/>
  <c r="N45" i="3"/>
  <c r="X97" i="2"/>
  <c r="Y54" i="2" l="1"/>
  <c r="K46" i="6"/>
  <c r="M9" i="7"/>
  <c r="P9" i="7"/>
  <c r="Y43" i="2"/>
  <c r="K35" i="6"/>
  <c r="Y89" i="2"/>
  <c r="K81" i="6"/>
  <c r="Y19" i="2"/>
  <c r="K11" i="6"/>
  <c r="Y82" i="2"/>
  <c r="K74" i="6"/>
  <c r="Y72" i="2"/>
  <c r="K64" i="6"/>
  <c r="W54" i="2"/>
  <c r="W98" i="2"/>
  <c r="W82" i="2"/>
  <c r="W43" i="2"/>
  <c r="W89" i="2"/>
  <c r="W72" i="2"/>
  <c r="W19" i="2"/>
  <c r="Y132" i="2"/>
  <c r="P74" i="6" l="1"/>
  <c r="N74" i="6"/>
  <c r="P81" i="6"/>
  <c r="N81" i="6"/>
  <c r="P64" i="6"/>
  <c r="N64" i="6"/>
  <c r="N11" i="6"/>
  <c r="P11" i="6"/>
  <c r="N35" i="6"/>
  <c r="P35" i="6"/>
  <c r="P46" i="6"/>
  <c r="N46" i="6"/>
  <c r="A92" i="5"/>
  <c r="A93" i="5"/>
  <c r="A94" i="5"/>
  <c r="A95" i="5"/>
  <c r="A91" i="5"/>
  <c r="A4" i="5"/>
  <c r="A5" i="5"/>
  <c r="A6" i="5"/>
  <c r="A7" i="5"/>
  <c r="A8" i="5"/>
  <c r="A9" i="5"/>
  <c r="A10" i="5"/>
  <c r="A11" i="5"/>
  <c r="A12" i="5"/>
  <c r="A13" i="5"/>
  <c r="A14" i="5"/>
  <c r="D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D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D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D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M45" i="3"/>
  <c r="L45" i="3"/>
  <c r="X38" i="2"/>
  <c r="Y105" i="2"/>
  <c r="J15" i="7" s="1"/>
  <c r="K45" i="3"/>
  <c r="H45" i="3"/>
  <c r="I45" i="3"/>
  <c r="J45" i="3"/>
  <c r="G45" i="3"/>
  <c r="T35" i="2"/>
  <c r="U35" i="2" s="1"/>
  <c r="F45" i="3"/>
  <c r="E45" i="3"/>
  <c r="P42" i="2"/>
  <c r="Q42" i="2" s="1"/>
  <c r="P38" i="2"/>
  <c r="Q38" i="2" s="1"/>
  <c r="P39" i="2"/>
  <c r="Q39" i="2" s="1"/>
  <c r="P40" i="2"/>
  <c r="Q40" i="2" s="1"/>
  <c r="P41" i="2"/>
  <c r="Q41" i="2" s="1"/>
  <c r="P37" i="2"/>
  <c r="Q37" i="2" s="1"/>
  <c r="M15" i="7" l="1"/>
  <c r="P15" i="7"/>
  <c r="Y38" i="2"/>
  <c r="K30" i="6"/>
  <c r="Y108" i="2"/>
  <c r="J18" i="7" s="1"/>
  <c r="M18" i="7" l="1"/>
  <c r="P18" i="7"/>
  <c r="N30" i="6"/>
  <c r="P30" i="6"/>
  <c r="D45" i="3"/>
  <c r="C45" i="3" s="1"/>
  <c r="C49" i="3"/>
  <c r="C48" i="3"/>
  <c r="C47" i="3"/>
  <c r="C43" i="3"/>
  <c r="C31" i="3"/>
  <c r="C44" i="3" l="1"/>
  <c r="Y106" i="2"/>
  <c r="J16" i="7" s="1"/>
  <c r="Y107" i="2"/>
  <c r="J17" i="7" s="1"/>
  <c r="X108" i="2"/>
  <c r="AH32" i="3"/>
  <c r="AF32" i="3"/>
  <c r="AG32" i="3"/>
  <c r="M17" i="7" l="1"/>
  <c r="P17" i="7"/>
  <c r="P16" i="7"/>
  <c r="M16" i="7"/>
  <c r="F31" i="7"/>
  <c r="X107" i="2"/>
  <c r="X106" i="2"/>
  <c r="X105" i="2"/>
  <c r="AD33" i="3"/>
  <c r="AE32" i="3"/>
  <c r="AD32" i="3"/>
  <c r="X88" i="2"/>
  <c r="V88" i="2"/>
  <c r="T88" i="2"/>
  <c r="U88" i="2" s="1"/>
  <c r="X81" i="2"/>
  <c r="V81" i="2"/>
  <c r="T81" i="2"/>
  <c r="U81" i="2" s="1"/>
  <c r="X64" i="2"/>
  <c r="V64" i="2"/>
  <c r="T64" i="2"/>
  <c r="U64" i="2" s="1"/>
  <c r="X53" i="2"/>
  <c r="V53" i="2"/>
  <c r="T53" i="2"/>
  <c r="U53" i="2" s="1"/>
  <c r="X42" i="2"/>
  <c r="V42" i="2"/>
  <c r="T42" i="2"/>
  <c r="U42" i="2" s="1"/>
  <c r="X29" i="2"/>
  <c r="V29" i="2"/>
  <c r="T29" i="2"/>
  <c r="U29" i="2" s="1"/>
  <c r="X18" i="2"/>
  <c r="V18" i="2"/>
  <c r="T18" i="2"/>
  <c r="U18" i="2" s="1"/>
  <c r="AC32" i="3"/>
  <c r="Y18" i="2" l="1"/>
  <c r="K10" i="6"/>
  <c r="Y64" i="2"/>
  <c r="K56" i="6"/>
  <c r="Y53" i="2"/>
  <c r="K45" i="6"/>
  <c r="Y42" i="2"/>
  <c r="K34" i="6"/>
  <c r="Y88" i="2"/>
  <c r="K80" i="6"/>
  <c r="Y29" i="2"/>
  <c r="K21" i="6"/>
  <c r="Y81" i="2"/>
  <c r="K73" i="6"/>
  <c r="C46" i="3"/>
  <c r="C50" i="3" s="1"/>
  <c r="C51" i="3" s="1"/>
  <c r="W81" i="2"/>
  <c r="W64" i="2"/>
  <c r="W53" i="2"/>
  <c r="W42" i="2"/>
  <c r="W88" i="2"/>
  <c r="W29" i="2"/>
  <c r="W18" i="2"/>
  <c r="AB32" i="3"/>
  <c r="AA32" i="3"/>
  <c r="Y32" i="3"/>
  <c r="Z32" i="3"/>
  <c r="X32" i="3"/>
  <c r="T87" i="2"/>
  <c r="U87" i="2" s="1"/>
  <c r="V87" i="2"/>
  <c r="X87" i="2"/>
  <c r="W32" i="3"/>
  <c r="Y122" i="2"/>
  <c r="V32" i="3"/>
  <c r="U32" i="3"/>
  <c r="R32" i="3"/>
  <c r="S32" i="3"/>
  <c r="T32" i="3"/>
  <c r="Q32" i="3"/>
  <c r="P32" i="3"/>
  <c r="O32" i="3"/>
  <c r="J32" i="3"/>
  <c r="K32" i="3"/>
  <c r="L32" i="3"/>
  <c r="M32" i="3"/>
  <c r="N32" i="3"/>
  <c r="I32" i="3"/>
  <c r="R108" i="2"/>
  <c r="T108" i="2" s="1"/>
  <c r="H32" i="3"/>
  <c r="H33" i="3"/>
  <c r="C33" i="3" s="1"/>
  <c r="X80" i="2"/>
  <c r="V80" i="2"/>
  <c r="T80" i="2"/>
  <c r="U80" i="2" s="1"/>
  <c r="T71" i="2"/>
  <c r="U71" i="2" s="1"/>
  <c r="X71" i="2"/>
  <c r="V71" i="2"/>
  <c r="X63" i="2"/>
  <c r="V63" i="2"/>
  <c r="T63" i="2"/>
  <c r="U63" i="2" s="1"/>
  <c r="X52" i="2"/>
  <c r="V52" i="2"/>
  <c r="T52" i="2"/>
  <c r="U52" i="2" s="1"/>
  <c r="X41" i="2"/>
  <c r="V41" i="2"/>
  <c r="T41" i="2"/>
  <c r="U41" i="2" s="1"/>
  <c r="X35" i="2"/>
  <c r="V35" i="2"/>
  <c r="W35" i="2" s="1"/>
  <c r="X28" i="2"/>
  <c r="V28" i="2"/>
  <c r="T28" i="2"/>
  <c r="U28" i="2" s="1"/>
  <c r="X17" i="2"/>
  <c r="V17" i="2"/>
  <c r="T17" i="2"/>
  <c r="U17" i="2" s="1"/>
  <c r="E32" i="3"/>
  <c r="F32" i="3"/>
  <c r="G32" i="3"/>
  <c r="D32" i="3"/>
  <c r="C36" i="3"/>
  <c r="C35" i="3"/>
  <c r="C34" i="3"/>
  <c r="C30" i="3"/>
  <c r="Y95" i="2"/>
  <c r="J7" i="7" s="1"/>
  <c r="Y96" i="2"/>
  <c r="J8" i="7" s="1"/>
  <c r="AG20" i="3"/>
  <c r="Y63" i="2" l="1"/>
  <c r="K55" i="6"/>
  <c r="N21" i="6"/>
  <c r="P21" i="6"/>
  <c r="N34" i="6"/>
  <c r="P34" i="6"/>
  <c r="N56" i="6"/>
  <c r="P56" i="6"/>
  <c r="Y28" i="2"/>
  <c r="K20" i="6"/>
  <c r="Y52" i="2"/>
  <c r="K44" i="6"/>
  <c r="P8" i="7"/>
  <c r="M8" i="7"/>
  <c r="Y17" i="2"/>
  <c r="K9" i="6"/>
  <c r="Y41" i="2"/>
  <c r="K33" i="6"/>
  <c r="Y71" i="2"/>
  <c r="K63" i="6"/>
  <c r="Y80" i="2"/>
  <c r="K72" i="6"/>
  <c r="Y87" i="2"/>
  <c r="K79" i="6"/>
  <c r="P73" i="6"/>
  <c r="N73" i="6"/>
  <c r="P80" i="6"/>
  <c r="N80" i="6"/>
  <c r="N45" i="6"/>
  <c r="P45" i="6"/>
  <c r="N10" i="6"/>
  <c r="P10" i="6"/>
  <c r="F30" i="7"/>
  <c r="J26" i="7"/>
  <c r="E31" i="7" s="1"/>
  <c r="M7" i="7"/>
  <c r="L26" i="7" s="1"/>
  <c r="P7" i="7"/>
  <c r="Y35" i="2"/>
  <c r="K27" i="6"/>
  <c r="Y94" i="2"/>
  <c r="C37" i="3"/>
  <c r="W80" i="2"/>
  <c r="W87" i="2"/>
  <c r="W52" i="2"/>
  <c r="W63" i="2"/>
  <c r="W71" i="2"/>
  <c r="W28" i="2"/>
  <c r="W17" i="2"/>
  <c r="W41" i="2"/>
  <c r="W108" i="2"/>
  <c r="C32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0" i="3"/>
  <c r="R96" i="2"/>
  <c r="T96" i="2" s="1"/>
  <c r="R107" i="2"/>
  <c r="T107" i="2" s="1"/>
  <c r="R106" i="2"/>
  <c r="T106" i="2" s="1"/>
  <c r="Z22" i="3"/>
  <c r="Z23" i="3"/>
  <c r="Z21" i="3"/>
  <c r="X96" i="2"/>
  <c r="X79" i="2"/>
  <c r="V79" i="2"/>
  <c r="T79" i="2"/>
  <c r="U79" i="2" s="1"/>
  <c r="X16" i="2"/>
  <c r="V16" i="2"/>
  <c r="T16" i="2"/>
  <c r="U16" i="2" s="1"/>
  <c r="Y23" i="3"/>
  <c r="Y22" i="3"/>
  <c r="Y21" i="3"/>
  <c r="X23" i="3"/>
  <c r="X22" i="3"/>
  <c r="X21" i="3"/>
  <c r="X70" i="2"/>
  <c r="V70" i="2"/>
  <c r="T70" i="2"/>
  <c r="U70" i="2" s="1"/>
  <c r="X62" i="2"/>
  <c r="V62" i="2"/>
  <c r="T62" i="2"/>
  <c r="U62" i="2" s="1"/>
  <c r="X51" i="2"/>
  <c r="V51" i="2"/>
  <c r="T51" i="2"/>
  <c r="U51" i="2" s="1"/>
  <c r="X40" i="2"/>
  <c r="V40" i="2"/>
  <c r="T40" i="2"/>
  <c r="U40" i="2" s="1"/>
  <c r="X34" i="2"/>
  <c r="V34" i="2"/>
  <c r="T34" i="2"/>
  <c r="U34" i="2" s="1"/>
  <c r="X27" i="2"/>
  <c r="V27" i="2"/>
  <c r="T27" i="2"/>
  <c r="U27" i="2" s="1"/>
  <c r="V61" i="2"/>
  <c r="T61" i="2"/>
  <c r="U61" i="2" s="1"/>
  <c r="T105" i="2"/>
  <c r="K23" i="3"/>
  <c r="K22" i="3"/>
  <c r="K21" i="3"/>
  <c r="J21" i="3"/>
  <c r="E30" i="7" l="1"/>
  <c r="Y27" i="2"/>
  <c r="K19" i="6"/>
  <c r="Y62" i="2"/>
  <c r="K54" i="6"/>
  <c r="Y16" i="2"/>
  <c r="K8" i="6"/>
  <c r="N27" i="6"/>
  <c r="P27" i="6"/>
  <c r="N79" i="6"/>
  <c r="P79" i="6"/>
  <c r="E121" i="6" s="1"/>
  <c r="N63" i="6"/>
  <c r="P63" i="6"/>
  <c r="N9" i="6"/>
  <c r="P9" i="6"/>
  <c r="N44" i="6"/>
  <c r="P44" i="6"/>
  <c r="Y51" i="2"/>
  <c r="K43" i="6"/>
  <c r="Y34" i="2"/>
  <c r="K26" i="6"/>
  <c r="Y40" i="2"/>
  <c r="K32" i="6"/>
  <c r="G40" i="7"/>
  <c r="G44" i="7"/>
  <c r="G48" i="7"/>
  <c r="C39" i="7"/>
  <c r="C43" i="7"/>
  <c r="C47" i="7"/>
  <c r="G41" i="7"/>
  <c r="G45" i="7"/>
  <c r="G49" i="7"/>
  <c r="C40" i="7"/>
  <c r="C44" i="7"/>
  <c r="C48" i="7"/>
  <c r="G38" i="7"/>
  <c r="G42" i="7"/>
  <c r="G46" i="7"/>
  <c r="G37" i="7"/>
  <c r="C41" i="7"/>
  <c r="C45" i="7"/>
  <c r="C49" i="7"/>
  <c r="G43" i="7"/>
  <c r="G47" i="7"/>
  <c r="C38" i="7"/>
  <c r="C42" i="7"/>
  <c r="C46" i="7"/>
  <c r="C37" i="7"/>
  <c r="G39" i="7"/>
  <c r="N72" i="6"/>
  <c r="P72" i="6"/>
  <c r="N33" i="6"/>
  <c r="P33" i="6"/>
  <c r="N20" i="6"/>
  <c r="P20" i="6"/>
  <c r="N55" i="6"/>
  <c r="P55" i="6"/>
  <c r="Y70" i="2"/>
  <c r="K62" i="6"/>
  <c r="Y79" i="2"/>
  <c r="K71" i="6"/>
  <c r="C21" i="3"/>
  <c r="W62" i="2"/>
  <c r="W16" i="2"/>
  <c r="W70" i="2"/>
  <c r="W79" i="2"/>
  <c r="W61" i="2"/>
  <c r="W51" i="2"/>
  <c r="W40" i="2"/>
  <c r="W34" i="2"/>
  <c r="W27" i="2"/>
  <c r="W105" i="2"/>
  <c r="W96" i="2"/>
  <c r="C38" i="3"/>
  <c r="W107" i="2"/>
  <c r="W106" i="2"/>
  <c r="X78" i="2"/>
  <c r="V78" i="2"/>
  <c r="T78" i="2"/>
  <c r="U78" i="2" s="1"/>
  <c r="X69" i="2"/>
  <c r="V69" i="2"/>
  <c r="T69" i="2"/>
  <c r="U69" i="2" s="1"/>
  <c r="X61" i="2"/>
  <c r="X50" i="2"/>
  <c r="V50" i="2"/>
  <c r="T50" i="2"/>
  <c r="U50" i="2" s="1"/>
  <c r="X39" i="2"/>
  <c r="V39" i="2"/>
  <c r="T39" i="2"/>
  <c r="U39" i="2" s="1"/>
  <c r="X33" i="2"/>
  <c r="V33" i="2"/>
  <c r="T33" i="2"/>
  <c r="U33" i="2" s="1"/>
  <c r="T26" i="2"/>
  <c r="U26" i="2" s="1"/>
  <c r="V26" i="2"/>
  <c r="X26" i="2"/>
  <c r="T15" i="2"/>
  <c r="U15" i="2" s="1"/>
  <c r="V15" i="2"/>
  <c r="X15" i="2"/>
  <c r="N54" i="6" l="1"/>
  <c r="P54" i="6"/>
  <c r="Y50" i="2"/>
  <c r="K42" i="6"/>
  <c r="Y26" i="2"/>
  <c r="K18" i="6"/>
  <c r="Y39" i="2"/>
  <c r="K31" i="6"/>
  <c r="Y61" i="2"/>
  <c r="K53" i="6"/>
  <c r="N62" i="6"/>
  <c r="P62" i="6"/>
  <c r="N32" i="6"/>
  <c r="P32" i="6"/>
  <c r="N43" i="6"/>
  <c r="P43" i="6"/>
  <c r="Y69" i="2"/>
  <c r="K61" i="6"/>
  <c r="Y15" i="2"/>
  <c r="K7" i="6"/>
  <c r="Y33" i="2"/>
  <c r="K25" i="6"/>
  <c r="N8" i="6"/>
  <c r="P8" i="6"/>
  <c r="N19" i="6"/>
  <c r="P19" i="6"/>
  <c r="Y78" i="2"/>
  <c r="K70" i="6"/>
  <c r="N71" i="6"/>
  <c r="P71" i="6"/>
  <c r="N26" i="6"/>
  <c r="P26" i="6"/>
  <c r="W78" i="2"/>
  <c r="W50" i="2"/>
  <c r="W69" i="2"/>
  <c r="W26" i="2"/>
  <c r="W39" i="2"/>
  <c r="W33" i="2"/>
  <c r="W15" i="2"/>
  <c r="N7" i="6" l="1"/>
  <c r="P7" i="6"/>
  <c r="N31" i="6"/>
  <c r="P31" i="6"/>
  <c r="N42" i="6"/>
  <c r="P42" i="6"/>
  <c r="N25" i="6"/>
  <c r="P25" i="6"/>
  <c r="N61" i="6"/>
  <c r="P61" i="6"/>
  <c r="N53" i="6"/>
  <c r="P53" i="6"/>
  <c r="N18" i="6"/>
  <c r="P18" i="6"/>
  <c r="P70" i="6"/>
  <c r="N70" i="6"/>
  <c r="J23" i="3"/>
  <c r="J22" i="3"/>
  <c r="R95" i="2" l="1"/>
  <c r="C24" i="3"/>
  <c r="C23" i="3"/>
  <c r="C22" i="3"/>
  <c r="C20" i="3"/>
  <c r="C19" i="3"/>
  <c r="C18" i="3"/>
  <c r="C25" i="3" l="1"/>
  <c r="C26" i="3" s="1"/>
  <c r="C8" i="3"/>
  <c r="V67" i="2" l="1"/>
  <c r="X48" i="2"/>
  <c r="X31" i="2"/>
  <c r="X13" i="2"/>
  <c r="C7" i="3"/>
  <c r="T95" i="2"/>
  <c r="V14" i="2"/>
  <c r="V24" i="2"/>
  <c r="V25" i="2"/>
  <c r="V32" i="2"/>
  <c r="V37" i="2"/>
  <c r="V38" i="2"/>
  <c r="V49" i="2"/>
  <c r="V59" i="2"/>
  <c r="V60" i="2"/>
  <c r="V68" i="2"/>
  <c r="V76" i="2"/>
  <c r="V77" i="2"/>
  <c r="T13" i="2"/>
  <c r="U13" i="2" s="1"/>
  <c r="T14" i="2"/>
  <c r="U14" i="2" s="1"/>
  <c r="T24" i="2"/>
  <c r="U24" i="2" s="1"/>
  <c r="T25" i="2"/>
  <c r="U25" i="2" s="1"/>
  <c r="T31" i="2"/>
  <c r="U31" i="2" s="1"/>
  <c r="T32" i="2"/>
  <c r="U32" i="2" s="1"/>
  <c r="T37" i="2"/>
  <c r="U37" i="2" s="1"/>
  <c r="T38" i="2"/>
  <c r="U38" i="2" s="1"/>
  <c r="T48" i="2"/>
  <c r="U48" i="2" s="1"/>
  <c r="T49" i="2"/>
  <c r="U49" i="2" s="1"/>
  <c r="T59" i="2"/>
  <c r="U59" i="2" s="1"/>
  <c r="T60" i="2"/>
  <c r="U60" i="2" s="1"/>
  <c r="T67" i="2"/>
  <c r="U67" i="2" s="1"/>
  <c r="T68" i="2"/>
  <c r="U68" i="2" s="1"/>
  <c r="T76" i="2"/>
  <c r="U76" i="2" s="1"/>
  <c r="T77" i="2"/>
  <c r="U77" i="2" s="1"/>
  <c r="X14" i="2"/>
  <c r="X24" i="2"/>
  <c r="X25" i="2"/>
  <c r="X32" i="2"/>
  <c r="X37" i="2"/>
  <c r="X49" i="2"/>
  <c r="X59" i="2"/>
  <c r="X60" i="2"/>
  <c r="X68" i="2"/>
  <c r="X76" i="2"/>
  <c r="X77" i="2"/>
  <c r="Y13" i="2" l="1"/>
  <c r="K5" i="6"/>
  <c r="Y14" i="2"/>
  <c r="K6" i="6"/>
  <c r="Y31" i="2"/>
  <c r="K23" i="6"/>
  <c r="Y49" i="2"/>
  <c r="K41" i="6"/>
  <c r="Y68" i="2"/>
  <c r="K60" i="6"/>
  <c r="Y48" i="2"/>
  <c r="K40" i="6"/>
  <c r="Y76" i="2"/>
  <c r="K68" i="6"/>
  <c r="Y24" i="2"/>
  <c r="K16" i="6"/>
  <c r="Y37" i="2"/>
  <c r="K29" i="6"/>
  <c r="Y60" i="2"/>
  <c r="K52" i="6"/>
  <c r="Y32" i="2"/>
  <c r="K24" i="6"/>
  <c r="Y77" i="2"/>
  <c r="K69" i="6"/>
  <c r="Y59" i="2"/>
  <c r="K51" i="6"/>
  <c r="Y25" i="2"/>
  <c r="K17" i="6"/>
  <c r="W60" i="2"/>
  <c r="W68" i="2"/>
  <c r="W77" i="2"/>
  <c r="W59" i="2"/>
  <c r="W76" i="2"/>
  <c r="W49" i="2"/>
  <c r="W67" i="2"/>
  <c r="W38" i="2"/>
  <c r="W37" i="2"/>
  <c r="W32" i="2"/>
  <c r="W25" i="2"/>
  <c r="W24" i="2"/>
  <c r="W14" i="2"/>
  <c r="W95" i="2"/>
  <c r="V31" i="2"/>
  <c r="W31" i="2" s="1"/>
  <c r="W13" i="2"/>
  <c r="V48" i="2"/>
  <c r="W48" i="2" s="1"/>
  <c r="X67" i="2"/>
  <c r="K59" i="6" s="1"/>
  <c r="N17" i="6" l="1"/>
  <c r="P17" i="6"/>
  <c r="N69" i="6"/>
  <c r="P69" i="6"/>
  <c r="P52" i="6"/>
  <c r="N52" i="6"/>
  <c r="N16" i="6"/>
  <c r="P16" i="6"/>
  <c r="E123" i="6" s="1"/>
  <c r="N40" i="6"/>
  <c r="P40" i="6"/>
  <c r="N41" i="6"/>
  <c r="P41" i="6"/>
  <c r="N6" i="6"/>
  <c r="P6" i="6"/>
  <c r="N59" i="6"/>
  <c r="P59" i="6"/>
  <c r="N51" i="6"/>
  <c r="P51" i="6"/>
  <c r="E122" i="6" s="1"/>
  <c r="N24" i="6"/>
  <c r="P24" i="6"/>
  <c r="N29" i="6"/>
  <c r="P29" i="6"/>
  <c r="E118" i="6" s="1"/>
  <c r="N68" i="6"/>
  <c r="P68" i="6"/>
  <c r="E116" i="6" s="1"/>
  <c r="N60" i="6"/>
  <c r="P60" i="6"/>
  <c r="N23" i="6"/>
  <c r="P23" i="6"/>
  <c r="E124" i="6" s="1"/>
  <c r="P5" i="6"/>
  <c r="N5" i="6"/>
  <c r="N87" i="6" s="1"/>
  <c r="K87" i="6"/>
  <c r="Y67" i="2"/>
  <c r="Y12" i="2" s="1"/>
  <c r="X95" i="2"/>
  <c r="AB11" i="3"/>
  <c r="C11" i="3" s="1"/>
  <c r="AB10" i="3"/>
  <c r="C10" i="3" s="1"/>
  <c r="AB9" i="3"/>
  <c r="C9" i="3" s="1"/>
  <c r="C6" i="3"/>
  <c r="C12" i="3"/>
  <c r="Y10" i="2"/>
  <c r="T11" i="2"/>
  <c r="X11" i="2"/>
  <c r="E119" i="6" l="1"/>
  <c r="H93" i="6"/>
  <c r="F106" i="6" s="1"/>
  <c r="H95" i="6"/>
  <c r="F108" i="6" s="1"/>
  <c r="H97" i="6"/>
  <c r="F110" i="6" s="1"/>
  <c r="E120" i="6"/>
  <c r="P87" i="6"/>
  <c r="P88" i="6" s="1"/>
  <c r="H96" i="6"/>
  <c r="F109" i="6" s="1"/>
  <c r="E117" i="6"/>
  <c r="H98" i="6"/>
  <c r="F111" i="6" s="1"/>
  <c r="H94" i="6"/>
  <c r="F107" i="6" s="1"/>
  <c r="H99" i="6"/>
  <c r="F105" i="6" s="1"/>
  <c r="Y93" i="2"/>
  <c r="Y149" i="2" s="1"/>
  <c r="C13" i="3"/>
  <c r="C14" i="3" s="1"/>
  <c r="Y113" i="2" l="1"/>
  <c r="V114" i="2" l="1"/>
  <c r="T114" i="2"/>
  <c r="V112" i="2"/>
  <c r="T112" i="2"/>
  <c r="W114" i="2" l="1"/>
  <c r="W112" i="2"/>
  <c r="X114" i="2"/>
  <c r="X112" i="2" l="1"/>
  <c r="Y120" i="2" l="1"/>
  <c r="Y118" i="2" l="1"/>
  <c r="Y124" i="2" l="1"/>
  <c r="C149" i="2"/>
  <c r="C155" i="2" l="1"/>
  <c r="C157" i="2" l="1"/>
  <c r="C159" i="2"/>
  <c r="C147" i="2"/>
  <c r="C160" i="2"/>
  <c r="C156" i="2"/>
  <c r="Y115" i="2" l="1"/>
  <c r="Y150" i="2" s="1"/>
  <c r="Y139" i="2" l="1"/>
  <c r="Y147" i="2" l="1"/>
  <c r="H32" i="7"/>
  <c r="AB139" i="2"/>
  <c r="G127" i="6"/>
  <c r="Z103" i="2"/>
  <c r="Z94" i="2"/>
  <c r="Z102" i="2"/>
  <c r="Z58" i="2"/>
  <c r="Z86" i="2"/>
  <c r="Z23" i="2"/>
  <c r="Z47" i="2"/>
  <c r="Z101" i="2"/>
  <c r="Z85" i="2"/>
  <c r="Z92" i="2"/>
  <c r="Z66" i="2"/>
  <c r="Z75" i="2"/>
  <c r="Z46" i="2"/>
  <c r="Z57" i="2"/>
  <c r="Z22" i="2"/>
  <c r="Z30" i="2"/>
  <c r="Z100" i="2"/>
  <c r="Z130" i="2"/>
  <c r="Z91" i="2"/>
  <c r="Z74" i="2"/>
  <c r="Z84" i="2"/>
  <c r="Z45" i="2"/>
  <c r="Z56" i="2"/>
  <c r="Z21" i="2"/>
  <c r="Z90" i="2"/>
  <c r="Z132" i="2"/>
  <c r="Z73" i="2"/>
  <c r="Z83" i="2"/>
  <c r="Z55" i="2"/>
  <c r="Z65" i="2"/>
  <c r="Z36" i="2"/>
  <c r="Z44" i="2"/>
  <c r="Z115" i="2"/>
  <c r="C167" i="2" s="1"/>
  <c r="Z20" i="2"/>
  <c r="Z98" i="2"/>
  <c r="Z89" i="2"/>
  <c r="Z43" i="2"/>
  <c r="Z111" i="2"/>
  <c r="Z54" i="2"/>
  <c r="Z82" i="2"/>
  <c r="Z19" i="2"/>
  <c r="Z116" i="2"/>
  <c r="Z97" i="2"/>
  <c r="Z72" i="2"/>
  <c r="Z124" i="2"/>
  <c r="C168" i="2" s="1"/>
  <c r="Z93" i="2"/>
  <c r="C166" i="2" s="1"/>
  <c r="Z112" i="2"/>
  <c r="Z114" i="2"/>
  <c r="Z88" i="2"/>
  <c r="Z28" i="2"/>
  <c r="Z52" i="2"/>
  <c r="Z96" i="2"/>
  <c r="Z16" i="2"/>
  <c r="Z128" i="2"/>
  <c r="Z27" i="2"/>
  <c r="Z50" i="2"/>
  <c r="Z107" i="2"/>
  <c r="Z13" i="2"/>
  <c r="Z32" i="2"/>
  <c r="Z31" i="2"/>
  <c r="Z14" i="2"/>
  <c r="Z113" i="2"/>
  <c r="Z119" i="2"/>
  <c r="Z139" i="2"/>
  <c r="Z18" i="2"/>
  <c r="Z29" i="2"/>
  <c r="Z41" i="2"/>
  <c r="Z80" i="2"/>
  <c r="Z87" i="2"/>
  <c r="Z106" i="2"/>
  <c r="Z40" i="2"/>
  <c r="Z78" i="2"/>
  <c r="Z39" i="2"/>
  <c r="Z105" i="2"/>
  <c r="Z48" i="2"/>
  <c r="Z60" i="2"/>
  <c r="Z76" i="2"/>
  <c r="Z49" i="2"/>
  <c r="Z120" i="2"/>
  <c r="Z137" i="2"/>
  <c r="Z129" i="2"/>
  <c r="Z125" i="2"/>
  <c r="Z53" i="2"/>
  <c r="Z42" i="2"/>
  <c r="Z17" i="2"/>
  <c r="Z35" i="2"/>
  <c r="Z71" i="2"/>
  <c r="Z34" i="2"/>
  <c r="Z108" i="2"/>
  <c r="Z51" i="2"/>
  <c r="Z15" i="2"/>
  <c r="Z69" i="2"/>
  <c r="Z37" i="2"/>
  <c r="Z77" i="2"/>
  <c r="Z25" i="2"/>
  <c r="Z24" i="2"/>
  <c r="Z10" i="2"/>
  <c r="Z136" i="2"/>
  <c r="Z138" i="2"/>
  <c r="Z121" i="2"/>
  <c r="Z81" i="2"/>
  <c r="Z64" i="2"/>
  <c r="Z63" i="2"/>
  <c r="Z95" i="2"/>
  <c r="Z62" i="2"/>
  <c r="Z70" i="2"/>
  <c r="Z79" i="2"/>
  <c r="Z26" i="2"/>
  <c r="Z33" i="2"/>
  <c r="Z61" i="2"/>
  <c r="Z68" i="2"/>
  <c r="Z38" i="2"/>
  <c r="Z59" i="2"/>
  <c r="Z67" i="2"/>
  <c r="Z118" i="2"/>
  <c r="Z109" i="2"/>
  <c r="I94" i="6" l="1"/>
  <c r="I93" i="6"/>
  <c r="I95" i="6"/>
  <c r="I99" i="6"/>
  <c r="I97" i="6"/>
  <c r="I96" i="6"/>
  <c r="I98" i="6"/>
  <c r="G121" i="6"/>
  <c r="G123" i="6"/>
  <c r="G118" i="6"/>
  <c r="G116" i="6"/>
  <c r="G119" i="6"/>
  <c r="G122" i="6"/>
  <c r="G124" i="6"/>
  <c r="G117" i="6"/>
  <c r="G120" i="6"/>
  <c r="H31" i="7"/>
  <c r="H30" i="7"/>
  <c r="Z151" i="2"/>
  <c r="Z149" i="2"/>
  <c r="Z150" i="2"/>
  <c r="C175" i="2"/>
  <c r="C176" i="2"/>
  <c r="C185" i="2"/>
  <c r="C177" i="2"/>
  <c r="C186" i="2"/>
  <c r="Z12" i="2"/>
  <c r="C178" i="2"/>
  <c r="C181" i="2"/>
  <c r="C183" i="2"/>
  <c r="C179" i="2"/>
  <c r="C182" i="2"/>
  <c r="C169" i="2"/>
  <c r="C171" i="2" s="1"/>
  <c r="C180" i="2"/>
  <c r="C184" i="2"/>
  <c r="C187" i="2" l="1"/>
  <c r="C158" i="2" l="1"/>
  <c r="C161" i="2" s="1"/>
  <c r="Y126" i="2"/>
  <c r="Y134" i="2" s="1"/>
  <c r="Z127" i="2"/>
  <c r="Z126" i="2" s="1"/>
  <c r="C150" i="2"/>
  <c r="Y140" i="2" l="1"/>
  <c r="Z134" i="2"/>
  <c r="C162" i="2"/>
  <c r="Y141" i="2" l="1"/>
  <c r="Z140" i="2"/>
  <c r="Y146" i="2" l="1"/>
  <c r="AB141" i="2"/>
  <c r="C148" i="2"/>
  <c r="C151" i="2" s="1"/>
  <c r="C170" i="2"/>
  <c r="C6" i="2"/>
  <c r="C7" i="2" s="1"/>
  <c r="Z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Sofiya BABAJANOVA</author>
  </authors>
  <commentList>
    <comment ref="O12" authorId="0" shapeId="0" xr:uid="{6F99CEB6-0EE4-466A-92E2-FCFCC6D1EF50}">
      <text>
        <r>
          <rPr>
            <b/>
            <sz val="9"/>
            <color indexed="81"/>
            <rFont val="Tahoma"/>
            <family val="2"/>
            <charset val="204"/>
          </rPr>
          <t xml:space="preserve">за выпуск ключей
</t>
        </r>
      </text>
    </comment>
    <comment ref="AB12" authorId="0" shapeId="0" xr:uid="{E217386D-89EA-47EA-BA6A-CA814BC33BEC}">
      <text>
        <r>
          <rPr>
            <b/>
            <sz val="9"/>
            <color indexed="81"/>
            <rFont val="Tahoma"/>
            <family val="2"/>
            <charset val="204"/>
          </rPr>
          <t xml:space="preserve">регистрация валютного договора
для конвертации
</t>
        </r>
      </text>
    </comment>
    <comment ref="AD33" authorId="0" shapeId="0" xr:uid="{33F9351F-592C-45D4-A494-9F7C6F486F00}">
      <text>
        <r>
          <rPr>
            <b/>
            <sz val="9"/>
            <color indexed="81"/>
            <rFont val="Tahoma"/>
            <family val="2"/>
            <charset val="204"/>
          </rPr>
          <t>Sofiya BABAJANOVA:</t>
        </r>
        <r>
          <rPr>
            <sz val="9"/>
            <color indexed="81"/>
            <rFont val="Tahoma"/>
            <family val="2"/>
            <charset val="204"/>
          </rPr>
          <t xml:space="preserve">
в счете перенос на июнь, т.к. сделки исполнились в июне</t>
        </r>
      </text>
    </comment>
    <comment ref="AE49" authorId="0" shapeId="0" xr:uid="{5E324CBB-70F7-4FF1-A6CA-10339BE1871B}">
      <text>
        <r>
          <rPr>
            <b/>
            <sz val="9"/>
            <color indexed="81"/>
            <rFont val="Tahoma"/>
            <family val="2"/>
            <charset val="204"/>
          </rPr>
          <t>Sofiya BABAJANOVA:</t>
        </r>
        <r>
          <rPr>
            <sz val="9"/>
            <color indexed="81"/>
            <rFont val="Tahoma"/>
            <family val="2"/>
            <charset val="204"/>
          </rPr>
          <t xml:space="preserve">
выпуск ключей для ЕНПФ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tc={B36D228E-BFFA-44D2-B025-70B4F545CD88}</author>
  </authors>
  <commentList>
    <comment ref="L7" authorId="0" shapeId="0" xr:uid="{B36D228E-BFFA-44D2-B025-70B4F545CD88}">
      <text>
        <t>[Threaded comment]
Your version of Excel allows you to read this threaded comment; however, any edits to it will get removed if the file is opened in a newer version of Excel. Learn more: https://go.microsoft.com/fwlink/?linkid=870924
Comment:
    Вот здесь на сайте прошу добавить пробел после АО "Jusan Invest"</t>
      </text>
    </comment>
  </commentList>
</comments>
</file>

<file path=xl/sharedStrings.xml><?xml version="1.0" encoding="utf-8"?>
<sst xmlns="http://schemas.openxmlformats.org/spreadsheetml/2006/main" count="899" uniqueCount="337">
  <si>
    <t>CHF</t>
  </si>
  <si>
    <t>KZT</t>
  </si>
  <si>
    <t>USD</t>
  </si>
  <si>
    <t>ГЦБ</t>
  </si>
  <si>
    <t>Доля</t>
  </si>
  <si>
    <t>РЕПО</t>
  </si>
  <si>
    <t>Акции</t>
  </si>
  <si>
    <t>Депозит</t>
  </si>
  <si>
    <t>Эмитент</t>
  </si>
  <si>
    <t>Облигации</t>
  </si>
  <si>
    <t>Еврооблигации</t>
  </si>
  <si>
    <t>Прочие активы</t>
  </si>
  <si>
    <t>Дата погашения</t>
  </si>
  <si>
    <t>Портфель акций</t>
  </si>
  <si>
    <t xml:space="preserve">Валюта выпуска </t>
  </si>
  <si>
    <t>Купонная ставка</t>
  </si>
  <si>
    <t>Количество (шт.)</t>
  </si>
  <si>
    <t>Доля в портфеле %</t>
  </si>
  <si>
    <t>Портфель облигаций</t>
  </si>
  <si>
    <t>ИТОГО ОБЯЗАТЕЛЬСТВА</t>
  </si>
  <si>
    <t>ИТОГО ЧИСТЫЕ АКТИВЫ</t>
  </si>
  <si>
    <t>ИТОГО ГРЯЗНЫЕ АКТИВЫ</t>
  </si>
  <si>
    <t>Код финансового инструмента</t>
  </si>
  <si>
    <t>ОСТАТОК ДЕНЕЖНЫХ СРЕДСТВ В KZT</t>
  </si>
  <si>
    <t>ОСТАТОК ДЕНЕЖНЫХ СРЕДСТВ В USD</t>
  </si>
  <si>
    <t>ИТОГО ДЕБИТОРСКАЯ ЗАДОЛЖЕННОСТЬ</t>
  </si>
  <si>
    <t>Доля по валютам</t>
  </si>
  <si>
    <t>итого</t>
  </si>
  <si>
    <t>ПРЯМОЕ РЕПО</t>
  </si>
  <si>
    <t>Доходность</t>
  </si>
  <si>
    <t>&lt;- замена формулы на "=SUMIF($D$7:$D$62,O86,$P$7:$P$61)" в целях исключения механической ошибки при добавлении и убавлении финансовых инструментов</t>
  </si>
  <si>
    <t>&lt;- замена формулы на "=SUMIF($D$7:$D$62,O87,$P$7:$P$61)+P73-P65", к которой добавлены денежные средства в USD и убрано прямое РЕПО</t>
  </si>
  <si>
    <t>Доля по рейтингу</t>
  </si>
  <si>
    <t>AAA</t>
  </si>
  <si>
    <t>AA</t>
  </si>
  <si>
    <t>A</t>
  </si>
  <si>
    <t>BBB</t>
  </si>
  <si>
    <t>BB</t>
  </si>
  <si>
    <t>B</t>
  </si>
  <si>
    <t>Кредитный рейтинг</t>
  </si>
  <si>
    <t>BBB-</t>
  </si>
  <si>
    <t>нет рейтинга</t>
  </si>
  <si>
    <t>&lt;- новая таблица которая считает доли по рейтингу</t>
  </si>
  <si>
    <t>&lt;- формула "=SUMIF($E$7:$E$63,B94,$Q$7:$Q$63)"</t>
  </si>
  <si>
    <t xml:space="preserve">&lt;- формула "=SUMIF($E$7:$E$63,"AA+",$Q$7:$Q$63)+SUMIF($E$7:$E$63,"AA",$Q$7:$Q$63)+SUMIF($E$7:$E$63,"AA-",$Q$7:$Q$63)" </t>
  </si>
  <si>
    <t xml:space="preserve">&lt;- формула "=SUMIF($E$7:$E$63,"A+",$Q$7:$Q$63)+SUMIF($E$7:$E$63,"A",$Q$7:$Q$63)+SUMIF($E$7:$E$63,"A-",$Q$7:$Q$63)" </t>
  </si>
  <si>
    <t>&lt;- формула "=SUMIF($E$7:$E$63,"BBB+",$Q$7:$Q$63)+SUMIF($E$7:$E$63,"BBB",$Q$7:$Q$63)+SUMIF($E$7:$E$63,"BBB-",$Q$7:$Q$63)-Q65" минус прямое РЕПО</t>
  </si>
  <si>
    <t xml:space="preserve">&lt;- формула "=SUMIF($E$7:$E$63,"BB+",$Q$7:$Q$63)+SUMIF($E$7:$E$63,"BB",$Q$7:$Q$63)+SUMIF($E$7:$E$63,"BB-",$Q$7:$Q$63)" </t>
  </si>
  <si>
    <t xml:space="preserve">&lt;- формула "=SUMIF($E$7:$E$63,"B+",$Q$7:$Q$63)+SUMIF($E$7:$E$63,"B",$Q$7:$Q$63)+SUMIF($E$7:$E$63,"B-",$Q$7:$Q$63)" </t>
  </si>
  <si>
    <t xml:space="preserve">&lt;- формула "=1-SUM(C94:C99)" </t>
  </si>
  <si>
    <t>&lt;- новая таблица которая считает доли по финансовым инструментам</t>
  </si>
  <si>
    <t>Долевые ФИ</t>
  </si>
  <si>
    <t>Долговые ФИ</t>
  </si>
  <si>
    <t>Денежный рынок</t>
  </si>
  <si>
    <t>Денежные средства и ДЗ</t>
  </si>
  <si>
    <t>&lt;- ссылка на долю портфеля акций</t>
  </si>
  <si>
    <t>&lt;- ссылка на долю портфеля облигаций</t>
  </si>
  <si>
    <t>&lt;- ссылка на прочие активы</t>
  </si>
  <si>
    <t>&lt;- сумма денежных средств и дебиторской задолженности</t>
  </si>
  <si>
    <t>&lt;- новая таблица которая считает лимиты по эмитентам</t>
  </si>
  <si>
    <t>Лимиты по эмитентам</t>
  </si>
  <si>
    <t>Доля по финансовым инструментам</t>
  </si>
  <si>
    <t>ГУ "НАЦИОНАЛЬНЫЙ БАНК РЕСПУБЛИКИ КАЗАХСТАН"</t>
  </si>
  <si>
    <t>Обязательства</t>
  </si>
  <si>
    <t>RUB</t>
  </si>
  <si>
    <t>Акции/паи нерезидентов</t>
  </si>
  <si>
    <t>Курс на дату покупки</t>
  </si>
  <si>
    <t>Цена покупки (в валюте сделки)</t>
  </si>
  <si>
    <t>Текущая рыночная цена (%)</t>
  </si>
  <si>
    <t>Курсовая разница</t>
  </si>
  <si>
    <t>Рыночная стоимость в валюте сделки на отчетную дату</t>
  </si>
  <si>
    <t>Начисленное вознаграждение / дивиденды в валюте цб</t>
  </si>
  <si>
    <t>Начисленное вознаграждение / дивиденды в тенге</t>
  </si>
  <si>
    <t>Курс на сегодня USD</t>
  </si>
  <si>
    <t>Текущая стоимость в ТЕНГЕ на отчетную дату</t>
  </si>
  <si>
    <t>кол-во</t>
  </si>
  <si>
    <t>объем</t>
  </si>
  <si>
    <t>валюта</t>
  </si>
  <si>
    <t>дата валютирования</t>
  </si>
  <si>
    <t>вид</t>
  </si>
  <si>
    <t>На расчетах</t>
  </si>
  <si>
    <t>Стоимость УПЕ</t>
  </si>
  <si>
    <t>на первоначальную дату размещения</t>
  </si>
  <si>
    <t xml:space="preserve">Обязательства по комиссиям </t>
  </si>
  <si>
    <t>Обязательства по сделкам на расчетах</t>
  </si>
  <si>
    <t>Доходность при покупке</t>
  </si>
  <si>
    <t>Комиссия ЕНПФ</t>
  </si>
  <si>
    <t>Комиссия УК</t>
  </si>
  <si>
    <t>Дата покупки (дата заключения)</t>
  </si>
  <si>
    <t>Дата покупки (дата расчетов)</t>
  </si>
  <si>
    <t>Накопленный дисконт/премия (в тенге)</t>
  </si>
  <si>
    <t>Количество УПЕ</t>
  </si>
  <si>
    <t>на дату отчета</t>
  </si>
  <si>
    <t xml:space="preserve">ИТОГО ОБЯЗАТЕЛЬСТВА </t>
  </si>
  <si>
    <t>Комиссия кастоди</t>
  </si>
  <si>
    <t>Комиссия Биржи</t>
  </si>
  <si>
    <t>Комиссия клиринга</t>
  </si>
  <si>
    <t>Итого</t>
  </si>
  <si>
    <t>Комиссии ОПЕРу</t>
  </si>
  <si>
    <t>Март 2021</t>
  </si>
  <si>
    <t xml:space="preserve">Инвестиционный доход </t>
  </si>
  <si>
    <t>Итого доход УК</t>
  </si>
  <si>
    <t xml:space="preserve">Комиссия УК </t>
  </si>
  <si>
    <t>Поступления ДС от ЕНПФ</t>
  </si>
  <si>
    <t>Сводные данные, в разбивке по датам</t>
  </si>
  <si>
    <t>Комиссии к возмещению за счет УК*</t>
  </si>
  <si>
    <r>
      <t xml:space="preserve">* Согласно условиям Договора о доверительном управлении пенсионными активами № 17/7/18-02-21/П от 18.02.2021г.  Общество обязано оплачивать счета, выставленные Кастодианом, оказывающим услуги по номинальному держанию, обслуживанию сделок с пенсионными активами и ведению счетов по учету финансовых инструментов, приобретенных за счет пенсионных активов, а также расходы, связанные с привлечением третьих лиц, услуги которых необходимы для управления пенсионными активами. </t>
    </r>
    <r>
      <rPr>
        <b/>
        <sz val="8"/>
        <rFont val="Arial Cyr"/>
        <charset val="204"/>
      </rPr>
      <t>Данные комиссии не учитываются в кредиторской задолженности и приведенны в данной таблице в информационных целях.</t>
    </r>
  </si>
  <si>
    <t>IVV US</t>
  </si>
  <si>
    <t>SUSA US</t>
  </si>
  <si>
    <t>RING US</t>
  </si>
  <si>
    <t>CWI US</t>
  </si>
  <si>
    <t>SCHE US</t>
  </si>
  <si>
    <t>FNDX US</t>
  </si>
  <si>
    <t>GDX US</t>
  </si>
  <si>
    <t>VOO US</t>
  </si>
  <si>
    <t xml:space="preserve">Доходы/ расходы от покупки/ продажи </t>
  </si>
  <si>
    <t>Прочие обязательства</t>
  </si>
  <si>
    <t>ISHARES CORE S&amp;P 500 ETF</t>
  </si>
  <si>
    <t>ISHARES MSCI USA ESG SELECT ETF</t>
  </si>
  <si>
    <t>ISHARES MSCI GLOBAL GOLD MINERS ETF</t>
  </si>
  <si>
    <t>SPDR State Street Global Advisors</t>
  </si>
  <si>
    <t>SCHWAB EMERGING MARKETS EQUITY ETF</t>
  </si>
  <si>
    <t>SCHWAB FUNDAMENTAL U.S. LARGE COMPANY INDEX ETF</t>
  </si>
  <si>
    <t>VanEck Vectors Gold Miners ETF</t>
  </si>
  <si>
    <t>VANGUARD S&amp;P 500 ETF</t>
  </si>
  <si>
    <t>NTK182_2709</t>
  </si>
  <si>
    <t>5 звезд</t>
  </si>
  <si>
    <t>3 звезды</t>
  </si>
  <si>
    <t>4 звезды</t>
  </si>
  <si>
    <t>3 звезд</t>
  </si>
  <si>
    <t>Курс на предыдущий день USD</t>
  </si>
  <si>
    <t>Рыночная переоценка в валюте</t>
  </si>
  <si>
    <t>Рыночная переоценка в тенге</t>
  </si>
  <si>
    <t>Апрель 2021</t>
  </si>
  <si>
    <t>MUM132_0004</t>
  </si>
  <si>
    <t>МИНИСТЕРСТВО ФИНАНСОВ РК</t>
  </si>
  <si>
    <t>MUM120_0011</t>
  </si>
  <si>
    <t>Купон продавца при покупке (в тенге)</t>
  </si>
  <si>
    <t>MUM084_0017</t>
  </si>
  <si>
    <t>MUM180_0003</t>
  </si>
  <si>
    <t>NTK182_2715</t>
  </si>
  <si>
    <t>ГУ "Национальный Банк Республики Казахстан"</t>
  </si>
  <si>
    <t>Май 2021</t>
  </si>
  <si>
    <t>Комиссии по сделкам</t>
  </si>
  <si>
    <t>Дебиторская задолженность по сделкам на расчетах</t>
  </si>
  <si>
    <t>FREL US</t>
  </si>
  <si>
    <t>FIDELITY MSCI REAL ESTATE INDEX ETF</t>
  </si>
  <si>
    <t>P&amp;L(в тенге)</t>
  </si>
  <si>
    <t>Июнь 2021</t>
  </si>
  <si>
    <t xml:space="preserve">Таблица 4. Стоимость одной условной единицы ПА ЕНПФ, находящихся в доверительном 
управлении Jusan Invest </t>
  </si>
  <si>
    <t>№ п/п</t>
  </si>
  <si>
    <t>Дата</t>
  </si>
  <si>
    <t>Стоимость одной условной единицы</t>
  </si>
  <si>
    <t>зачисление ДС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</si>
  <si>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</si>
  <si>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</si>
  <si>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</si>
  <si>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</si>
  <si>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</si>
  <si>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</si>
  <si>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</si>
  <si>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</si>
  <si>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</si>
  <si>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</si>
  <si>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</si>
  <si>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</si>
  <si>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</si>
  <si>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</si>
  <si>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</si>
  <si>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</si>
  <si>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</si>
  <si>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</si>
  <si>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</si>
  <si>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</si>
  <si>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</si>
  <si>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</si>
  <si>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</si>
  <si>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</si>
  <si>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</si>
  <si>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</si>
  <si>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</si>
  <si>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</si>
  <si>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</si>
  <si>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</si>
  <si>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</si>
  <si>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</si>
  <si>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</si>
  <si>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</si>
  <si>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</si>
  <si>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</si>
  <si>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</si>
  <si>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</si>
  <si>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</si>
  <si>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</si>
  <si>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</si>
  <si>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</si>
  <si>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</si>
  <si>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</si>
  <si>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</si>
  <si>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</si>
  <si>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</si>
  <si>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</si>
  <si>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</si>
  <si>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</si>
  <si>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</si>
  <si>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</si>
  <si>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NTK091_2724</t>
  </si>
  <si>
    <t>за учет и хранение</t>
  </si>
  <si>
    <t>NTK182_2727</t>
  </si>
  <si>
    <t>Июль 2021</t>
  </si>
  <si>
    <t xml:space="preserve">Категория </t>
  </si>
  <si>
    <t>MUM072_0013</t>
  </si>
  <si>
    <t>Август 2021</t>
  </si>
  <si>
    <t>NTK091_2736</t>
  </si>
  <si>
    <t>NTK028_2737</t>
  </si>
  <si>
    <t>KZ_06_4410</t>
  </si>
  <si>
    <t>Немонетарная статья</t>
  </si>
  <si>
    <t>Монетарные статья</t>
  </si>
  <si>
    <t>NTK182_2739</t>
  </si>
  <si>
    <t>NTK028_2740</t>
  </si>
  <si>
    <t>Ticker</t>
  </si>
  <si>
    <t>Name</t>
  </si>
  <si>
    <t>Curr</t>
  </si>
  <si>
    <t>Amount</t>
  </si>
  <si>
    <t>Purchase date</t>
  </si>
  <si>
    <t>Purchase date exchange rate</t>
  </si>
  <si>
    <t>Purchase price</t>
  </si>
  <si>
    <t>Current price</t>
  </si>
  <si>
    <t>Market price</t>
  </si>
  <si>
    <t>Weight</t>
  </si>
  <si>
    <t>Return for 1 month</t>
  </si>
  <si>
    <t>BOP Value in KZT</t>
  </si>
  <si>
    <t>EOP Value in KZT</t>
  </si>
  <si>
    <t>Market Value</t>
  </si>
  <si>
    <t>BOP Value</t>
  </si>
  <si>
    <t>Return</t>
  </si>
  <si>
    <t>Акции широкого рынка США</t>
  </si>
  <si>
    <t>Акции стоимости</t>
  </si>
  <si>
    <t>Акции фондов недвижимости</t>
  </si>
  <si>
    <t>Мировые акции за исключением США</t>
  </si>
  <si>
    <t>Акции развивающихся стран</t>
  </si>
  <si>
    <t>Акции золотодобытчиков</t>
  </si>
  <si>
    <t>Акции сегмента ESG (социально-ответственное инвестирование)</t>
  </si>
  <si>
    <t>Доходность Слайд 3</t>
  </si>
  <si>
    <t>ВЕСА</t>
  </si>
  <si>
    <t>ВЕСА ОТДЕЛЬНО</t>
  </si>
  <si>
    <t>Vanguard S&amp;P 500</t>
  </si>
  <si>
    <t>VanEck Vectors Gold Miners</t>
  </si>
  <si>
    <t>SPDR MSCI AWCI ex-US</t>
  </si>
  <si>
    <t>Schwab Emerging Markets</t>
  </si>
  <si>
    <t>iShares Core S&amp;P 500</t>
  </si>
  <si>
    <t>Fidelity MSCI Real Estate Index ETF</t>
  </si>
  <si>
    <t>iShares MSCI USA ESG Select</t>
  </si>
  <si>
    <t>Schwab Fundamental U.S. Large Company Index</t>
  </si>
  <si>
    <t>iShares MSCI Global Gold Miners</t>
  </si>
  <si>
    <t>Market value on 1 august or purchase date</t>
  </si>
  <si>
    <t>Market price, mln KZT</t>
  </si>
  <si>
    <t>Ноты</t>
  </si>
  <si>
    <t>Минфин</t>
  </si>
  <si>
    <t>Национальный Банк РК, NTK182_2727</t>
  </si>
  <si>
    <t>Министерство Финансов РК, MUM120_0011</t>
  </si>
  <si>
    <t>Министерство Финансов РК, MUM084_0017</t>
  </si>
  <si>
    <t>Министерство Финансов РК, MUM180_0003</t>
  </si>
  <si>
    <t>Национальный Банк РК, NTK182_2715</t>
  </si>
  <si>
    <t>Национальный Банк РК, NTK091_2724</t>
  </si>
  <si>
    <t>Национальный Банк РК, NTK182_2709</t>
  </si>
  <si>
    <t>Министерство Финансов РК, MUM072_0013</t>
  </si>
  <si>
    <t>Министерство Финансов РК, MUM132_0004</t>
  </si>
  <si>
    <t>Market value on 1 aug or purchase date</t>
  </si>
  <si>
    <t>Национальный Банк РК, NTK182_2739</t>
  </si>
  <si>
    <t>Национальный Банк РК, NTK091_2736</t>
  </si>
  <si>
    <t>Национальный Банк РК, NTK028_2737</t>
  </si>
  <si>
    <t>Национальный Банк РК, NTK028_2740</t>
  </si>
  <si>
    <t>`1 month</t>
  </si>
  <si>
    <t>since inception</t>
  </si>
  <si>
    <t>annual</t>
  </si>
  <si>
    <t>Базовая ставка</t>
  </si>
  <si>
    <t>Нижняя граница коридора</t>
  </si>
  <si>
    <t>Верхняя граница коридора</t>
  </si>
  <si>
    <t>NBRK</t>
  </si>
  <si>
    <t>KASE</t>
  </si>
  <si>
    <t>ДОЛЛАР США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</si>
  <si>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</si>
  <si>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</si>
  <si>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</si>
  <si>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</si>
  <si>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</si>
  <si>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</si>
  <si>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</si>
  <si>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</si>
  <si>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</si>
  <si>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</si>
  <si>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</si>
  <si>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</si>
  <si>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</si>
  <si>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</si>
  <si>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</si>
  <si>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</si>
  <si>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</si>
  <si>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</si>
  <si>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</si>
  <si>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</si>
  <si>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</si>
  <si>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</si>
  <si>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</si>
  <si>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</si>
  <si>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</si>
  <si>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</si>
  <si>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</si>
  <si>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</si>
  <si>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</si>
  <si>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</si>
  <si>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</si>
  <si>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</si>
  <si>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</si>
  <si>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</si>
  <si>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</si>
  <si>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Деньги</t>
  </si>
  <si>
    <t>Показатели</t>
  </si>
  <si>
    <t>годовых</t>
  </si>
  <si>
    <t>млн тг</t>
  </si>
  <si>
    <t>за управление</t>
  </si>
  <si>
    <t>Целевой инвестиционный
доход</t>
  </si>
  <si>
    <t>Увеличение стоимости одной условной единицы пенсионных активов* с даты принятия в управление Jusan Invest</t>
  </si>
  <si>
    <t>АО «Jusan Invest» не взимает комиссию с Ваших накоплений, а только 5% от инвестиционного дохода</t>
  </si>
  <si>
    <t>Распределение активов</t>
  </si>
  <si>
    <t>Ноты Национального Банка РК</t>
  </si>
  <si>
    <t>Облигации Министерства Финансов РК</t>
  </si>
  <si>
    <t>Географическое распределение</t>
  </si>
  <si>
    <t>Картинка будет предоставлена отдельным письмом</t>
  </si>
  <si>
    <t>Состав портфеля</t>
  </si>
  <si>
    <t>Национальный Банк Республики Казахстан</t>
  </si>
  <si>
    <t>Документы</t>
  </si>
  <si>
    <t>Обзор инвестиционной деятельности за июль, 2021 будет предоставлен отдельным письмом</t>
  </si>
  <si>
    <t>на 31.08.2021</t>
  </si>
  <si>
    <r>
      <t xml:space="preserve">Чистая стоимость пенсионных активов под управлением по состоянию на </t>
    </r>
    <r>
      <rPr>
        <sz val="10"/>
        <color rgb="FFFF0000"/>
        <rFont val="Segoe UI Semilight"/>
        <family val="2"/>
        <charset val="204"/>
      </rPr>
      <t>31.08.2021</t>
    </r>
  </si>
  <si>
    <t>*По состоянию на 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</si>
</sst>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.00_р_._-;\-* #,##0.00_р_._-;_-* &quot;-&quot;??_р_._-;_-@_-"/>
    <numFmt numFmtId="165" formatCode="_-* #,##0.00_K_Z_T_-;\-* #,##0.00_K_Z_T_-;_-* &quot;-&quot;??_K_Z_T_-;_-@_-"/>
    <numFmt numFmtId="166" formatCode="_-* #,##0_р_._-;\-* #,##0_р_._-;_-* &quot;-&quot;??_р_._-;_-@_-"/>
    <numFmt numFmtId="167" formatCode="0.0000%"/>
    <numFmt numFmtId="168" formatCode="0.0%"/>
    <numFmt numFmtId="169" formatCode="#,##0.0000"/>
    <numFmt numFmtId="170" formatCode="0.0#%"/>
    <numFmt numFmtId="171" formatCode="_-* #,##0.00000_р_._-;\-* #,##0.00000_р_._-;_-* &quot;-&quot;??_р_._-;_-@_-"/>
    <numFmt numFmtId="172" formatCode="_-* #,##0_K_Z_T_-;\-* #,##0_K_Z_T_-;_-* &quot;-&quot;??_K_Z_T_-;_-@_-"/>
    <numFmt numFmtId="173" formatCode="_-* #,##0.0000_K_Z_T_-;\-* #,##0.0000_K_Z_T_-;_-* &quot;-&quot;??_K_Z_T_-;_-@_-"/>
    <numFmt numFmtId="174" formatCode="_-* #,##0.00\ _₽_-;\-* #,##0.00\ _₽_-;_-* &quot;-&quot;??\ _₽_-;_-@_-"/>
    <numFmt numFmtId="175" formatCode="#,##0.0000000"/>
    <numFmt numFmtId="176" formatCode="_-* #,##0.0000_р_._-;\-* #,##0.0000_р_._-;_-* &quot;-&quot;??_р_._-;_-@_-"/>
    <numFmt numFmtId="177" formatCode="#,##0.00_ ;\-#,##0.00\ "/>
    <numFmt numFmtId="178" formatCode="dd\.mm\.yyyy"/>
    <numFmt numFmtId="179" formatCode="#,##0.0###############"/>
    <numFmt numFmtId="180" formatCode="0.0"/>
    <numFmt numFmtId="182" formatCode="#,##0.0"/>
  </numFmts>
  <fonts count="5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name val="Segoe UI Light"/>
      <family val="2"/>
      <charset val="204"/>
    </font>
    <font>
      <b/>
      <sz val="11"/>
      <name val="Segoe UI Light"/>
      <family val="2"/>
      <charset val="204"/>
    </font>
    <font>
      <i/>
      <sz val="11"/>
      <name val="Segoe UI Light"/>
      <family val="2"/>
      <charset val="204"/>
    </font>
    <font>
      <b/>
      <i/>
      <sz val="11"/>
      <name val="Segoe UI Light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i/>
      <sz val="11"/>
      <color theme="0"/>
      <name val="Segoe UI Light"/>
      <family val="2"/>
      <charset val="204"/>
    </font>
    <font>
      <sz val="11"/>
      <color theme="0"/>
      <name val="Segoe UI Light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2" tint="-0.89999084444715716"/>
      <name val="Segoe UI"/>
      <family val="2"/>
      <charset val="204"/>
    </font>
    <font>
      <b/>
      <sz val="10"/>
      <color theme="2" tint="-0.89999084444715716"/>
      <name val="Segoe UI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9"/>
      <name val="Arial"/>
      <family val="2"/>
      <charset val="204"/>
    </font>
    <font>
      <i/>
      <sz val="11"/>
      <color rgb="FFFF0000"/>
      <name val="Segoe UI Light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1"/>
      <color theme="0"/>
      <name val="Segoe UI Light"/>
      <family val="2"/>
      <charset val="204"/>
    </font>
    <font>
      <sz val="10"/>
      <name val="Segoe UI Semilight"/>
      <family val="2"/>
      <charset val="204"/>
    </font>
    <font>
      <sz val="8"/>
      <name val="Gill Sans Nova Light"/>
      <family val="2"/>
    </font>
    <font>
      <b/>
      <sz val="9"/>
      <color rgb="FF0E4C28"/>
      <name val="Verdana"/>
      <family val="2"/>
      <charset val="204"/>
    </font>
    <font>
      <sz val="9"/>
      <color rgb="FF000000"/>
      <name val="Verdana"/>
      <family val="2"/>
      <charset val="204"/>
    </font>
    <font>
      <b/>
      <sz val="10"/>
      <name val="Segoe UI Semilight"/>
      <family val="2"/>
      <charset val="204"/>
    </font>
    <font>
      <sz val="10"/>
      <color rgb="FFFF0000"/>
      <name val="Segoe UI Semilight"/>
      <family val="2"/>
      <charset val="204"/>
    </font>
    <font>
      <i/>
      <sz val="10"/>
      <name val="Segoe UI Semilight"/>
      <family val="2"/>
      <charset val="204"/>
    </font>
    <font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EAE3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ACBFBA"/>
      </left>
      <right style="medium">
        <color rgb="FFACBFBA"/>
      </right>
      <top style="medium">
        <color rgb="FFACBFBA"/>
      </top>
      <bottom style="medium">
        <color rgb="FFACBFBA"/>
      </bottom>
      <diagonal/>
    </border>
  </borders>
  <cellStyleXfs count="375">
    <xf numFmtId="0" fontId="0" fillId="0" borderId="0"/>
    <xf numFmtId="0" fontId="7" fillId="0" borderId="0"/>
    <xf numFmtId="0" fontId="7" fillId="0" borderId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0" fontId="1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6" fillId="6" borderId="8" applyNumberFormat="0" applyAlignment="0" applyProtection="0"/>
    <xf numFmtId="0" fontId="27" fillId="7" borderId="9" applyNumberFormat="0" applyAlignment="0" applyProtection="0"/>
    <xf numFmtId="0" fontId="28" fillId="7" borderId="8" applyNumberFormat="0" applyAlignment="0" applyProtection="0"/>
    <xf numFmtId="0" fontId="29" fillId="0" borderId="10" applyNumberFormat="0" applyFill="0" applyAlignment="0" applyProtection="0"/>
    <xf numFmtId="0" fontId="30" fillId="8" borderId="11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3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3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3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34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2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2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35" fillId="0" borderId="0"/>
    <xf numFmtId="0" fontId="35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</cellStyleXfs>
  <cellXfs count="300">
    <xf numFmtId="0" fontId="0" fillId="0" borderId="0" xfId="0"/>
    <xf numFmtId="0" fontId="9" fillId="0" borderId="0" xfId="13" applyNumberFormat="1" applyFont="1" applyFill="1" applyAlignment="1">
      <alignment horizontal="left" vertical="center"/>
    </xf>
    <xf numFmtId="164" fontId="9" fillId="0" borderId="0" xfId="13" applyFont="1" applyFill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/>
    </xf>
    <xf numFmtId="164" fontId="9" fillId="0" borderId="0" xfId="13" applyFont="1" applyFill="1" applyAlignment="1">
      <alignment vertical="center"/>
    </xf>
    <xf numFmtId="0" fontId="11" fillId="0" borderId="0" xfId="1" applyFont="1" applyAlignment="1">
      <alignment horizontal="center" vertical="center"/>
    </xf>
    <xf numFmtId="14" fontId="11" fillId="0" borderId="0" xfId="13" applyNumberFormat="1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1" applyFont="1" applyAlignment="1">
      <alignment vertical="center"/>
    </xf>
    <xf numFmtId="166" fontId="9" fillId="0" borderId="0" xfId="13" applyNumberFormat="1" applyFont="1" applyFill="1" applyAlignment="1">
      <alignment vertical="center"/>
    </xf>
    <xf numFmtId="166" fontId="11" fillId="0" borderId="0" xfId="13" applyNumberFormat="1" applyFont="1" applyFill="1" applyAlignment="1">
      <alignment vertical="center"/>
    </xf>
    <xf numFmtId="0" fontId="9" fillId="0" borderId="1" xfId="1" applyFont="1" applyBorder="1" applyAlignment="1">
      <alignment horizontal="left" vertical="center" wrapText="1"/>
    </xf>
    <xf numFmtId="49" fontId="9" fillId="0" borderId="2" xfId="1" applyNumberFormat="1" applyFont="1" applyBorder="1" applyAlignment="1">
      <alignment horizontal="left" vertical="center" wrapText="1"/>
    </xf>
    <xf numFmtId="9" fontId="9" fillId="0" borderId="1" xfId="5" applyFont="1" applyFill="1" applyBorder="1" applyAlignment="1">
      <alignment horizontal="center" vertical="center"/>
    </xf>
    <xf numFmtId="166" fontId="9" fillId="0" borderId="1" xfId="13" applyNumberFormat="1" applyFont="1" applyFill="1" applyBorder="1" applyAlignment="1">
      <alignment horizontal="right" vertical="center"/>
    </xf>
    <xf numFmtId="14" fontId="9" fillId="0" borderId="1" xfId="1" applyNumberFormat="1" applyFont="1" applyBorder="1" applyAlignment="1">
      <alignment horizontal="center" vertical="center"/>
    </xf>
    <xf numFmtId="169" fontId="9" fillId="0" borderId="1" xfId="13" applyNumberFormat="1" applyFont="1" applyFill="1" applyBorder="1" applyAlignment="1">
      <alignment horizontal="right" vertical="center"/>
    </xf>
    <xf numFmtId="0" fontId="9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165" fontId="9" fillId="0" borderId="0" xfId="10" applyFont="1" applyAlignment="1">
      <alignment horizontal="center" vertical="center"/>
    </xf>
    <xf numFmtId="10" fontId="11" fillId="0" borderId="0" xfId="3" applyNumberFormat="1" applyFont="1" applyAlignment="1">
      <alignment horizontal="center" vertical="center"/>
    </xf>
    <xf numFmtId="165" fontId="9" fillId="0" borderId="0" xfId="10" applyFont="1" applyAlignment="1">
      <alignment vertical="center"/>
    </xf>
    <xf numFmtId="4" fontId="9" fillId="0" borderId="1" xfId="1" applyNumberFormat="1" applyFont="1" applyBorder="1" applyAlignment="1">
      <alignment vertical="center"/>
    </xf>
    <xf numFmtId="165" fontId="9" fillId="0" borderId="1" xfId="10" applyFont="1" applyFill="1" applyBorder="1" applyAlignment="1">
      <alignment horizontal="right" vertical="center"/>
    </xf>
    <xf numFmtId="167" fontId="9" fillId="0" borderId="1" xfId="13" applyNumberFormat="1" applyFont="1" applyFill="1" applyBorder="1" applyAlignment="1">
      <alignment horizontal="right" vertical="center"/>
    </xf>
    <xf numFmtId="10" fontId="9" fillId="0" borderId="1" xfId="3" applyNumberFormat="1" applyFont="1" applyFill="1" applyBorder="1" applyAlignment="1">
      <alignment horizontal="center" vertical="center"/>
    </xf>
    <xf numFmtId="49" fontId="9" fillId="0" borderId="0" xfId="1" applyNumberFormat="1" applyFont="1" applyAlignment="1">
      <alignment horizontal="left" vertical="center" wrapText="1"/>
    </xf>
    <xf numFmtId="9" fontId="9" fillId="0" borderId="0" xfId="5" applyFont="1" applyFill="1" applyBorder="1" applyAlignment="1">
      <alignment horizontal="center" vertical="center"/>
    </xf>
    <xf numFmtId="166" fontId="9" fillId="0" borderId="0" xfId="13" applyNumberFormat="1" applyFont="1" applyFill="1" applyBorder="1" applyAlignment="1">
      <alignment horizontal="right" vertical="center"/>
    </xf>
    <xf numFmtId="14" fontId="9" fillId="0" borderId="0" xfId="1" applyNumberFormat="1" applyFont="1" applyAlignment="1">
      <alignment horizontal="center" vertical="center"/>
    </xf>
    <xf numFmtId="165" fontId="9" fillId="0" borderId="0" xfId="10" applyFont="1" applyFill="1" applyBorder="1" applyAlignment="1">
      <alignment horizontal="right" vertical="center"/>
    </xf>
    <xf numFmtId="10" fontId="10" fillId="0" borderId="0" xfId="3" applyNumberFormat="1" applyFont="1" applyFill="1" applyBorder="1" applyAlignment="1">
      <alignment horizontal="center" vertical="center" wrapText="1"/>
    </xf>
    <xf numFmtId="171" fontId="9" fillId="0" borderId="1" xfId="13" applyNumberFormat="1" applyFont="1" applyFill="1" applyBorder="1" applyAlignment="1">
      <alignment horizontal="right" vertical="center"/>
    </xf>
    <xf numFmtId="0" fontId="11" fillId="0" borderId="1" xfId="1" applyFont="1" applyBorder="1" applyAlignment="1">
      <alignment horizontal="center" vertical="center"/>
    </xf>
    <xf numFmtId="165" fontId="10" fillId="0" borderId="1" xfId="10" applyFont="1" applyBorder="1" applyAlignment="1">
      <alignment horizontal="center" vertical="center"/>
    </xf>
    <xf numFmtId="10" fontId="10" fillId="0" borderId="1" xfId="3" applyNumberFormat="1" applyFont="1" applyBorder="1" applyAlignment="1">
      <alignment horizontal="center" vertical="center"/>
    </xf>
    <xf numFmtId="0" fontId="10" fillId="0" borderId="3" xfId="13" applyNumberFormat="1" applyFont="1" applyFill="1" applyBorder="1" applyAlignment="1">
      <alignment horizontal="left" vertical="center"/>
    </xf>
    <xf numFmtId="0" fontId="9" fillId="0" borderId="0" xfId="1" applyFont="1" applyFill="1" applyAlignment="1">
      <alignment vertical="center"/>
    </xf>
    <xf numFmtId="0" fontId="11" fillId="0" borderId="0" xfId="1" applyFont="1" applyFill="1" applyAlignment="1">
      <alignment horizontal="center" vertical="center"/>
    </xf>
    <xf numFmtId="164" fontId="11" fillId="0" borderId="0" xfId="13" applyFont="1" applyFill="1" applyAlignment="1">
      <alignment horizontal="left" vertical="center"/>
    </xf>
    <xf numFmtId="0" fontId="11" fillId="0" borderId="0" xfId="1" applyFont="1" applyAlignment="1">
      <alignment vertical="center"/>
    </xf>
    <xf numFmtId="0" fontId="9" fillId="0" borderId="2" xfId="13" applyNumberFormat="1" applyFont="1" applyFill="1" applyBorder="1" applyAlignment="1">
      <alignment vertical="center"/>
    </xf>
    <xf numFmtId="0" fontId="10" fillId="0" borderId="3" xfId="13" applyNumberFormat="1" applyFont="1" applyFill="1" applyBorder="1" applyAlignment="1">
      <alignment horizontal="left" vertical="center" wrapText="1"/>
    </xf>
    <xf numFmtId="0" fontId="11" fillId="0" borderId="0" xfId="1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7" fillId="0" borderId="0" xfId="1" applyFont="1" applyAlignment="1">
      <alignment horizontal="left" vertical="center"/>
    </xf>
    <xf numFmtId="10" fontId="18" fillId="0" borderId="0" xfId="3" applyNumberFormat="1" applyFont="1" applyAlignment="1">
      <alignment vertical="center"/>
    </xf>
    <xf numFmtId="9" fontId="9" fillId="0" borderId="1" xfId="5" applyFont="1" applyFill="1" applyBorder="1" applyAlignment="1">
      <alignment horizontal="center" vertical="center"/>
    </xf>
    <xf numFmtId="165" fontId="11" fillId="0" borderId="0" xfId="10" applyFont="1" applyFill="1" applyAlignment="1">
      <alignment vertical="center"/>
    </xf>
    <xf numFmtId="0" fontId="9" fillId="0" borderId="0" xfId="18" applyNumberFormat="1" applyFont="1" applyFill="1" applyAlignment="1">
      <alignment horizontal="left" vertical="center"/>
    </xf>
    <xf numFmtId="9" fontId="9" fillId="0" borderId="1" xfId="5" applyFont="1" applyFill="1" applyBorder="1" applyAlignment="1">
      <alignment horizontal="center" vertical="center"/>
    </xf>
    <xf numFmtId="14" fontId="9" fillId="0" borderId="1" xfId="1" applyNumberFormat="1" applyFont="1" applyBorder="1" applyAlignment="1">
      <alignment horizontal="center" vertical="center"/>
    </xf>
    <xf numFmtId="4" fontId="9" fillId="0" borderId="1" xfId="1" applyNumberFormat="1" applyFont="1" applyBorder="1" applyAlignment="1">
      <alignment vertical="center"/>
    </xf>
    <xf numFmtId="167" fontId="9" fillId="0" borderId="1" xfId="18" applyNumberFormat="1" applyFont="1" applyFill="1" applyBorder="1" applyAlignment="1">
      <alignment horizontal="right" vertical="center"/>
    </xf>
    <xf numFmtId="166" fontId="9" fillId="0" borderId="1" xfId="18" applyNumberFormat="1" applyFont="1" applyFill="1" applyBorder="1" applyAlignment="1">
      <alignment horizontal="right" vertical="center"/>
    </xf>
    <xf numFmtId="10" fontId="9" fillId="0" borderId="0" xfId="3" applyNumberFormat="1" applyFont="1" applyFill="1" applyAlignment="1">
      <alignment horizontal="left" vertical="center"/>
    </xf>
    <xf numFmtId="171" fontId="9" fillId="0" borderId="0" xfId="13" applyNumberFormat="1" applyFont="1" applyFill="1" applyAlignment="1">
      <alignment horizontal="left" vertical="center"/>
    </xf>
    <xf numFmtId="165" fontId="9" fillId="0" borderId="1" xfId="10" applyFont="1" applyBorder="1" applyAlignment="1">
      <alignment vertical="center"/>
    </xf>
    <xf numFmtId="0" fontId="36" fillId="0" borderId="1" xfId="0" applyFont="1" applyBorder="1" applyAlignment="1">
      <alignment horizontal="center"/>
    </xf>
    <xf numFmtId="10" fontId="37" fillId="34" borderId="1" xfId="12" applyNumberFormat="1" applyFont="1" applyFill="1" applyBorder="1" applyAlignment="1">
      <alignment horizontal="center"/>
    </xf>
    <xf numFmtId="169" fontId="36" fillId="34" borderId="1" xfId="12" applyNumberFormat="1" applyFont="1" applyFill="1" applyBorder="1" applyAlignment="1">
      <alignment horizontal="center"/>
    </xf>
    <xf numFmtId="4" fontId="9" fillId="0" borderId="1" xfId="13" applyNumberFormat="1" applyFont="1" applyFill="1" applyBorder="1" applyAlignment="1">
      <alignment horizontal="right" vertical="center"/>
    </xf>
    <xf numFmtId="10" fontId="9" fillId="0" borderId="0" xfId="3" applyNumberFormat="1" applyFont="1" applyAlignment="1">
      <alignment horizontal="center" vertical="center" wrapText="1"/>
    </xf>
    <xf numFmtId="165" fontId="9" fillId="0" borderId="0" xfId="10" applyFont="1" applyFill="1" applyAlignment="1">
      <alignment horizontal="left" vertical="center"/>
    </xf>
    <xf numFmtId="165" fontId="11" fillId="0" borderId="0" xfId="10" applyFont="1" applyFill="1" applyAlignment="1">
      <alignment horizontal="left" vertical="center"/>
    </xf>
    <xf numFmtId="165" fontId="9" fillId="0" borderId="0" xfId="10" applyFont="1" applyFill="1" applyAlignment="1">
      <alignment vertical="center"/>
    </xf>
    <xf numFmtId="0" fontId="9" fillId="0" borderId="2" xfId="13" applyNumberFormat="1" applyFont="1" applyFill="1" applyBorder="1" applyAlignment="1">
      <alignment horizontal="center" vertical="center"/>
    </xf>
    <xf numFmtId="14" fontId="9" fillId="0" borderId="1" xfId="3" applyNumberFormat="1" applyFont="1" applyFill="1" applyBorder="1" applyAlignment="1">
      <alignment horizontal="center" vertical="center" wrapText="1"/>
    </xf>
    <xf numFmtId="165" fontId="9" fillId="0" borderId="2" xfId="10" applyFont="1" applyFill="1" applyBorder="1" applyAlignment="1">
      <alignment horizontal="center" vertical="center"/>
    </xf>
    <xf numFmtId="172" fontId="9" fillId="0" borderId="2" xfId="10" applyNumberFormat="1" applyFont="1" applyFill="1" applyBorder="1" applyAlignment="1">
      <alignment horizontal="center" vertical="center"/>
    </xf>
    <xf numFmtId="164" fontId="18" fillId="0" borderId="1" xfId="18" applyFont="1" applyFill="1" applyBorder="1" applyAlignment="1">
      <alignment horizontal="right" vertical="center"/>
    </xf>
    <xf numFmtId="165" fontId="18" fillId="0" borderId="1" xfId="10" applyFont="1" applyBorder="1" applyAlignment="1">
      <alignment vertical="center"/>
    </xf>
    <xf numFmtId="165" fontId="18" fillId="0" borderId="1" xfId="10" applyFont="1" applyFill="1" applyBorder="1" applyAlignment="1">
      <alignment horizontal="right" vertical="center"/>
    </xf>
    <xf numFmtId="49" fontId="10" fillId="35" borderId="1" xfId="1" applyNumberFormat="1" applyFont="1" applyFill="1" applyBorder="1" applyAlignment="1">
      <alignment horizontal="center" vertical="center" wrapText="1"/>
    </xf>
    <xf numFmtId="10" fontId="10" fillId="35" borderId="1" xfId="3" applyNumberFormat="1" applyFont="1" applyFill="1" applyBorder="1" applyAlignment="1">
      <alignment horizontal="center" vertical="center" wrapText="1"/>
    </xf>
    <xf numFmtId="165" fontId="10" fillId="35" borderId="1" xfId="10" applyFont="1" applyFill="1" applyBorder="1" applyAlignment="1">
      <alignment horizontal="center" vertical="center" wrapText="1"/>
    </xf>
    <xf numFmtId="0" fontId="12" fillId="35" borderId="2" xfId="13" applyNumberFormat="1" applyFont="1" applyFill="1" applyBorder="1" applyAlignment="1">
      <alignment horizontal="left" vertical="center"/>
    </xf>
    <xf numFmtId="0" fontId="12" fillId="35" borderId="3" xfId="1" applyFont="1" applyFill="1" applyBorder="1" applyAlignment="1">
      <alignment vertical="center" wrapText="1"/>
    </xf>
    <xf numFmtId="165" fontId="12" fillId="35" borderId="1" xfId="10" applyFont="1" applyFill="1" applyBorder="1" applyAlignment="1">
      <alignment horizontal="center" vertical="center" wrapText="1"/>
    </xf>
    <xf numFmtId="0" fontId="12" fillId="35" borderId="14" xfId="13" applyNumberFormat="1" applyFont="1" applyFill="1" applyBorder="1" applyAlignment="1">
      <alignment horizontal="left" vertical="center"/>
    </xf>
    <xf numFmtId="0" fontId="12" fillId="35" borderId="15" xfId="1" applyFont="1" applyFill="1" applyBorder="1" applyAlignment="1">
      <alignment vertical="center" wrapText="1"/>
    </xf>
    <xf numFmtId="0" fontId="11" fillId="35" borderId="15" xfId="1" applyFont="1" applyFill="1" applyBorder="1" applyAlignment="1">
      <alignment horizontal="center" vertical="center" wrapText="1"/>
    </xf>
    <xf numFmtId="0" fontId="11" fillId="35" borderId="15" xfId="1" applyFont="1" applyFill="1" applyBorder="1" applyAlignment="1">
      <alignment horizontal="left" vertical="top"/>
    </xf>
    <xf numFmtId="49" fontId="10" fillId="35" borderId="2" xfId="1" applyNumberFormat="1" applyFont="1" applyFill="1" applyBorder="1" applyAlignment="1">
      <alignment vertical="center" wrapText="1"/>
    </xf>
    <xf numFmtId="49" fontId="10" fillId="35" borderId="4" xfId="1" applyNumberFormat="1" applyFont="1" applyFill="1" applyBorder="1" applyAlignment="1">
      <alignment vertical="center" wrapText="1"/>
    </xf>
    <xf numFmtId="170" fontId="10" fillId="36" borderId="1" xfId="4" applyNumberFormat="1" applyFont="1" applyFill="1" applyBorder="1" applyAlignment="1">
      <alignment horizontal="center" vertical="center" wrapText="1"/>
    </xf>
    <xf numFmtId="165" fontId="10" fillId="36" borderId="1" xfId="10" applyFont="1" applyFill="1" applyBorder="1" applyAlignment="1">
      <alignment horizontal="center" vertical="center" wrapText="1"/>
    </xf>
    <xf numFmtId="10" fontId="10" fillId="36" borderId="1" xfId="3" applyNumberFormat="1" applyFont="1" applyFill="1" applyBorder="1" applyAlignment="1">
      <alignment horizontal="center" vertical="center" wrapText="1"/>
    </xf>
    <xf numFmtId="4" fontId="10" fillId="36" borderId="1" xfId="4" applyNumberFormat="1" applyFont="1" applyFill="1" applyBorder="1" applyAlignment="1">
      <alignment horizontal="center" vertical="center" wrapText="1"/>
    </xf>
    <xf numFmtId="0" fontId="9" fillId="36" borderId="1" xfId="1" applyFont="1" applyFill="1" applyBorder="1" applyAlignment="1">
      <alignment horizontal="left" vertical="center" wrapText="1"/>
    </xf>
    <xf numFmtId="49" fontId="9" fillId="36" borderId="2" xfId="1" applyNumberFormat="1" applyFont="1" applyFill="1" applyBorder="1" applyAlignment="1">
      <alignment horizontal="left" vertical="center" wrapText="1"/>
    </xf>
    <xf numFmtId="9" fontId="9" fillId="36" borderId="1" xfId="5" applyFont="1" applyFill="1" applyBorder="1" applyAlignment="1">
      <alignment horizontal="center" vertical="center"/>
    </xf>
    <xf numFmtId="166" fontId="9" fillId="36" borderId="1" xfId="13" applyNumberFormat="1" applyFont="1" applyFill="1" applyBorder="1" applyAlignment="1">
      <alignment horizontal="right" vertical="center"/>
    </xf>
    <xf numFmtId="14" fontId="9" fillId="36" borderId="1" xfId="1" applyNumberFormat="1" applyFont="1" applyFill="1" applyBorder="1" applyAlignment="1">
      <alignment horizontal="center" vertical="center"/>
    </xf>
    <xf numFmtId="167" fontId="9" fillId="36" borderId="1" xfId="13" applyNumberFormat="1" applyFont="1" applyFill="1" applyBorder="1" applyAlignment="1">
      <alignment horizontal="right" vertical="center"/>
    </xf>
    <xf numFmtId="4" fontId="9" fillId="36" borderId="1" xfId="1" applyNumberFormat="1" applyFont="1" applyFill="1" applyBorder="1" applyAlignment="1">
      <alignment vertical="center"/>
    </xf>
    <xf numFmtId="165" fontId="9" fillId="36" borderId="1" xfId="10" applyFont="1" applyFill="1" applyBorder="1" applyAlignment="1">
      <alignment horizontal="right" vertical="center"/>
    </xf>
    <xf numFmtId="170" fontId="10" fillId="36" borderId="2" xfId="4" applyNumberFormat="1" applyFont="1" applyFill="1" applyBorder="1" applyAlignment="1">
      <alignment horizontal="left" vertical="center"/>
    </xf>
    <xf numFmtId="170" fontId="10" fillId="36" borderId="3" xfId="4" applyNumberFormat="1" applyFont="1" applyFill="1" applyBorder="1" applyAlignment="1">
      <alignment horizontal="center" vertical="center"/>
    </xf>
    <xf numFmtId="0" fontId="9" fillId="36" borderId="2" xfId="13" applyNumberFormat="1" applyFont="1" applyFill="1" applyBorder="1" applyAlignment="1">
      <alignment vertical="center"/>
    </xf>
    <xf numFmtId="0" fontId="10" fillId="36" borderId="3" xfId="13" applyNumberFormat="1" applyFont="1" applyFill="1" applyBorder="1" applyAlignment="1">
      <alignment horizontal="left" vertical="center" wrapText="1"/>
    </xf>
    <xf numFmtId="0" fontId="10" fillId="36" borderId="3" xfId="13" applyNumberFormat="1" applyFont="1" applyFill="1" applyBorder="1" applyAlignment="1">
      <alignment horizontal="left" vertical="center"/>
    </xf>
    <xf numFmtId="165" fontId="9" fillId="36" borderId="1" xfId="10" applyFont="1" applyFill="1" applyBorder="1"/>
    <xf numFmtId="0" fontId="36" fillId="0" borderId="1" xfId="0" applyFont="1" applyBorder="1" applyAlignment="1">
      <alignment horizontal="center" wrapText="1"/>
    </xf>
    <xf numFmtId="170" fontId="10" fillId="36" borderId="2" xfId="4" applyNumberFormat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 vertical="center"/>
    </xf>
    <xf numFmtId="165" fontId="9" fillId="2" borderId="0" xfId="10" applyFont="1" applyFill="1" applyAlignment="1">
      <alignment horizontal="left" vertical="center"/>
    </xf>
    <xf numFmtId="164" fontId="9" fillId="2" borderId="0" xfId="13" applyFont="1" applyFill="1" applyAlignment="1">
      <alignment horizontal="left" vertical="center"/>
    </xf>
    <xf numFmtId="0" fontId="9" fillId="2" borderId="0" xfId="1" applyFont="1" applyFill="1" applyAlignment="1">
      <alignment vertical="center"/>
    </xf>
    <xf numFmtId="10" fontId="9" fillId="0" borderId="1" xfId="1" applyNumberFormat="1" applyFont="1" applyBorder="1" applyAlignment="1">
      <alignment horizontal="center" vertical="center"/>
    </xf>
    <xf numFmtId="173" fontId="9" fillId="0" borderId="1" xfId="10" applyNumberFormat="1" applyFont="1" applyBorder="1" applyAlignment="1">
      <alignment vertical="center"/>
    </xf>
    <xf numFmtId="173" fontId="9" fillId="0" borderId="1" xfId="10" applyNumberFormat="1" applyFont="1" applyFill="1" applyBorder="1" applyAlignment="1">
      <alignment horizontal="right" vertical="center"/>
    </xf>
    <xf numFmtId="0" fontId="0" fillId="0" borderId="1" xfId="0" applyBorder="1"/>
    <xf numFmtId="14" fontId="0" fillId="0" borderId="1" xfId="0" applyNumberFormat="1" applyBorder="1"/>
    <xf numFmtId="49" fontId="0" fillId="35" borderId="1" xfId="0" applyNumberFormat="1" applyFill="1" applyBorder="1"/>
    <xf numFmtId="0" fontId="0" fillId="35" borderId="1" xfId="0" applyFill="1" applyBorder="1"/>
    <xf numFmtId="0" fontId="0" fillId="35" borderId="0" xfId="0" applyFill="1" applyBorder="1"/>
    <xf numFmtId="49" fontId="0" fillId="36" borderId="1" xfId="0" applyNumberFormat="1" applyFill="1" applyBorder="1"/>
    <xf numFmtId="0" fontId="0" fillId="36" borderId="0" xfId="0" applyFill="1" applyBorder="1"/>
    <xf numFmtId="0" fontId="0" fillId="0" borderId="1" xfId="0" applyFill="1" applyBorder="1"/>
    <xf numFmtId="0" fontId="36" fillId="0" borderId="0" xfId="0" applyFont="1" applyBorder="1" applyAlignment="1">
      <alignment horizontal="center" wrapText="1"/>
    </xf>
    <xf numFmtId="14" fontId="36" fillId="34" borderId="0" xfId="0" applyNumberFormat="1" applyFont="1" applyFill="1" applyBorder="1" applyAlignment="1">
      <alignment horizontal="center"/>
    </xf>
    <xf numFmtId="169" fontId="36" fillId="34" borderId="0" xfId="12" applyNumberFormat="1" applyFont="1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10" fontId="37" fillId="34" borderId="0" xfId="12" applyNumberFormat="1" applyFont="1" applyFill="1" applyBorder="1" applyAlignment="1">
      <alignment horizontal="center"/>
    </xf>
    <xf numFmtId="0" fontId="9" fillId="0" borderId="0" xfId="1" applyFont="1" applyFill="1" applyAlignment="1">
      <alignment vertical="center" wrapText="1"/>
    </xf>
    <xf numFmtId="14" fontId="36" fillId="34" borderId="2" xfId="0" applyNumberFormat="1" applyFont="1" applyFill="1" applyBorder="1" applyAlignment="1">
      <alignment horizontal="center"/>
    </xf>
    <xf numFmtId="0" fontId="9" fillId="36" borderId="1" xfId="1" applyFont="1" applyFill="1" applyBorder="1" applyAlignment="1">
      <alignment vertical="center" wrapText="1"/>
    </xf>
    <xf numFmtId="165" fontId="0" fillId="36" borderId="1" xfId="10" applyFont="1" applyFill="1" applyBorder="1"/>
    <xf numFmtId="165" fontId="0" fillId="0" borderId="1" xfId="10" applyFont="1" applyFill="1" applyBorder="1"/>
    <xf numFmtId="165" fontId="0" fillId="36" borderId="0" xfId="10" applyFont="1" applyFill="1"/>
    <xf numFmtId="165" fontId="0" fillId="35" borderId="0" xfId="10" applyFont="1" applyFill="1"/>
    <xf numFmtId="165" fontId="0" fillId="0" borderId="1" xfId="10" applyFont="1" applyBorder="1"/>
    <xf numFmtId="0" fontId="9" fillId="0" borderId="1" xfId="1" applyFont="1" applyFill="1" applyBorder="1" applyAlignment="1">
      <alignment horizontal="left" vertical="center" wrapText="1"/>
    </xf>
    <xf numFmtId="170" fontId="10" fillId="0" borderId="1" xfId="4" applyNumberFormat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/>
    </xf>
    <xf numFmtId="165" fontId="10" fillId="0" borderId="1" xfId="10" applyFont="1" applyFill="1" applyBorder="1" applyAlignment="1">
      <alignment horizontal="center" vertical="center" wrapText="1"/>
    </xf>
    <xf numFmtId="165" fontId="9" fillId="0" borderId="1" xfId="10" applyFont="1" applyFill="1" applyBorder="1" applyAlignment="1">
      <alignment vertical="center"/>
    </xf>
    <xf numFmtId="49" fontId="10" fillId="36" borderId="2" xfId="1" applyNumberFormat="1" applyFont="1" applyFill="1" applyBorder="1" applyAlignment="1">
      <alignment horizontal="left" vertical="center" wrapText="1"/>
    </xf>
    <xf numFmtId="9" fontId="10" fillId="36" borderId="1" xfId="5" applyFont="1" applyFill="1" applyBorder="1" applyAlignment="1">
      <alignment horizontal="center" vertical="center"/>
    </xf>
    <xf numFmtId="166" fontId="10" fillId="36" borderId="1" xfId="18" applyNumberFormat="1" applyFont="1" applyFill="1" applyBorder="1" applyAlignment="1">
      <alignment horizontal="right" vertical="center"/>
    </xf>
    <xf numFmtId="14" fontId="10" fillId="36" borderId="1" xfId="1" applyNumberFormat="1" applyFont="1" applyFill="1" applyBorder="1" applyAlignment="1">
      <alignment horizontal="center" vertical="center"/>
    </xf>
    <xf numFmtId="167" fontId="10" fillId="36" borderId="1" xfId="18" applyNumberFormat="1" applyFont="1" applyFill="1" applyBorder="1" applyAlignment="1">
      <alignment horizontal="right" vertical="center"/>
    </xf>
    <xf numFmtId="4" fontId="10" fillId="36" borderId="1" xfId="1" applyNumberFormat="1" applyFont="1" applyFill="1" applyBorder="1" applyAlignment="1">
      <alignment vertical="center"/>
    </xf>
    <xf numFmtId="0" fontId="10" fillId="0" borderId="0" xfId="1" applyFont="1" applyAlignment="1">
      <alignment horizontal="center" vertical="center"/>
    </xf>
    <xf numFmtId="165" fontId="10" fillId="0" borderId="0" xfId="10" applyFont="1" applyFill="1" applyAlignment="1">
      <alignment horizontal="left" vertical="center"/>
    </xf>
    <xf numFmtId="164" fontId="10" fillId="0" borderId="0" xfId="13" applyFont="1" applyFill="1" applyAlignment="1">
      <alignment horizontal="left" vertical="center"/>
    </xf>
    <xf numFmtId="0" fontId="10" fillId="0" borderId="0" xfId="1" applyFont="1" applyAlignment="1">
      <alignment vertical="center"/>
    </xf>
    <xf numFmtId="165" fontId="10" fillId="36" borderId="1" xfId="10" applyFont="1" applyFill="1" applyBorder="1" applyAlignment="1">
      <alignment horizontal="right" vertical="center"/>
    </xf>
    <xf numFmtId="170" fontId="9" fillId="0" borderId="2" xfId="4" applyNumberFormat="1" applyFont="1" applyFill="1" applyBorder="1" applyAlignment="1">
      <alignment horizontal="center" vertical="center" wrapText="1"/>
    </xf>
    <xf numFmtId="166" fontId="9" fillId="0" borderId="1" xfId="18" applyNumberFormat="1" applyFont="1" applyFill="1" applyBorder="1" applyAlignment="1">
      <alignment vertical="center"/>
    </xf>
    <xf numFmtId="164" fontId="9" fillId="0" borderId="1" xfId="18" applyFont="1" applyFill="1" applyBorder="1" applyAlignment="1">
      <alignment horizontal="right" vertical="center"/>
    </xf>
    <xf numFmtId="165" fontId="9" fillId="0" borderId="1" xfId="10" applyFont="1" applyBorder="1" applyAlignment="1">
      <alignment vertical="center"/>
    </xf>
    <xf numFmtId="165" fontId="9" fillId="0" borderId="1" xfId="10" applyNumberFormat="1" applyFont="1" applyFill="1" applyBorder="1" applyAlignment="1">
      <alignment vertical="center"/>
    </xf>
    <xf numFmtId="174" fontId="0" fillId="0" borderId="0" xfId="0" applyNumberFormat="1"/>
    <xf numFmtId="165" fontId="10" fillId="35" borderId="1" xfId="10" applyNumberFormat="1" applyFont="1" applyFill="1" applyBorder="1" applyAlignment="1">
      <alignment horizontal="center" vertical="center" wrapText="1"/>
    </xf>
    <xf numFmtId="165" fontId="9" fillId="0" borderId="1" xfId="10" applyNumberFormat="1" applyFont="1" applyFill="1" applyBorder="1" applyAlignment="1">
      <alignment horizontal="right" vertical="center"/>
    </xf>
    <xf numFmtId="165" fontId="0" fillId="0" borderId="0" xfId="10" applyFont="1"/>
    <xf numFmtId="165" fontId="10" fillId="36" borderId="1" xfId="10" applyNumberFormat="1" applyFont="1" applyFill="1" applyBorder="1" applyAlignment="1">
      <alignment horizontal="center" vertical="center" wrapText="1"/>
    </xf>
    <xf numFmtId="165" fontId="9" fillId="36" borderId="1" xfId="10" applyNumberFormat="1" applyFont="1" applyFill="1" applyBorder="1" applyAlignment="1">
      <alignment horizontal="center" vertical="center" wrapText="1"/>
    </xf>
    <xf numFmtId="2" fontId="0" fillId="0" borderId="1" xfId="10" applyNumberFormat="1" applyFont="1" applyBorder="1"/>
    <xf numFmtId="175" fontId="36" fillId="34" borderId="1" xfId="12" applyNumberFormat="1" applyFont="1" applyFill="1" applyBorder="1" applyAlignment="1">
      <alignment horizontal="center"/>
    </xf>
    <xf numFmtId="165" fontId="0" fillId="36" borderId="0" xfId="10" applyFont="1" applyFill="1" applyBorder="1"/>
    <xf numFmtId="10" fontId="9" fillId="0" borderId="1" xfId="13" applyNumberFormat="1" applyFont="1" applyFill="1" applyBorder="1" applyAlignment="1">
      <alignment horizontal="right" vertical="center"/>
    </xf>
    <xf numFmtId="165" fontId="0" fillId="0" borderId="1" xfId="10" applyNumberFormat="1" applyFont="1" applyBorder="1"/>
    <xf numFmtId="176" fontId="9" fillId="0" borderId="0" xfId="13" applyNumberFormat="1" applyFont="1" applyFill="1" applyAlignment="1">
      <alignment horizontal="left" vertical="center"/>
    </xf>
    <xf numFmtId="177" fontId="41" fillId="37" borderId="1" xfId="10" applyNumberFormat="1" applyFont="1" applyFill="1" applyBorder="1" applyAlignment="1">
      <alignment horizontal="center"/>
    </xf>
    <xf numFmtId="4" fontId="41" fillId="37" borderId="1" xfId="10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left" vertical="center" wrapText="1"/>
    </xf>
    <xf numFmtId="170" fontId="9" fillId="2" borderId="2" xfId="4" applyNumberFormat="1" applyFont="1" applyFill="1" applyBorder="1" applyAlignment="1">
      <alignment horizontal="center" vertical="center" wrapText="1"/>
    </xf>
    <xf numFmtId="9" fontId="9" fillId="2" borderId="1" xfId="5" applyFont="1" applyFill="1" applyBorder="1" applyAlignment="1">
      <alignment horizontal="center" vertical="center"/>
    </xf>
    <xf numFmtId="166" fontId="9" fillId="2" borderId="1" xfId="18" applyNumberFormat="1" applyFont="1" applyFill="1" applyBorder="1" applyAlignment="1">
      <alignment vertical="center"/>
    </xf>
    <xf numFmtId="166" fontId="9" fillId="2" borderId="1" xfId="13" applyNumberFormat="1" applyFont="1" applyFill="1" applyBorder="1" applyAlignment="1">
      <alignment horizontal="right" vertical="center"/>
    </xf>
    <xf numFmtId="14" fontId="9" fillId="2" borderId="1" xfId="1" applyNumberFormat="1" applyFont="1" applyFill="1" applyBorder="1" applyAlignment="1">
      <alignment horizontal="center" vertical="center"/>
    </xf>
    <xf numFmtId="170" fontId="10" fillId="2" borderId="1" xfId="4" applyNumberFormat="1" applyFont="1" applyFill="1" applyBorder="1" applyAlignment="1">
      <alignment horizontal="center" vertical="center" wrapText="1"/>
    </xf>
    <xf numFmtId="165" fontId="9" fillId="2" borderId="1" xfId="10" applyNumberFormat="1" applyFont="1" applyFill="1" applyBorder="1" applyAlignment="1">
      <alignment vertical="center"/>
    </xf>
    <xf numFmtId="165" fontId="10" fillId="2" borderId="1" xfId="10" applyFont="1" applyFill="1" applyBorder="1" applyAlignment="1">
      <alignment horizontal="center" vertical="center" wrapText="1"/>
    </xf>
    <xf numFmtId="164" fontId="9" fillId="2" borderId="1" xfId="18" applyFont="1" applyFill="1" applyBorder="1" applyAlignment="1">
      <alignment horizontal="right" vertical="center"/>
    </xf>
    <xf numFmtId="165" fontId="9" fillId="2" borderId="1" xfId="10" applyFont="1" applyFill="1" applyBorder="1" applyAlignment="1">
      <alignment vertical="center"/>
    </xf>
    <xf numFmtId="166" fontId="11" fillId="2" borderId="0" xfId="13" applyNumberFormat="1" applyFont="1" applyFill="1" applyAlignment="1">
      <alignment vertical="center"/>
    </xf>
    <xf numFmtId="166" fontId="11" fillId="35" borderId="0" xfId="13" applyNumberFormat="1" applyFont="1" applyFill="1" applyAlignment="1">
      <alignment vertical="center"/>
    </xf>
    <xf numFmtId="165" fontId="9" fillId="35" borderId="0" xfId="10" applyFont="1" applyFill="1" applyAlignment="1">
      <alignment horizontal="left" vertical="center"/>
    </xf>
    <xf numFmtId="164" fontId="9" fillId="35" borderId="0" xfId="13" applyFont="1" applyFill="1" applyAlignment="1">
      <alignment horizontal="left" vertical="center"/>
    </xf>
    <xf numFmtId="0" fontId="9" fillId="35" borderId="0" xfId="1" applyFont="1" applyFill="1" applyAlignment="1">
      <alignment vertical="center"/>
    </xf>
    <xf numFmtId="10" fontId="11" fillId="0" borderId="0" xfId="1" applyNumberFormat="1" applyFont="1" applyFill="1" applyAlignment="1">
      <alignment horizontal="left" vertical="center"/>
    </xf>
    <xf numFmtId="10" fontId="9" fillId="0" borderId="0" xfId="1" applyNumberFormat="1" applyFont="1" applyAlignment="1">
      <alignment vertical="center"/>
    </xf>
    <xf numFmtId="165" fontId="9" fillId="0" borderId="1" xfId="10" applyFont="1" applyFill="1" applyBorder="1" applyAlignment="1">
      <alignment horizontal="center" vertical="center" wrapText="1"/>
    </xf>
    <xf numFmtId="10" fontId="42" fillId="0" borderId="0" xfId="1" applyNumberFormat="1" applyFont="1" applyAlignment="1">
      <alignment horizontal="center" vertical="center"/>
    </xf>
    <xf numFmtId="165" fontId="9" fillId="0" borderId="1" xfId="10" applyNumberFormat="1" applyFont="1" applyFill="1" applyBorder="1" applyAlignment="1">
      <alignment horizontal="center" vertical="center" wrapText="1"/>
    </xf>
    <xf numFmtId="165" fontId="12" fillId="35" borderId="1" xfId="1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/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0" fontId="46" fillId="0" borderId="1" xfId="0" applyFont="1" applyBorder="1" applyAlignment="1">
      <alignment horizontal="center" vertical="center" wrapText="1"/>
    </xf>
    <xf numFmtId="1" fontId="47" fillId="0" borderId="1" xfId="0" applyNumberFormat="1" applyFont="1" applyBorder="1" applyAlignment="1">
      <alignment horizontal="center" vertical="center" wrapText="1"/>
    </xf>
    <xf numFmtId="178" fontId="47" fillId="0" borderId="1" xfId="0" applyNumberFormat="1" applyFont="1" applyBorder="1" applyAlignment="1">
      <alignment horizontal="center" vertical="center" wrapText="1"/>
    </xf>
    <xf numFmtId="179" fontId="48" fillId="0" borderId="1" xfId="0" applyNumberFormat="1" applyFont="1" applyBorder="1" applyAlignment="1">
      <alignment horizontal="center" vertical="center" wrapText="1"/>
    </xf>
    <xf numFmtId="0" fontId="0" fillId="37" borderId="0" xfId="0" applyFill="1"/>
    <xf numFmtId="1" fontId="47" fillId="38" borderId="1" xfId="0" applyNumberFormat="1" applyFont="1" applyFill="1" applyBorder="1" applyAlignment="1">
      <alignment horizontal="center" vertical="center" wrapText="1"/>
    </xf>
    <xf numFmtId="178" fontId="47" fillId="38" borderId="1" xfId="0" applyNumberFormat="1" applyFont="1" applyFill="1" applyBorder="1" applyAlignment="1">
      <alignment horizontal="center" vertical="center" wrapText="1"/>
    </xf>
    <xf numFmtId="179" fontId="48" fillId="38" borderId="1" xfId="0" applyNumberFormat="1" applyFont="1" applyFill="1" applyBorder="1" applyAlignment="1">
      <alignment horizontal="center" vertical="center" wrapText="1"/>
    </xf>
    <xf numFmtId="1" fontId="47" fillId="0" borderId="1" xfId="0" applyNumberFormat="1" applyFont="1" applyFill="1" applyBorder="1" applyAlignment="1">
      <alignment horizontal="center" vertical="center" wrapText="1"/>
    </xf>
    <xf numFmtId="178" fontId="47" fillId="0" borderId="1" xfId="0" applyNumberFormat="1" applyFont="1" applyFill="1" applyBorder="1" applyAlignment="1">
      <alignment horizontal="center" vertical="center" wrapText="1"/>
    </xf>
    <xf numFmtId="179" fontId="48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/>
    <xf numFmtId="165" fontId="0" fillId="0" borderId="0" xfId="10" applyFont="1" applyBorder="1"/>
    <xf numFmtId="165" fontId="48" fillId="0" borderId="1" xfId="10" applyNumberFormat="1" applyFont="1" applyBorder="1" applyAlignment="1">
      <alignment vertical="center" wrapText="1"/>
    </xf>
    <xf numFmtId="49" fontId="0" fillId="0" borderId="0" xfId="0" applyNumberFormat="1"/>
    <xf numFmtId="165" fontId="0" fillId="0" borderId="0" xfId="10" applyNumberFormat="1" applyFont="1"/>
    <xf numFmtId="0" fontId="0" fillId="0" borderId="0" xfId="0" applyFill="1"/>
    <xf numFmtId="0" fontId="9" fillId="36" borderId="0" xfId="1" applyFont="1" applyFill="1" applyBorder="1" applyAlignment="1">
      <alignment vertical="center" wrapText="1"/>
    </xf>
    <xf numFmtId="4" fontId="41" fillId="0" borderId="0" xfId="1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10" applyFont="1" applyFill="1" applyBorder="1"/>
    <xf numFmtId="174" fontId="0" fillId="0" borderId="0" xfId="0" applyNumberFormat="1" applyFill="1" applyBorder="1"/>
    <xf numFmtId="0" fontId="0" fillId="38" borderId="1" xfId="0" applyFill="1" applyBorder="1"/>
    <xf numFmtId="166" fontId="11" fillId="39" borderId="0" xfId="13" applyNumberFormat="1" applyFont="1" applyFill="1" applyAlignment="1">
      <alignment vertical="center"/>
    </xf>
    <xf numFmtId="165" fontId="9" fillId="39" borderId="0" xfId="10" applyFont="1" applyFill="1" applyAlignment="1">
      <alignment horizontal="left" vertical="center"/>
    </xf>
    <xf numFmtId="164" fontId="9" fillId="39" borderId="0" xfId="13" applyFont="1" applyFill="1" applyAlignment="1">
      <alignment horizontal="left" vertical="center"/>
    </xf>
    <xf numFmtId="0" fontId="9" fillId="39" borderId="0" xfId="1" applyFont="1" applyFill="1" applyAlignment="1">
      <alignment vertical="center"/>
    </xf>
    <xf numFmtId="14" fontId="36" fillId="0" borderId="2" xfId="0" applyNumberFormat="1" applyFont="1" applyFill="1" applyBorder="1" applyAlignment="1">
      <alignment horizontal="center"/>
    </xf>
    <xf numFmtId="0" fontId="9" fillId="36" borderId="3" xfId="13" applyNumberFormat="1" applyFont="1" applyFill="1" applyBorder="1" applyAlignment="1">
      <alignment horizontal="center" vertical="center"/>
    </xf>
    <xf numFmtId="0" fontId="11" fillId="35" borderId="3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left" vertical="center" wrapText="1"/>
    </xf>
    <xf numFmtId="49" fontId="18" fillId="0" borderId="2" xfId="1" applyNumberFormat="1" applyFont="1" applyBorder="1" applyAlignment="1">
      <alignment horizontal="left" vertical="center" wrapText="1"/>
    </xf>
    <xf numFmtId="9" fontId="18" fillId="0" borderId="1" xfId="5" applyFont="1" applyFill="1" applyBorder="1" applyAlignment="1">
      <alignment horizontal="center" vertical="center"/>
    </xf>
    <xf numFmtId="166" fontId="18" fillId="0" borderId="1" xfId="18" applyNumberFormat="1" applyFont="1" applyFill="1" applyBorder="1" applyAlignment="1">
      <alignment horizontal="right" vertical="center"/>
    </xf>
    <xf numFmtId="14" fontId="18" fillId="0" borderId="1" xfId="1" applyNumberFormat="1" applyFont="1" applyBorder="1" applyAlignment="1">
      <alignment horizontal="center" vertical="center"/>
    </xf>
    <xf numFmtId="10" fontId="18" fillId="0" borderId="1" xfId="1" applyNumberFormat="1" applyFont="1" applyBorder="1" applyAlignment="1">
      <alignment horizontal="center" vertical="center"/>
    </xf>
    <xf numFmtId="167" fontId="18" fillId="0" borderId="1" xfId="18" applyNumberFormat="1" applyFont="1" applyFill="1" applyBorder="1" applyAlignment="1">
      <alignment horizontal="right" vertical="center"/>
    </xf>
    <xf numFmtId="165" fontId="18" fillId="0" borderId="1" xfId="25" applyFont="1" applyBorder="1" applyAlignment="1">
      <alignment vertical="center"/>
    </xf>
    <xf numFmtId="165" fontId="18" fillId="0" borderId="1" xfId="25" applyFont="1" applyFill="1" applyBorder="1" applyAlignment="1">
      <alignment horizontal="right" vertical="center"/>
    </xf>
    <xf numFmtId="10" fontId="50" fillId="36" borderId="1" xfId="3" applyNumberFormat="1" applyFont="1" applyFill="1" applyBorder="1" applyAlignment="1">
      <alignment horizontal="center" vertical="center" wrapText="1"/>
    </xf>
    <xf numFmtId="166" fontId="17" fillId="0" borderId="0" xfId="18" applyNumberFormat="1" applyFont="1" applyFill="1" applyAlignment="1">
      <alignment vertical="center"/>
    </xf>
    <xf numFmtId="165" fontId="18" fillId="0" borderId="0" xfId="10" applyFont="1" applyFill="1" applyAlignment="1">
      <alignment horizontal="left" vertical="center"/>
    </xf>
    <xf numFmtId="164" fontId="18" fillId="0" borderId="0" xfId="18" applyFont="1" applyFill="1" applyAlignment="1">
      <alignment horizontal="left" vertical="center"/>
    </xf>
    <xf numFmtId="0" fontId="36" fillId="0" borderId="2" xfId="0" applyFont="1" applyBorder="1" applyAlignment="1">
      <alignment horizontal="right" vertical="center"/>
    </xf>
    <xf numFmtId="0" fontId="36" fillId="0" borderId="3" xfId="0" applyFont="1" applyBorder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9" fillId="0" borderId="0" xfId="0" applyFont="1" applyAlignment="1">
      <alignment horizontal="center" wrapText="1"/>
    </xf>
    <xf numFmtId="0" fontId="51" fillId="0" borderId="0" xfId="0" applyFont="1"/>
    <xf numFmtId="0" fontId="51" fillId="0" borderId="0" xfId="0" applyFont="1" applyAlignment="1">
      <alignment horizontal="center"/>
    </xf>
    <xf numFmtId="0" fontId="51" fillId="40" borderId="16" xfId="0" applyFont="1" applyFill="1" applyBorder="1" applyAlignment="1">
      <alignment horizontal="center" vertical="center" wrapText="1"/>
    </xf>
    <xf numFmtId="0" fontId="51" fillId="39" borderId="16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14" fontId="51" fillId="0" borderId="0" xfId="0" applyNumberFormat="1" applyFont="1" applyAlignment="1">
      <alignment horizontal="center" vertical="center"/>
    </xf>
    <xf numFmtId="4" fontId="51" fillId="0" borderId="0" xfId="0" applyNumberFormat="1" applyFont="1" applyAlignment="1">
      <alignment horizontal="center" vertical="center"/>
    </xf>
    <xf numFmtId="10" fontId="51" fillId="0" borderId="0" xfId="3" applyNumberFormat="1" applyFont="1" applyAlignment="1">
      <alignment horizontal="center" vertical="center"/>
    </xf>
    <xf numFmtId="0" fontId="51" fillId="0" borderId="16" xfId="0" applyFont="1" applyBorder="1"/>
    <xf numFmtId="3" fontId="51" fillId="0" borderId="16" xfId="0" applyNumberFormat="1" applyFont="1" applyBorder="1" applyAlignment="1">
      <alignment horizontal="center" vertical="center"/>
    </xf>
    <xf numFmtId="14" fontId="51" fillId="0" borderId="16" xfId="0" applyNumberFormat="1" applyFont="1" applyBorder="1" applyAlignment="1">
      <alignment horizontal="center" vertical="center"/>
    </xf>
    <xf numFmtId="4" fontId="51" fillId="0" borderId="16" xfId="0" applyNumberFormat="1" applyFont="1" applyBorder="1" applyAlignment="1">
      <alignment horizontal="center" vertical="center"/>
    </xf>
    <xf numFmtId="10" fontId="51" fillId="0" borderId="16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2" fillId="0" borderId="0" xfId="0" applyFont="1"/>
    <xf numFmtId="10" fontId="52" fillId="0" borderId="0" xfId="3" applyNumberFormat="1" applyFont="1"/>
    <xf numFmtId="10" fontId="52" fillId="0" borderId="0" xfId="3" applyNumberFormat="1" applyFont="1" applyAlignment="1">
      <alignment horizontal="center"/>
    </xf>
    <xf numFmtId="180" fontId="52" fillId="0" borderId="0" xfId="3" applyNumberFormat="1" applyFont="1"/>
    <xf numFmtId="10" fontId="0" fillId="0" borderId="0" xfId="3" applyNumberFormat="1" applyFont="1"/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10" fontId="51" fillId="0" borderId="0" xfId="3" applyNumberFormat="1" applyFont="1" applyBorder="1" applyAlignment="1">
      <alignment horizontal="center" vertical="center"/>
    </xf>
    <xf numFmtId="9" fontId="51" fillId="0" borderId="0" xfId="0" applyNumberFormat="1" applyFont="1" applyAlignment="1">
      <alignment horizontal="center" vertical="center"/>
    </xf>
    <xf numFmtId="9" fontId="51" fillId="0" borderId="16" xfId="0" applyNumberFormat="1" applyFont="1" applyBorder="1" applyAlignment="1">
      <alignment horizontal="center" vertical="center"/>
    </xf>
    <xf numFmtId="14" fontId="51" fillId="0" borderId="0" xfId="0" applyNumberFormat="1" applyFont="1" applyFill="1" applyAlignment="1">
      <alignment horizontal="center" vertical="center"/>
    </xf>
    <xf numFmtId="14" fontId="51" fillId="0" borderId="0" xfId="0" applyNumberFormat="1" applyFont="1" applyFill="1" applyAlignment="1">
      <alignment horizontal="center"/>
    </xf>
    <xf numFmtId="4" fontId="51" fillId="0" borderId="0" xfId="0" applyNumberFormat="1" applyFont="1" applyFill="1" applyAlignment="1">
      <alignment horizontal="center" vertical="center"/>
    </xf>
    <xf numFmtId="2" fontId="51" fillId="0" borderId="0" xfId="0" applyNumberFormat="1" applyFont="1" applyAlignment="1">
      <alignment horizontal="center" vertical="center"/>
    </xf>
    <xf numFmtId="4" fontId="51" fillId="0" borderId="16" xfId="0" applyNumberFormat="1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 wrapText="1"/>
    </xf>
    <xf numFmtId="0" fontId="0" fillId="39" borderId="16" xfId="0" applyFill="1" applyBorder="1" applyAlignment="1">
      <alignment horizontal="center" vertical="center" wrapText="1"/>
    </xf>
    <xf numFmtId="182" fontId="51" fillId="0" borderId="0" xfId="0" applyNumberFormat="1" applyFont="1" applyAlignment="1">
      <alignment horizontal="center" vertical="center"/>
    </xf>
    <xf numFmtId="182" fontId="52" fillId="0" borderId="0" xfId="0" applyNumberFormat="1" applyFont="1"/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53" fillId="41" borderId="17" xfId="0" applyFont="1" applyFill="1" applyBorder="1" applyAlignment="1">
      <alignment horizontal="center" vertical="center" wrapText="1"/>
    </xf>
    <xf numFmtId="14" fontId="54" fillId="42" borderId="17" xfId="0" applyNumberFormat="1" applyFont="1" applyFill="1" applyBorder="1" applyAlignment="1">
      <alignment horizontal="center" vertical="center" wrapText="1"/>
    </xf>
    <xf numFmtId="0" fontId="54" fillId="42" borderId="17" xfId="0" applyFont="1" applyFill="1" applyBorder="1" applyAlignment="1">
      <alignment horizontal="center" vertical="center" wrapText="1"/>
    </xf>
    <xf numFmtId="10" fontId="9" fillId="0" borderId="0" xfId="3" applyNumberFormat="1" applyFont="1" applyFill="1" applyAlignment="1">
      <alignment horizontal="center" vertical="center"/>
    </xf>
    <xf numFmtId="9" fontId="11" fillId="0" borderId="0" xfId="3" applyFont="1" applyFill="1" applyAlignment="1">
      <alignment horizontal="center" vertical="center"/>
    </xf>
    <xf numFmtId="2" fontId="51" fillId="0" borderId="0" xfId="0" applyNumberFormat="1" applyFont="1" applyFill="1"/>
    <xf numFmtId="0" fontId="55" fillId="0" borderId="0" xfId="0" applyFont="1"/>
    <xf numFmtId="9" fontId="51" fillId="0" borderId="0" xfId="0" applyNumberFormat="1" applyFont="1" applyAlignment="1">
      <alignment horizontal="center"/>
    </xf>
    <xf numFmtId="10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182" fontId="56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center" vertical="center" wrapText="1"/>
    </xf>
    <xf numFmtId="10" fontId="56" fillId="0" borderId="0" xfId="0" applyNumberFormat="1" applyFont="1"/>
    <xf numFmtId="0" fontId="56" fillId="0" borderId="0" xfId="0" applyFont="1"/>
    <xf numFmtId="0" fontId="57" fillId="0" borderId="0" xfId="0" applyFont="1"/>
    <xf numFmtId="10" fontId="56" fillId="0" borderId="0" xfId="3" applyNumberFormat="1" applyFont="1"/>
  </cellXfs>
  <cellStyles count="375">
    <cellStyle name="20% - Accent1" xfId="48" builtinId="30" customBuiltin="1"/>
    <cellStyle name="20% - Accent2" xfId="52" builtinId="34" customBuiltin="1"/>
    <cellStyle name="20% - Accent3" xfId="56" builtinId="38" customBuiltin="1"/>
    <cellStyle name="20% - Accent4" xfId="60" builtinId="42" customBuiltin="1"/>
    <cellStyle name="20% - Accent5" xfId="64" builtinId="46" customBuiltin="1"/>
    <cellStyle name="20% - Accent6" xfId="68" builtinId="50" customBuiltin="1"/>
    <cellStyle name="20% — акцент1 2" xfId="73" xr:uid="{C72613B0-C098-4327-A3B9-4113DC9C3C04}"/>
    <cellStyle name="20% — акцент1 2 2" xfId="113" xr:uid="{FDD75338-94AC-40F7-8CF4-31B645180A14}"/>
    <cellStyle name="20% — акцент1 2 2 2" xfId="193" xr:uid="{4A94A447-88CD-4041-B41E-13E845FC1FCD}"/>
    <cellStyle name="20% — акцент1 2 2 2 2" xfId="355" xr:uid="{6ABE35DD-E549-4C00-B3EA-3AA794B9A72E}"/>
    <cellStyle name="20% — акцент1 2 2 3" xfId="275" xr:uid="{FBCFEC2D-A96E-4ACD-862A-2FFF048F2FD9}"/>
    <cellStyle name="20% — акцент1 2 3" xfId="153" xr:uid="{E7AF2FCB-F8EF-4501-86B3-C9AA4C656972}"/>
    <cellStyle name="20% — акцент1 2 3 2" xfId="315" xr:uid="{9E44C547-E1AA-4F27-9C86-24FD36749B53}"/>
    <cellStyle name="20% — акцент1 2 4" xfId="235" xr:uid="{25A4BE47-C685-4B12-9065-CDFE53854A39}"/>
    <cellStyle name="20% — акцент1 3" xfId="93" xr:uid="{256C4635-DDBB-4631-AD3D-E7E29EA9D6D5}"/>
    <cellStyle name="20% — акцент1 3 2" xfId="173" xr:uid="{68D263ED-ED5F-4E0D-8266-3A426B14EDFE}"/>
    <cellStyle name="20% — акцент1 3 2 2" xfId="335" xr:uid="{ABC9B970-C25C-4573-98D3-08C2AB705736}"/>
    <cellStyle name="20% — акцент1 3 3" xfId="255" xr:uid="{0F2E8E11-CC87-4AA3-90BA-48E85737F133}"/>
    <cellStyle name="20% — акцент1 4" xfId="133" xr:uid="{C39EF6FE-7D33-4798-979D-E9D43EF3BD48}"/>
    <cellStyle name="20% — акцент1 4 2" xfId="295" xr:uid="{8C2353C6-A60D-4270-A91B-C0149592953F}"/>
    <cellStyle name="20% — акцент1 5" xfId="215" xr:uid="{56522EB7-47B7-4729-AA2E-4FB4DA18E522}"/>
    <cellStyle name="20% — акцент2 2" xfId="76" xr:uid="{72B61297-4DDE-4DA5-A1DD-E16E60FDA4E2}"/>
    <cellStyle name="20% — акцент2 2 2" xfId="116" xr:uid="{675D6BAD-26AE-47C3-9956-55FBF8B2298E}"/>
    <cellStyle name="20% — акцент2 2 2 2" xfId="196" xr:uid="{F763A460-B1D5-4E91-99FD-BC8A44516F53}"/>
    <cellStyle name="20% — акцент2 2 2 2 2" xfId="358" xr:uid="{C6F178F8-D7EC-4649-89D3-D0DCBED099AE}"/>
    <cellStyle name="20% — акцент2 2 2 3" xfId="278" xr:uid="{D29236C4-F0B2-47AB-8F39-1F1A331E9F80}"/>
    <cellStyle name="20% — акцент2 2 3" xfId="156" xr:uid="{9ECDF4C2-6AD8-4704-A8E5-9E030EDF54CF}"/>
    <cellStyle name="20% — акцент2 2 3 2" xfId="318" xr:uid="{9063575A-F709-465C-A482-7577AF069BA5}"/>
    <cellStyle name="20% — акцент2 2 4" xfId="238" xr:uid="{83FB0B08-10CC-4009-B1F6-367BBF7DD5F1}"/>
    <cellStyle name="20% — акцент2 3" xfId="96" xr:uid="{05FD735C-00DC-423B-A8A6-4BB9CCBB30C2}"/>
    <cellStyle name="20% — акцент2 3 2" xfId="176" xr:uid="{ABADAFEE-C49C-4AEF-ABCA-5AFC543D2F98}"/>
    <cellStyle name="20% — акцент2 3 2 2" xfId="338" xr:uid="{EC1C2962-F33F-41E3-B72B-3200ACA04582}"/>
    <cellStyle name="20% — акцент2 3 3" xfId="258" xr:uid="{106B0C55-168E-4B18-82C0-8A5CDAE9D516}"/>
    <cellStyle name="20% — акцент2 4" xfId="136" xr:uid="{9674F592-E363-4C16-AD86-DF389D88C69F}"/>
    <cellStyle name="20% — акцент2 4 2" xfId="298" xr:uid="{CA7C26B8-CB41-4EEC-A626-A970F655A591}"/>
    <cellStyle name="20% — акцент2 5" xfId="218" xr:uid="{1379F59F-8B81-4904-8FC6-1D0812D31071}"/>
    <cellStyle name="20% — акцент3 2" xfId="79" xr:uid="{4B6F941B-AE1C-417C-A6D5-16E58567B2F6}"/>
    <cellStyle name="20% — акцент3 2 2" xfId="119" xr:uid="{E432034D-785C-4689-862F-DA381BF489A4}"/>
    <cellStyle name="20% — акцент3 2 2 2" xfId="199" xr:uid="{0C82AFF4-21FF-4A79-816F-61DCC6B7EBD9}"/>
    <cellStyle name="20% — акцент3 2 2 2 2" xfId="361" xr:uid="{9C13DBEF-D980-4C77-8751-65A3A6FD9E01}"/>
    <cellStyle name="20% — акцент3 2 2 3" xfId="281" xr:uid="{566F07BC-6FDE-42E7-B808-4848799E6695}"/>
    <cellStyle name="20% — акцент3 2 3" xfId="159" xr:uid="{4C0FA498-1FB2-43AA-944D-8EDEB6FD3C21}"/>
    <cellStyle name="20% — акцент3 2 3 2" xfId="321" xr:uid="{3017B08E-F307-437C-B279-CE08BD79AFEF}"/>
    <cellStyle name="20% — акцент3 2 4" xfId="241" xr:uid="{94F8C261-EAB1-409E-B272-306896463C42}"/>
    <cellStyle name="20% — акцент3 3" xfId="99" xr:uid="{DDE23515-1A4A-48AE-BFE5-2A1CD7EEF893}"/>
    <cellStyle name="20% — акцент3 3 2" xfId="179" xr:uid="{0286B2B9-0E23-4E0F-98D8-F3E4852D3EAF}"/>
    <cellStyle name="20% — акцент3 3 2 2" xfId="341" xr:uid="{244A7B85-9512-46F2-B48B-9BF0B4E3BA7E}"/>
    <cellStyle name="20% — акцент3 3 3" xfId="261" xr:uid="{5A3F2A59-362A-4863-984F-7DD6E1F4DAEA}"/>
    <cellStyle name="20% — акцент3 4" xfId="139" xr:uid="{81930495-77F7-46C1-9E07-AA540B95D6E6}"/>
    <cellStyle name="20% — акцент3 4 2" xfId="301" xr:uid="{3CE5A1E0-F39F-4DBA-8BFB-E131C8D105EF}"/>
    <cellStyle name="20% — акцент3 5" xfId="221" xr:uid="{5B51C55F-7E95-4A37-B3FE-FD12D6FDB912}"/>
    <cellStyle name="20% — акцент4 2" xfId="82" xr:uid="{EF19CE67-93B6-4E4F-924C-718B52B5972F}"/>
    <cellStyle name="20% — акцент4 2 2" xfId="122" xr:uid="{481034BF-D576-40EE-8833-4432A18ADE89}"/>
    <cellStyle name="20% — акцент4 2 2 2" xfId="202" xr:uid="{5807751C-A9C8-4D45-B76F-90D236B2F926}"/>
    <cellStyle name="20% — акцент4 2 2 2 2" xfId="364" xr:uid="{76DDA99B-29EB-4FEC-85EA-62E74C93B60F}"/>
    <cellStyle name="20% — акцент4 2 2 3" xfId="284" xr:uid="{EAB6B307-8953-49B3-BE9D-5214449375B6}"/>
    <cellStyle name="20% — акцент4 2 3" xfId="162" xr:uid="{F9F42F30-70C5-4CC3-8047-88BFBFEF9992}"/>
    <cellStyle name="20% — акцент4 2 3 2" xfId="324" xr:uid="{66EC05A2-C4D9-4A3E-8D38-49B105982BD2}"/>
    <cellStyle name="20% — акцент4 2 4" xfId="244" xr:uid="{7002A3FC-BED1-4EC1-9411-4707EE1B05C4}"/>
    <cellStyle name="20% — акцент4 3" xfId="102" xr:uid="{90FF412D-922A-4DD6-BDD0-54F1141E0A00}"/>
    <cellStyle name="20% — акцент4 3 2" xfId="182" xr:uid="{3DD1F8E0-D6DB-4590-B1FD-2B5F65F8E8CF}"/>
    <cellStyle name="20% — акцент4 3 2 2" xfId="344" xr:uid="{762E7A94-D4C7-4379-AF3A-1F4ADDA2C2B7}"/>
    <cellStyle name="20% — акцент4 3 3" xfId="264" xr:uid="{65CFE9EC-3BD8-4B65-A535-906BE0401554}"/>
    <cellStyle name="20% — акцент4 4" xfId="142" xr:uid="{952E5A3A-28B7-44C7-98E6-102E0CA18E33}"/>
    <cellStyle name="20% — акцент4 4 2" xfId="304" xr:uid="{46BD2C3F-6226-4547-AE78-35E40F734A18}"/>
    <cellStyle name="20% — акцент4 5" xfId="224" xr:uid="{0AAB4130-E11A-4119-B46C-8A5FED31C274}"/>
    <cellStyle name="20% — акцент5 2" xfId="85" xr:uid="{CEA2051F-9EA7-414C-8C3C-F184261BAA5C}"/>
    <cellStyle name="20% — акцент5 2 2" xfId="125" xr:uid="{E61A34C8-9C6F-4B45-BC56-FF03A1FDD69D}"/>
    <cellStyle name="20% — акцент5 2 2 2" xfId="205" xr:uid="{AF257B37-8162-4477-A8FB-BAF1CF67A7EC}"/>
    <cellStyle name="20% — акцент5 2 2 2 2" xfId="367" xr:uid="{2D509E59-CB81-4D41-A141-C8B79E8E011C}"/>
    <cellStyle name="20% — акцент5 2 2 3" xfId="287" xr:uid="{DBA80669-5865-4708-9DBF-68A57E113D05}"/>
    <cellStyle name="20% — акцент5 2 3" xfId="165" xr:uid="{6B4EE27F-0D08-47B0-B749-061DA4ED1F4E}"/>
    <cellStyle name="20% — акцент5 2 3 2" xfId="327" xr:uid="{50E8491E-EF2E-4CFF-BE0B-AB7A23FF2B20}"/>
    <cellStyle name="20% — акцент5 2 4" xfId="247" xr:uid="{341E7277-B039-465F-91A4-8F863BEB8067}"/>
    <cellStyle name="20% — акцент5 3" xfId="105" xr:uid="{060249DD-F50E-4700-83FD-37F0CF29497E}"/>
    <cellStyle name="20% — акцент5 3 2" xfId="185" xr:uid="{53CA9BA4-1211-469F-8A00-798168FED682}"/>
    <cellStyle name="20% — акцент5 3 2 2" xfId="347" xr:uid="{39CEE07C-9B83-4928-A6E7-4393AEFC1374}"/>
    <cellStyle name="20% — акцент5 3 3" xfId="267" xr:uid="{E555D1B9-1C97-4E73-9BD5-003E7ED1DEA4}"/>
    <cellStyle name="20% — акцент5 4" xfId="145" xr:uid="{57655F03-B28C-4AB1-ABFC-69D61448F215}"/>
    <cellStyle name="20% — акцент5 4 2" xfId="307" xr:uid="{D186FA57-1030-487D-893F-AB194DC12B38}"/>
    <cellStyle name="20% — акцент5 5" xfId="227" xr:uid="{A2948A42-220D-4626-94EB-3192905227E6}"/>
    <cellStyle name="20% — акцент6 2" xfId="88" xr:uid="{31CACD05-1CD7-4B1A-A3E6-3D47BE08C333}"/>
    <cellStyle name="20% — акцент6 2 2" xfId="128" xr:uid="{3111B883-02CA-4A24-BAE4-A03F0BCBB144}"/>
    <cellStyle name="20% — акцент6 2 2 2" xfId="208" xr:uid="{292CC7A5-841C-489C-8240-28900BF04130}"/>
    <cellStyle name="20% — акцент6 2 2 2 2" xfId="370" xr:uid="{125C0CFD-3277-4261-9B18-5A9E5F72583A}"/>
    <cellStyle name="20% — акцент6 2 2 3" xfId="290" xr:uid="{E03238F1-44E4-45A4-94A6-66F6F893A137}"/>
    <cellStyle name="20% — акцент6 2 3" xfId="168" xr:uid="{BE3A4795-35F1-440E-9663-7918B7FC8F84}"/>
    <cellStyle name="20% — акцент6 2 3 2" xfId="330" xr:uid="{90F26A94-454D-45AE-83B2-11E3B787D7A8}"/>
    <cellStyle name="20% — акцент6 2 4" xfId="250" xr:uid="{ED29CD56-3A82-4F1B-A5E1-956A284D89F9}"/>
    <cellStyle name="20% — акцент6 3" xfId="108" xr:uid="{8BFA942E-50EA-46DA-B2A6-6C334E7D0AE9}"/>
    <cellStyle name="20% — акцент6 3 2" xfId="188" xr:uid="{1FE421C7-A62E-4660-A1DF-752E36112031}"/>
    <cellStyle name="20% — акцент6 3 2 2" xfId="350" xr:uid="{48C0D7AE-BAAD-42A0-81E0-F96788DF13FD}"/>
    <cellStyle name="20% — акцент6 3 3" xfId="270" xr:uid="{FDF5560D-C780-46BC-B072-535D5F9E53D8}"/>
    <cellStyle name="20% — акцент6 4" xfId="148" xr:uid="{206276C3-EEFA-45E1-8EAA-1FF256D6C09A}"/>
    <cellStyle name="20% — акцент6 4 2" xfId="310" xr:uid="{5220A722-2D78-4EFF-8B62-9A2AA1F54159}"/>
    <cellStyle name="20% — акцент6 5" xfId="230" xr:uid="{EB901F50-AADA-46EA-8CB8-C405C11C8826}"/>
    <cellStyle name="40% - Accent1" xfId="49" builtinId="31" customBuiltin="1"/>
    <cellStyle name="40% - Accent2" xfId="53" builtinId="35" customBuiltin="1"/>
    <cellStyle name="40% - Accent3" xfId="57" builtinId="39" customBuiltin="1"/>
    <cellStyle name="40% - Accent4" xfId="61" builtinId="43" customBuiltin="1"/>
    <cellStyle name="40% - Accent5" xfId="65" builtinId="47" customBuiltin="1"/>
    <cellStyle name="40% - Accent6" xfId="69" builtinId="51" customBuiltin="1"/>
    <cellStyle name="40% — акцент1 2" xfId="74" xr:uid="{37AE25F5-F377-4705-B45F-0164723A8877}"/>
    <cellStyle name="40% — акцент1 2 2" xfId="114" xr:uid="{7810FC1C-1679-4078-8D34-D7F4108C75AA}"/>
    <cellStyle name="40% — акцент1 2 2 2" xfId="194" xr:uid="{9AA92E6E-A364-4EF8-9C83-24F4D15769C4}"/>
    <cellStyle name="40% — акцент1 2 2 2 2" xfId="356" xr:uid="{60CD3BDC-E4B6-4E39-8D18-911A270BBD4B}"/>
    <cellStyle name="40% — акцент1 2 2 3" xfId="276" xr:uid="{88038CE4-ADB9-4987-A491-9714DF26775A}"/>
    <cellStyle name="40% — акцент1 2 3" xfId="154" xr:uid="{EAC65640-CBCB-4D82-9B65-689A2C51A529}"/>
    <cellStyle name="40% — акцент1 2 3 2" xfId="316" xr:uid="{1179CBED-39BB-4D14-A977-C4A65B69DDD7}"/>
    <cellStyle name="40% — акцент1 2 4" xfId="236" xr:uid="{B5AA578E-3132-4A44-9C46-D95ECFB0B025}"/>
    <cellStyle name="40% — акцент1 3" xfId="94" xr:uid="{546992ED-CF87-4E1A-BA20-DAFF34DE3A71}"/>
    <cellStyle name="40% — акцент1 3 2" xfId="174" xr:uid="{0695FBBA-5363-4D20-AF23-10E1E98D9524}"/>
    <cellStyle name="40% — акцент1 3 2 2" xfId="336" xr:uid="{2394E3CF-6A86-4A82-AF17-C0F653414486}"/>
    <cellStyle name="40% — акцент1 3 3" xfId="256" xr:uid="{197C9C8A-BB58-490F-B60A-2860934AC263}"/>
    <cellStyle name="40% — акцент1 4" xfId="134" xr:uid="{608A7705-44AF-46A8-874B-566FA3481181}"/>
    <cellStyle name="40% — акцент1 4 2" xfId="296" xr:uid="{B8D8A0F5-4551-4EBB-9ACF-257E85EF2EFF}"/>
    <cellStyle name="40% — акцент1 5" xfId="216" xr:uid="{EB02904F-A8A1-4582-9159-C9719CF1730C}"/>
    <cellStyle name="40% — акцент2 2" xfId="77" xr:uid="{5FB837A3-0DE9-4926-B40C-711B2163D079}"/>
    <cellStyle name="40% — акцент2 2 2" xfId="117" xr:uid="{BD1283DA-08C9-491B-9CDB-7A30A6477554}"/>
    <cellStyle name="40% — акцент2 2 2 2" xfId="197" xr:uid="{6C588B2A-CCEC-4A45-B491-9CFEF317691B}"/>
    <cellStyle name="40% — акцент2 2 2 2 2" xfId="359" xr:uid="{A7C2E7D4-E7AC-479C-93B1-AC68A902EF34}"/>
    <cellStyle name="40% — акцент2 2 2 3" xfId="279" xr:uid="{E2153678-883A-4494-AF7A-9D9FA808BC03}"/>
    <cellStyle name="40% — акцент2 2 3" xfId="157" xr:uid="{135069A2-9048-4913-B7A0-8F7CF329DB4D}"/>
    <cellStyle name="40% — акцент2 2 3 2" xfId="319" xr:uid="{98273002-4FAB-499A-8468-9A8BD878BA06}"/>
    <cellStyle name="40% — акцент2 2 4" xfId="239" xr:uid="{9189A155-8D58-46DC-B867-F73B0AA73893}"/>
    <cellStyle name="40% — акцент2 3" xfId="97" xr:uid="{6D86C3C1-3F49-4D66-B8DB-26D6A4E45149}"/>
    <cellStyle name="40% — акцент2 3 2" xfId="177" xr:uid="{EA05EBD8-E9E0-4B13-9273-39B870DD26C1}"/>
    <cellStyle name="40% — акцент2 3 2 2" xfId="339" xr:uid="{4039721A-6B39-4719-A6E2-51D633EC6431}"/>
    <cellStyle name="40% — акцент2 3 3" xfId="259" xr:uid="{C5EB91EB-8B2B-4554-8014-8F8429799C8A}"/>
    <cellStyle name="40% — акцент2 4" xfId="137" xr:uid="{A06A567E-2585-4F3D-AE3F-38E6CD38253C}"/>
    <cellStyle name="40% — акцент2 4 2" xfId="299" xr:uid="{F4E89BAC-C639-45A7-B9B2-6FCC735D0172}"/>
    <cellStyle name="40% — акцент2 5" xfId="219" xr:uid="{E66F3900-1E7B-43D5-902F-6E413F44CD15}"/>
    <cellStyle name="40% — акцент3 2" xfId="80" xr:uid="{4164F6EC-AAFA-4C3C-85BD-A1ED432C3348}"/>
    <cellStyle name="40% — акцент3 2 2" xfId="120" xr:uid="{DCEF4629-EB80-4F8C-BB7C-640F7801FC1B}"/>
    <cellStyle name="40% — акцент3 2 2 2" xfId="200" xr:uid="{F054BF3C-2FF8-46A6-9B8B-91D6766A74B2}"/>
    <cellStyle name="40% — акцент3 2 2 2 2" xfId="362" xr:uid="{BAC13338-7809-4511-B60F-576CE84AC656}"/>
    <cellStyle name="40% — акцент3 2 2 3" xfId="282" xr:uid="{C06F33F3-B55E-4B52-A6CB-DB1FF3B1D2C3}"/>
    <cellStyle name="40% — акцент3 2 3" xfId="160" xr:uid="{4DA245C4-15DE-46D3-B8D1-809B590F614D}"/>
    <cellStyle name="40% — акцент3 2 3 2" xfId="322" xr:uid="{A2FC6526-DBE7-45B5-ADEE-B44627BF6B38}"/>
    <cellStyle name="40% — акцент3 2 4" xfId="242" xr:uid="{7AC33EC8-2EAE-42C3-994F-E51E52F0D1C2}"/>
    <cellStyle name="40% — акцент3 3" xfId="100" xr:uid="{0C070F70-E645-4F9E-98D8-FF17E800C37F}"/>
    <cellStyle name="40% — акцент3 3 2" xfId="180" xr:uid="{D2950A1E-64AF-4777-9F8E-B84C4366D236}"/>
    <cellStyle name="40% — акцент3 3 2 2" xfId="342" xr:uid="{398E78B1-1B1E-45FF-A40F-74E24A782AC5}"/>
    <cellStyle name="40% — акцент3 3 3" xfId="262" xr:uid="{3FEE9507-B282-493C-ADA5-A35025962BEF}"/>
    <cellStyle name="40% — акцент3 4" xfId="140" xr:uid="{EEF01D80-C57D-4362-8331-814C9224D4ED}"/>
    <cellStyle name="40% — акцент3 4 2" xfId="302" xr:uid="{35245786-3E99-4024-8115-4E1CE23671FC}"/>
    <cellStyle name="40% — акцент3 5" xfId="222" xr:uid="{5C25F7D5-DEBF-4C00-9ABD-FB77C9C720A3}"/>
    <cellStyle name="40% — акцент4 2" xfId="83" xr:uid="{B4917929-3385-493C-8D0E-6DF2EE569A85}"/>
    <cellStyle name="40% — акцент4 2 2" xfId="123" xr:uid="{A2798C52-B234-4A6C-8413-45003FF28E1A}"/>
    <cellStyle name="40% — акцент4 2 2 2" xfId="203" xr:uid="{674AD0F6-30BC-4B4A-AACE-696A6D41A70A}"/>
    <cellStyle name="40% — акцент4 2 2 2 2" xfId="365" xr:uid="{FF40E129-B25E-4C81-8CB6-FAE36F9A3BE0}"/>
    <cellStyle name="40% — акцент4 2 2 3" xfId="285" xr:uid="{0B235CAF-CC4E-4F8A-800A-12FA4DA226EE}"/>
    <cellStyle name="40% — акцент4 2 3" xfId="163" xr:uid="{27871601-2299-40CF-A065-FFF40B37205D}"/>
    <cellStyle name="40% — акцент4 2 3 2" xfId="325" xr:uid="{3A75598E-D745-41C3-A108-71DEF036C062}"/>
    <cellStyle name="40% — акцент4 2 4" xfId="245" xr:uid="{D6685C3D-51B3-4A7B-9B36-CBE9631BA03E}"/>
    <cellStyle name="40% — акцент4 3" xfId="103" xr:uid="{AB9D6289-7CAB-4317-9510-08E6DA7E0DE6}"/>
    <cellStyle name="40% — акцент4 3 2" xfId="183" xr:uid="{CA2BD082-29E0-46E7-BCC5-E1AC91B2D7AC}"/>
    <cellStyle name="40% — акцент4 3 2 2" xfId="345" xr:uid="{D357B9C2-FC35-4E35-9D10-02B6B2096F2B}"/>
    <cellStyle name="40% — акцент4 3 3" xfId="265" xr:uid="{4C860A02-2560-490E-BEFA-65FDF95CFD2F}"/>
    <cellStyle name="40% — акцент4 4" xfId="143" xr:uid="{D8FED84A-0555-4320-BBAA-0AA5EECBF36F}"/>
    <cellStyle name="40% — акцент4 4 2" xfId="305" xr:uid="{D573CD15-8875-45DB-A375-2E35C319C816}"/>
    <cellStyle name="40% — акцент4 5" xfId="225" xr:uid="{21FE9D54-3D95-460F-82A7-E7F14F25341A}"/>
    <cellStyle name="40% — акцент5 2" xfId="86" xr:uid="{57945CA3-1211-4696-83EF-F201DB84AA2F}"/>
    <cellStyle name="40% — акцент5 2 2" xfId="126" xr:uid="{4822A885-DBE2-49BB-858C-1E03FF86206F}"/>
    <cellStyle name="40% — акцент5 2 2 2" xfId="206" xr:uid="{4811C6B2-0FB3-4252-A9A9-2090E6D1EA64}"/>
    <cellStyle name="40% — акцент5 2 2 2 2" xfId="368" xr:uid="{FD7BE63A-A272-489D-8E9E-E122E06B37EB}"/>
    <cellStyle name="40% — акцент5 2 2 3" xfId="288" xr:uid="{62ED53DC-6E53-4F82-8A96-ED23B264B84A}"/>
    <cellStyle name="40% — акцент5 2 3" xfId="166" xr:uid="{FD82FA29-07C1-4B79-84F9-A15829C5BE5D}"/>
    <cellStyle name="40% — акцент5 2 3 2" xfId="328" xr:uid="{B6F8923A-2F42-4DEA-83F6-F1C055CCAB6C}"/>
    <cellStyle name="40% — акцент5 2 4" xfId="248" xr:uid="{8FABC7AA-6DF5-4664-8DAE-89DBDED6295C}"/>
    <cellStyle name="40% — акцент5 3" xfId="106" xr:uid="{A9A40803-9D8E-407B-97DB-EA399125234B}"/>
    <cellStyle name="40% — акцент5 3 2" xfId="186" xr:uid="{1B598A28-DCD3-4C68-AA30-CF86ED1FC57F}"/>
    <cellStyle name="40% — акцент5 3 2 2" xfId="348" xr:uid="{DE9684E9-61EE-4222-B99C-C78F6CB356A5}"/>
    <cellStyle name="40% — акцент5 3 3" xfId="268" xr:uid="{87234E4C-7818-44F2-8D09-D29260279FF1}"/>
    <cellStyle name="40% — акцент5 4" xfId="146" xr:uid="{1D8B4635-A0DA-4A38-8E9F-34036D2EF92F}"/>
    <cellStyle name="40% — акцент5 4 2" xfId="308" xr:uid="{E3B59DEB-E759-4E6F-9067-B0AE4D34E592}"/>
    <cellStyle name="40% — акцент5 5" xfId="228" xr:uid="{F914D256-4DEA-4FBD-AE5B-5EDF264A6809}"/>
    <cellStyle name="40% — акцент6 2" xfId="89" xr:uid="{09D5B296-5F0A-4D73-AD10-38A2FFD9B8C6}"/>
    <cellStyle name="40% — акцент6 2 2" xfId="129" xr:uid="{4D67C767-CD4E-40E1-832E-1934BA807ED6}"/>
    <cellStyle name="40% — акцент6 2 2 2" xfId="209" xr:uid="{6B152473-3D77-43CC-B490-DD9FF322F31B}"/>
    <cellStyle name="40% — акцент6 2 2 2 2" xfId="371" xr:uid="{A27ACF92-897A-4855-9A3D-111107C9931B}"/>
    <cellStyle name="40% — акцент6 2 2 3" xfId="291" xr:uid="{1BCF0103-3C83-4799-AFF2-0742F893858A}"/>
    <cellStyle name="40% — акцент6 2 3" xfId="169" xr:uid="{B1DC1180-62FD-4537-88F2-857834130B70}"/>
    <cellStyle name="40% — акцент6 2 3 2" xfId="331" xr:uid="{DA04A3CB-0950-412D-999F-2E99C7DBD42D}"/>
    <cellStyle name="40% — акцент6 2 4" xfId="251" xr:uid="{B6D2DCA4-741E-40FF-87A7-2DB7C5C46CD3}"/>
    <cellStyle name="40% — акцент6 3" xfId="109" xr:uid="{3682C88D-445B-4ED6-8611-8898F8E05D56}"/>
    <cellStyle name="40% — акцент6 3 2" xfId="189" xr:uid="{797F78B9-F9C3-49DB-ACDF-17A0D1B386DB}"/>
    <cellStyle name="40% — акцент6 3 2 2" xfId="351" xr:uid="{DBA96BEA-C7A3-438A-8365-255EC862EAA9}"/>
    <cellStyle name="40% — акцент6 3 3" xfId="271" xr:uid="{5179E986-B9FF-423B-A66B-6E70F3EC6FD0}"/>
    <cellStyle name="40% — акцент6 4" xfId="149" xr:uid="{B1FCE5C1-2B7A-4DFE-970E-B22C0DE5E025}"/>
    <cellStyle name="40% — акцент6 4 2" xfId="311" xr:uid="{1CCD0241-C7D8-4704-9899-750376092FD8}"/>
    <cellStyle name="40% — акцент6 5" xfId="231" xr:uid="{23D290CB-37D3-4B80-956D-70075FF4ED63}"/>
    <cellStyle name="60% - Accent1" xfId="50" builtinId="32" customBuiltin="1"/>
    <cellStyle name="60% - Accent2" xfId="54" builtinId="36" customBuiltin="1"/>
    <cellStyle name="60% - Accent3" xfId="58" builtinId="40" customBuiltin="1"/>
    <cellStyle name="60% - Accent4" xfId="62" builtinId="44" customBuiltin="1"/>
    <cellStyle name="60% - Accent5" xfId="66" builtinId="48" customBuiltin="1"/>
    <cellStyle name="60% - Accent6" xfId="70" builtinId="52" customBuiltin="1"/>
    <cellStyle name="60% — акцент1 2" xfId="75" xr:uid="{80FBF1A8-00E3-449B-B0F6-8F5A0AEAFA37}"/>
    <cellStyle name="60% — акцент1 2 2" xfId="115" xr:uid="{08325579-E07B-48FB-A8C9-FCACAE56829F}"/>
    <cellStyle name="60% — акцент1 2 2 2" xfId="195" xr:uid="{27BF3740-BAF6-4AA7-B83E-AC78CA5EE8B0}"/>
    <cellStyle name="60% — акцент1 2 2 2 2" xfId="357" xr:uid="{5A761F2A-83B5-43C0-A250-BDE68E5EF37C}"/>
    <cellStyle name="60% — акцент1 2 2 3" xfId="277" xr:uid="{BC69E18E-724A-4983-8092-DC7DD5643E6F}"/>
    <cellStyle name="60% — акцент1 2 3" xfId="155" xr:uid="{3EC0C9EE-E089-48C9-897B-813C72EA9D38}"/>
    <cellStyle name="60% — акцент1 2 3 2" xfId="317" xr:uid="{6EA7A069-DD76-41BE-818B-5C439A789DF2}"/>
    <cellStyle name="60% — акцент1 2 4" xfId="237" xr:uid="{0CB10EED-B2E9-45E4-82FE-6A9F5C96BA8B}"/>
    <cellStyle name="60% — акцент1 3" xfId="95" xr:uid="{051C4D96-CC89-4268-82F3-34F262BA4271}"/>
    <cellStyle name="60% — акцент1 3 2" xfId="175" xr:uid="{FDF032C9-AA47-4B0E-8A0A-7350F5506182}"/>
    <cellStyle name="60% — акцент1 3 2 2" xfId="337" xr:uid="{1E3377C2-A58B-4BA2-AB16-FBA1BA4C175B}"/>
    <cellStyle name="60% — акцент1 3 3" xfId="257" xr:uid="{C3E16891-B7A6-4D4E-9CC3-648993784997}"/>
    <cellStyle name="60% — акцент1 4" xfId="135" xr:uid="{1BFFA375-E403-4243-99A3-C8DE9A6978AE}"/>
    <cellStyle name="60% — акцент1 4 2" xfId="297" xr:uid="{A1647D79-1581-4417-8AF9-6632944E97A6}"/>
    <cellStyle name="60% — акцент1 5" xfId="217" xr:uid="{2CEE0FE3-71AE-4884-B8A2-E1EC5E3A4685}"/>
    <cellStyle name="60% — акцент2 2" xfId="78" xr:uid="{688FE950-1C33-4466-B59E-6BE77477F15A}"/>
    <cellStyle name="60% — акцент2 2 2" xfId="118" xr:uid="{164369D1-D6F2-4C08-B4B1-0BB96D50CB57}"/>
    <cellStyle name="60% — акцент2 2 2 2" xfId="198" xr:uid="{7CD8474F-B80A-42BB-867B-1B0F1D30EDB4}"/>
    <cellStyle name="60% — акцент2 2 2 2 2" xfId="360" xr:uid="{84694422-91F5-4685-B814-02B57FE0731A}"/>
    <cellStyle name="60% — акцент2 2 2 3" xfId="280" xr:uid="{C32469DD-7C7A-4354-89A3-E8C4DD83E0C9}"/>
    <cellStyle name="60% — акцент2 2 3" xfId="158" xr:uid="{2D353A0F-7412-464A-80EF-7CC2C925C8B8}"/>
    <cellStyle name="60% — акцент2 2 3 2" xfId="320" xr:uid="{6B4C1908-3E4A-46D7-A551-59A769D943DE}"/>
    <cellStyle name="60% — акцент2 2 4" xfId="240" xr:uid="{3A456EA6-0B7B-4C4E-9485-2171E4614461}"/>
    <cellStyle name="60% — акцент2 3" xfId="98" xr:uid="{1B1FC8F8-07C5-49E4-AA6D-C982CEE2C2B5}"/>
    <cellStyle name="60% — акцент2 3 2" xfId="178" xr:uid="{99E173CB-B9D8-4B04-B5BF-2A1E5EEF61BB}"/>
    <cellStyle name="60% — акцент2 3 2 2" xfId="340" xr:uid="{5A20C71A-8016-4CEC-BAE8-703B22D11948}"/>
    <cellStyle name="60% — акцент2 3 3" xfId="260" xr:uid="{8FE7171B-C84C-4481-904F-83625B75A66C}"/>
    <cellStyle name="60% — акцент2 4" xfId="138" xr:uid="{94B7104D-4D30-4275-BE9E-3FC223014315}"/>
    <cellStyle name="60% — акцент2 4 2" xfId="300" xr:uid="{ED45B369-8E28-444A-805D-E46719150FF6}"/>
    <cellStyle name="60% — акцент2 5" xfId="220" xr:uid="{9E35A337-B7BF-4714-9338-014147744C2C}"/>
    <cellStyle name="60% — акцент3 2" xfId="81" xr:uid="{1AF131B7-F9C8-4821-B2E8-1336B8F6C1B7}"/>
    <cellStyle name="60% — акцент3 2 2" xfId="121" xr:uid="{0113EBFE-217C-4ACE-852E-B57475EB67EF}"/>
    <cellStyle name="60% — акцент3 2 2 2" xfId="201" xr:uid="{D129346A-802A-4ED1-A9FB-266E03B4BE7F}"/>
    <cellStyle name="60% — акцент3 2 2 2 2" xfId="363" xr:uid="{2460DFF0-7FD6-4D1A-893F-1C199F27F9B4}"/>
    <cellStyle name="60% — акцент3 2 2 3" xfId="283" xr:uid="{B82617C6-68A1-4814-8D8E-9219E4007B24}"/>
    <cellStyle name="60% — акцент3 2 3" xfId="161" xr:uid="{9346CB5F-B0BF-4928-8F00-878FCEA05A86}"/>
    <cellStyle name="60% — акцент3 2 3 2" xfId="323" xr:uid="{EC0F19C0-E769-4315-BE08-282779F43085}"/>
    <cellStyle name="60% — акцент3 2 4" xfId="243" xr:uid="{2D98A4DD-6F67-4A15-A6A0-33876155C73D}"/>
    <cellStyle name="60% — акцент3 3" xfId="101" xr:uid="{1ACD533D-D45E-4745-B015-8EE2CBE613B3}"/>
    <cellStyle name="60% — акцент3 3 2" xfId="181" xr:uid="{D5F70DF2-4389-4860-8DEF-D9910AEC22CC}"/>
    <cellStyle name="60% — акцент3 3 2 2" xfId="343" xr:uid="{1E012B04-9075-4AD9-9E46-C9D779818BE3}"/>
    <cellStyle name="60% — акцент3 3 3" xfId="263" xr:uid="{B710D24C-5399-476F-8FB1-5963B8149FF6}"/>
    <cellStyle name="60% — акцент3 4" xfId="141" xr:uid="{E19C8156-0677-442E-870A-CA294CADD353}"/>
    <cellStyle name="60% — акцент3 4 2" xfId="303" xr:uid="{4AE41191-FDEE-45D6-8CCD-FA01F4FCE908}"/>
    <cellStyle name="60% — акцент3 5" xfId="223" xr:uid="{6904ABD4-CF0C-43CC-B0B9-A10E0F8E2164}"/>
    <cellStyle name="60% — акцент4 2" xfId="84" xr:uid="{8678BBD1-6913-46B9-A75B-1D7DA22F0A3D}"/>
    <cellStyle name="60% — акцент4 2 2" xfId="124" xr:uid="{E97165E6-47B0-435B-9B08-F238C6E39852}"/>
    <cellStyle name="60% — акцент4 2 2 2" xfId="204" xr:uid="{4BB8D8D4-F09C-4B76-936D-C10504BA01B7}"/>
    <cellStyle name="60% — акцент4 2 2 2 2" xfId="366" xr:uid="{B937B280-FF41-4A94-8CD9-2E90D573BF18}"/>
    <cellStyle name="60% — акцент4 2 2 3" xfId="286" xr:uid="{3DACC4FF-9C92-4299-9308-A6EAB7ED7A22}"/>
    <cellStyle name="60% — акцент4 2 3" xfId="164" xr:uid="{491AAD1B-4D63-457F-900E-4B93745DA868}"/>
    <cellStyle name="60% — акцент4 2 3 2" xfId="326" xr:uid="{3484C52E-4B47-4F80-BDA9-60C5F43E75CD}"/>
    <cellStyle name="60% — акцент4 2 4" xfId="246" xr:uid="{AC748150-1B3E-41F7-85D7-E26363F0C821}"/>
    <cellStyle name="60% — акцент4 3" xfId="104" xr:uid="{27BE8B70-90F9-40FD-BDD8-55133AF01183}"/>
    <cellStyle name="60% — акцент4 3 2" xfId="184" xr:uid="{FE2F51DF-3B63-4B14-A0C7-5F65B5BF2B74}"/>
    <cellStyle name="60% — акцент4 3 2 2" xfId="346" xr:uid="{82F1B661-53CC-4D34-BAD4-B1988E9C7979}"/>
    <cellStyle name="60% — акцент4 3 3" xfId="266" xr:uid="{4DBD7ABC-3224-432F-B716-051770458237}"/>
    <cellStyle name="60% — акцент4 4" xfId="144" xr:uid="{7473603A-D9F4-4A28-8587-57EE84D4BE83}"/>
    <cellStyle name="60% — акцент4 4 2" xfId="306" xr:uid="{CC4BBA6F-C008-4EFC-B6FF-01319B068AD7}"/>
    <cellStyle name="60% — акцент4 5" xfId="226" xr:uid="{2DE854F0-09FE-440A-ACFD-934038AA97AB}"/>
    <cellStyle name="60% — акцент5 2" xfId="87" xr:uid="{9751EAAD-EE90-4E0F-9122-EE621DDE2D29}"/>
    <cellStyle name="60% — акцент5 2 2" xfId="127" xr:uid="{4B30C21C-2ABA-49F3-B6C5-BA9541191BE1}"/>
    <cellStyle name="60% — акцент5 2 2 2" xfId="207" xr:uid="{14A3BF15-CE45-49AD-9387-D1BA2FA8F1B4}"/>
    <cellStyle name="60% — акцент5 2 2 2 2" xfId="369" xr:uid="{FE08064C-BFD5-4B97-919D-0AC178812D40}"/>
    <cellStyle name="60% — акцент5 2 2 3" xfId="289" xr:uid="{7D53276A-CDF2-45A3-BA93-02D1392D84B8}"/>
    <cellStyle name="60% — акцент5 2 3" xfId="167" xr:uid="{06310E4A-58E7-4C91-A30A-4A0D3614DD1B}"/>
    <cellStyle name="60% — акцент5 2 3 2" xfId="329" xr:uid="{0F838FF0-0DB5-4F7F-8035-BB0C1310625E}"/>
    <cellStyle name="60% — акцент5 2 4" xfId="249" xr:uid="{1281F64D-D290-4260-9ECD-01FEB2D46C95}"/>
    <cellStyle name="60% — акцент5 3" xfId="107" xr:uid="{34E2977A-6D10-4626-9E3D-4179AF8A52C0}"/>
    <cellStyle name="60% — акцент5 3 2" xfId="187" xr:uid="{EE4B2F45-B3F2-4489-877E-4BC857F81A15}"/>
    <cellStyle name="60% — акцент5 3 2 2" xfId="349" xr:uid="{1AB4EB38-64DD-46D5-9FF2-2A73B07D7714}"/>
    <cellStyle name="60% — акцент5 3 3" xfId="269" xr:uid="{94C6EAF6-BF11-4AE4-B077-62B500CA7E01}"/>
    <cellStyle name="60% — акцент5 4" xfId="147" xr:uid="{E3043046-9633-466A-8FBF-0C887F1F2158}"/>
    <cellStyle name="60% — акцент5 4 2" xfId="309" xr:uid="{187BA5EB-F0A2-4019-A8EA-498D64C5D5D3}"/>
    <cellStyle name="60% — акцент5 5" xfId="229" xr:uid="{0198B25B-8FF2-491E-A759-09D0763C05D6}"/>
    <cellStyle name="60% — акцент6 2" xfId="90" xr:uid="{3ED644D5-EFA4-4CC8-9F9C-3FD79FE2974B}"/>
    <cellStyle name="60% — акцент6 2 2" xfId="130" xr:uid="{E952E1E8-4D91-4AF2-A903-216E4AE08DBE}"/>
    <cellStyle name="60% — акцент6 2 2 2" xfId="210" xr:uid="{15C7C90A-F2F0-4BA4-84C8-4DCF1556A0CD}"/>
    <cellStyle name="60% — акцент6 2 2 2 2" xfId="372" xr:uid="{C1F2CC06-F384-4FC3-BF3F-B3C567E32FE4}"/>
    <cellStyle name="60% — акцент6 2 2 3" xfId="292" xr:uid="{E476B52D-EBB4-4B19-933E-B7C88FB9B80D}"/>
    <cellStyle name="60% — акцент6 2 3" xfId="170" xr:uid="{BD7318D1-8504-4EFF-A452-DEDA5EBB3F5C}"/>
    <cellStyle name="60% — акцент6 2 3 2" xfId="332" xr:uid="{0A685BDD-7838-4C32-BFCF-E28DE450EBFE}"/>
    <cellStyle name="60% — акцент6 2 4" xfId="252" xr:uid="{752A9EB0-E41D-4F97-9F87-4951B9E780AC}"/>
    <cellStyle name="60% — акцент6 3" xfId="110" xr:uid="{329539AF-38A9-40AD-920F-A870B9658A20}"/>
    <cellStyle name="60% — акцент6 3 2" xfId="190" xr:uid="{D8ED0FC8-AE02-4544-8749-13C89C3C37E7}"/>
    <cellStyle name="60% — акцент6 3 2 2" xfId="352" xr:uid="{D1A750D8-0F54-45F0-973C-A2DD753E3034}"/>
    <cellStyle name="60% — акцент6 3 3" xfId="272" xr:uid="{5DDB0FB7-784D-4769-A8B3-F0EFA04594BE}"/>
    <cellStyle name="60% — акцент6 4" xfId="150" xr:uid="{546A1D5D-0BC6-4EDD-B5F8-6F7FB52E0386}"/>
    <cellStyle name="60% — акцент6 4 2" xfId="312" xr:uid="{CBD3CC07-FD7C-422C-B64F-C1BAF8FD0E1C}"/>
    <cellStyle name="60% — акцент6 5" xfId="232" xr:uid="{24236DD6-1799-4D08-8BAD-775404DB03B7}"/>
    <cellStyle name="Accent1" xfId="47" builtinId="29" customBuiltin="1"/>
    <cellStyle name="Accent2" xfId="51" builtinId="33" customBuiltin="1"/>
    <cellStyle name="Accent3" xfId="55" builtinId="37" customBuiltin="1"/>
    <cellStyle name="Accent4" xfId="59" builtinId="41" customBuiltin="1"/>
    <cellStyle name="Accent5" xfId="63" builtinId="45" customBuiltin="1"/>
    <cellStyle name="Accent6" xfId="67" builtinId="49" customBuiltin="1"/>
    <cellStyle name="Bad" xfId="37" builtinId="27" customBuiltin="1"/>
    <cellStyle name="Calculation" xfId="41" builtinId="22" customBuiltin="1"/>
    <cellStyle name="Check Cell" xfId="43" builtinId="23" customBuiltin="1"/>
    <cellStyle name="Comma" xfId="10" builtinId="3"/>
    <cellStyle name="Explanatory Text" xfId="45" builtinId="53" customBuiltin="1"/>
    <cellStyle name="Good" xfId="36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9" builtinId="20" customBuiltin="1"/>
    <cellStyle name="Linked Cell" xfId="42" builtinId="24" customBuiltin="1"/>
    <cellStyle name="Neutral" xfId="38" builtinId="28" customBuiltin="1"/>
    <cellStyle name="Normal" xfId="0" builtinId="0"/>
    <cellStyle name="Output" xfId="40" builtinId="21" customBuiltin="1"/>
    <cellStyle name="Percent" xfId="3" builtinId="5"/>
    <cellStyle name="Title" xfId="31" builtinId="15" customBuiltin="1"/>
    <cellStyle name="Total" xfId="46" builtinId="25" customBuiltin="1"/>
    <cellStyle name="Warning Text" xfId="44" builtinId="11" customBuiltin="1"/>
    <cellStyle name="Обычный 2" xfId="1" xr:uid="{00000000-0005-0000-0000-000003000000}"/>
    <cellStyle name="Обычный 2 2" xfId="2" xr:uid="{00000000-0005-0000-0000-000004000000}"/>
    <cellStyle name="Обычный 3" xfId="20" xr:uid="{00000000-0005-0000-0000-000005000000}"/>
    <cellStyle name="Обычный 4" xfId="21" xr:uid="{00000000-0005-0000-0000-000006000000}"/>
    <cellStyle name="Обычный 4 2" xfId="28" xr:uid="{8F0E60DD-A5EF-4746-B5F7-AE282A104A1F}"/>
    <cellStyle name="Обычный 5" xfId="22" xr:uid="{00000000-0005-0000-0000-000007000000}"/>
    <cellStyle name="Обычный 5 2" xfId="29" xr:uid="{B189FFEB-21A7-4AEE-AABB-BE9FC1731F23}"/>
    <cellStyle name="Обычный 6" xfId="23" xr:uid="{00000000-0005-0000-0000-000008000000}"/>
    <cellStyle name="Обычный 6 2" xfId="30" xr:uid="{E536E866-5991-4187-AFA8-ADB80125ED27}"/>
    <cellStyle name="Обычный 7" xfId="71" xr:uid="{6B5CBA81-4438-40AF-B751-2836311971EE}"/>
    <cellStyle name="Обычный 7 2" xfId="91" xr:uid="{266CCB27-2CB0-4923-8F05-9E943AB4ACAA}"/>
    <cellStyle name="Обычный 7 2 2" xfId="131" xr:uid="{B057C5EC-AF84-49B0-8921-23C742540319}"/>
    <cellStyle name="Обычный 7 2 2 2" xfId="211" xr:uid="{30DBEE23-8DC7-4997-88C1-9FF6366A4554}"/>
    <cellStyle name="Обычный 7 2 2 2 2" xfId="373" xr:uid="{D2EB2144-C6F2-4619-A48F-FB24D107C1DD}"/>
    <cellStyle name="Обычный 7 2 2 3" xfId="293" xr:uid="{14F50D7D-4A18-478E-83F1-553B314202FC}"/>
    <cellStyle name="Обычный 7 2 3" xfId="171" xr:uid="{1176ACF2-199B-44F0-9ECC-676AEB8EE4A3}"/>
    <cellStyle name="Обычный 7 2 3 2" xfId="333" xr:uid="{AA7C4B18-135C-45F5-82AD-9C9DE5F87D46}"/>
    <cellStyle name="Обычный 7 2 4" xfId="253" xr:uid="{58EB4997-8354-4A1E-8440-8577ECF87939}"/>
    <cellStyle name="Обычный 7 3" xfId="111" xr:uid="{156D8B82-CF24-4BD8-88AD-E19AE6291233}"/>
    <cellStyle name="Обычный 7 3 2" xfId="191" xr:uid="{81333A98-58F1-4678-90A5-D0C2A83E38D3}"/>
    <cellStyle name="Обычный 7 3 2 2" xfId="353" xr:uid="{A5493121-A13E-41D1-A0AA-0CFF1A49012F}"/>
    <cellStyle name="Обычный 7 3 3" xfId="273" xr:uid="{2149F2DD-745A-44F7-A918-8A8773BC6302}"/>
    <cellStyle name="Обычный 7 4" xfId="151" xr:uid="{9B142E3C-6CE8-4D8D-A932-6B2AE7B75F42}"/>
    <cellStyle name="Обычный 7 4 2" xfId="313" xr:uid="{C8BEE0DD-FF39-4B34-94A5-34171D39EEB0}"/>
    <cellStyle name="Обычный 7 5" xfId="233" xr:uid="{D083BED9-A2D3-44F1-9950-0F9476061E51}"/>
    <cellStyle name="Обычный 8" xfId="213" xr:uid="{85BEFCE4-AE96-4217-90A1-BC693D409567}"/>
    <cellStyle name="Примечание 2" xfId="72" xr:uid="{7969C782-6143-4385-B1A9-11EC3442C03E}"/>
    <cellStyle name="Примечание 2 2" xfId="92" xr:uid="{8E7F05AA-47A0-4F90-A9C1-CA047D7000F6}"/>
    <cellStyle name="Примечание 2 2 2" xfId="132" xr:uid="{AF9AB1E2-6B3A-457C-A2C9-A647CB460CF2}"/>
    <cellStyle name="Примечание 2 2 2 2" xfId="212" xr:uid="{67DD2EDE-51BE-44F0-A707-FA6935707427}"/>
    <cellStyle name="Примечание 2 2 2 2 2" xfId="374" xr:uid="{95DEAE3A-C980-4A41-B542-17E9A73459AE}"/>
    <cellStyle name="Примечание 2 2 2 3" xfId="294" xr:uid="{915C27C9-DF9D-4339-860D-F577A77E2CE6}"/>
    <cellStyle name="Примечание 2 2 3" xfId="172" xr:uid="{885AD2AC-A932-4666-944F-886B087007F5}"/>
    <cellStyle name="Примечание 2 2 3 2" xfId="334" xr:uid="{495EC5E7-4928-4C31-992C-C2768D717F5A}"/>
    <cellStyle name="Примечание 2 2 4" xfId="254" xr:uid="{18ACDAF3-3FC8-4997-9266-E2ADEC89F72A}"/>
    <cellStyle name="Примечание 2 3" xfId="112" xr:uid="{74517EE3-A777-48E5-92D7-81E0802269BC}"/>
    <cellStyle name="Примечание 2 3 2" xfId="192" xr:uid="{A323398E-D108-4B23-9FB5-2B82BB601995}"/>
    <cellStyle name="Примечание 2 3 2 2" xfId="354" xr:uid="{9DA35C58-821D-4374-94C1-0BF1B043A72B}"/>
    <cellStyle name="Примечание 2 3 3" xfId="274" xr:uid="{69A9A56E-62F5-42F6-9941-A5EF766B7CEB}"/>
    <cellStyle name="Примечание 2 4" xfId="152" xr:uid="{C592A82B-7053-466D-A6F6-F0CB5790DAB6}"/>
    <cellStyle name="Примечание 2 4 2" xfId="314" xr:uid="{FA19FC94-4892-44E8-AFD7-B76B841A5E2B}"/>
    <cellStyle name="Примечание 2 5" xfId="234" xr:uid="{F183D99E-D3BB-4E1C-81EF-F6A0ECB67671}"/>
    <cellStyle name="Процентный 2" xfId="4" xr:uid="{00000000-0005-0000-0000-000009000000}"/>
    <cellStyle name="Процентный 2 10" xfId="5" xr:uid="{00000000-0005-0000-0000-00000A000000}"/>
    <cellStyle name="Процентный 2 10 2" xfId="6" xr:uid="{00000000-0005-0000-0000-00000B000000}"/>
    <cellStyle name="Процентный 2 10 2 2" xfId="19" xr:uid="{00000000-0005-0000-0000-00000C000000}"/>
    <cellStyle name="Процентный 2 2" xfId="7" xr:uid="{00000000-0005-0000-0000-00000D000000}"/>
    <cellStyle name="Процентный 2 2 2" xfId="8" xr:uid="{00000000-0005-0000-0000-00000E000000}"/>
    <cellStyle name="Процентный 2 2 2 2" xfId="24" xr:uid="{1C09443E-B8FD-4FD1-9F96-D2A814F3A6B4}"/>
    <cellStyle name="Процентный 3" xfId="9" xr:uid="{00000000-0005-0000-0000-00000F000000}"/>
    <cellStyle name="Финансовый 2" xfId="11" xr:uid="{00000000-0005-0000-0000-000010000000}"/>
    <cellStyle name="Финансовый 2 10" xfId="12" xr:uid="{00000000-0005-0000-0000-000011000000}"/>
    <cellStyle name="Финансовый 2 10 2" xfId="13" xr:uid="{00000000-0005-0000-0000-000012000000}"/>
    <cellStyle name="Финансовый 2 10 2 2" xfId="18" xr:uid="{00000000-0005-0000-0000-000013000000}"/>
    <cellStyle name="Финансовый 2 2" xfId="25" xr:uid="{8DACFB00-3597-4FC5-AE20-A2B6A3D33DA5}"/>
    <cellStyle name="Финансовый 2 2 2 2 2" xfId="14" xr:uid="{00000000-0005-0000-0000-000014000000}"/>
    <cellStyle name="Финансовый 2 2 2 2 2 2" xfId="15" xr:uid="{00000000-0005-0000-0000-000015000000}"/>
    <cellStyle name="Финансовый 2 2 2 2 2 2 2" xfId="26" xr:uid="{97B64240-D44C-485D-98E6-A993818AC7EA}"/>
    <cellStyle name="Финансовый 2 2 2 3" xfId="16" xr:uid="{00000000-0005-0000-0000-000016000000}"/>
    <cellStyle name="Финансовый 2 2 2 3 2" xfId="17" xr:uid="{00000000-0005-0000-0000-000017000000}"/>
    <cellStyle name="Финансовый 2 2 2 3 2 2" xfId="27" xr:uid="{64A07C4C-9552-4649-9AEB-369CEE9D1519}"/>
    <cellStyle name="Финансовый 3" xfId="214" xr:uid="{53680073-8DA1-41DD-BB1F-82F48A68FDB8}"/>
  </cellStyles>
  <dxfs count="0"/>
  <tableStyles count="0" defaultTableStyle="TableStyleMedium2" defaultPivotStyle="PivotStyleLight16"/>
  <colors>
    <mruColors>
      <color rgb="FFFC7E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'Base rate'!$D$2</c:f>
              <c:strCache>
                <c:ptCount val="1"/>
                <c:pt idx="0">
                  <c:v>Базовая ставка</c:v>
                </c:pt>
              </c:strCache>
            </c:strRef>
          </c:tx>
          <c:spPr>
            <a:ln w="19050" cap="rnd">
              <a:solidFill>
                <a:srgbClr val="14508C"/>
              </a:solidFill>
              <a:round/>
            </a:ln>
            <a:effectLst/>
          </c:spPr>
          <c:marker>
            <c:symbol val="none"/>
          </c:marker>
          <c:cat>
            <c:numRef>
              <c:f>'Base rate'!$C$3:$C$25</c:f>
              <c:numCache>
                <c:formatCode>m/d/yyyy</c:formatCode>
                <c:ptCount val="23"/>
                <c:pt idx="0">
                  <c:v>43480</c:v>
                </c:pt>
                <c:pt idx="1">
                  <c:v>43529</c:v>
                </c:pt>
                <c:pt idx="2">
                  <c:v>43571</c:v>
                </c:pt>
                <c:pt idx="3">
                  <c:v>43620</c:v>
                </c:pt>
                <c:pt idx="4">
                  <c:v>43662</c:v>
                </c:pt>
                <c:pt idx="5">
                  <c:v>43718</c:v>
                </c:pt>
                <c:pt idx="6">
                  <c:v>43767</c:v>
                </c:pt>
                <c:pt idx="7">
                  <c:v>43809</c:v>
                </c:pt>
                <c:pt idx="8">
                  <c:v>43865</c:v>
                </c:pt>
                <c:pt idx="9">
                  <c:v>43900</c:v>
                </c:pt>
                <c:pt idx="10">
                  <c:v>43907</c:v>
                </c:pt>
                <c:pt idx="11">
                  <c:v>43927</c:v>
                </c:pt>
                <c:pt idx="12">
                  <c:v>43949</c:v>
                </c:pt>
                <c:pt idx="13">
                  <c:v>43991</c:v>
                </c:pt>
                <c:pt idx="14">
                  <c:v>44033</c:v>
                </c:pt>
                <c:pt idx="15">
                  <c:v>44082</c:v>
                </c:pt>
                <c:pt idx="16">
                  <c:v>44131</c:v>
                </c:pt>
                <c:pt idx="17">
                  <c:v>44180</c:v>
                </c:pt>
                <c:pt idx="18">
                  <c:v>44222</c:v>
                </c:pt>
                <c:pt idx="19">
                  <c:v>44265</c:v>
                </c:pt>
                <c:pt idx="20">
                  <c:v>44313</c:v>
                </c:pt>
                <c:pt idx="21">
                  <c:v>44355</c:v>
                </c:pt>
                <c:pt idx="22">
                  <c:v>44404</c:v>
                </c:pt>
              </c:numCache>
            </c:numRef>
          </c:cat>
          <c:val>
            <c:numRef>
              <c:f>'Base rate'!$D$3:$D$25</c:f>
              <c:numCache>
                <c:formatCode>0.00%</c:formatCode>
                <c:ptCount val="23"/>
                <c:pt idx="0">
                  <c:v>9.2499999999999999E-2</c:v>
                </c:pt>
                <c:pt idx="1">
                  <c:v>9.2499999999999999E-2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9.2499999999999999E-2</c:v>
                </c:pt>
                <c:pt idx="6">
                  <c:v>9.2499999999999999E-2</c:v>
                </c:pt>
                <c:pt idx="7">
                  <c:v>9.2499999999999999E-2</c:v>
                </c:pt>
                <c:pt idx="8">
                  <c:v>9.2499999999999999E-2</c:v>
                </c:pt>
                <c:pt idx="9">
                  <c:v>0.12</c:v>
                </c:pt>
                <c:pt idx="10">
                  <c:v>0.12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9.2499999999999999E-2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F-4845-BA5C-98A1981BCB1E}"/>
            </c:ext>
          </c:extLst>
        </c:ser>
        <c:ser>
          <c:idx val="1"/>
          <c:order val="1"/>
          <c:tx>
            <c:strRef>
              <c:f>'Base rate'!$E$2</c:f>
              <c:strCache>
                <c:ptCount val="1"/>
                <c:pt idx="0">
                  <c:v>Нижняя граница коридора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'Base rate'!$C$3:$C$25</c:f>
              <c:numCache>
                <c:formatCode>m/d/yyyy</c:formatCode>
                <c:ptCount val="23"/>
                <c:pt idx="0">
                  <c:v>43480</c:v>
                </c:pt>
                <c:pt idx="1">
                  <c:v>43529</c:v>
                </c:pt>
                <c:pt idx="2">
                  <c:v>43571</c:v>
                </c:pt>
                <c:pt idx="3">
                  <c:v>43620</c:v>
                </c:pt>
                <c:pt idx="4">
                  <c:v>43662</c:v>
                </c:pt>
                <c:pt idx="5">
                  <c:v>43718</c:v>
                </c:pt>
                <c:pt idx="6">
                  <c:v>43767</c:v>
                </c:pt>
                <c:pt idx="7">
                  <c:v>43809</c:v>
                </c:pt>
                <c:pt idx="8">
                  <c:v>43865</c:v>
                </c:pt>
                <c:pt idx="9">
                  <c:v>43900</c:v>
                </c:pt>
                <c:pt idx="10">
                  <c:v>43907</c:v>
                </c:pt>
                <c:pt idx="11">
                  <c:v>43927</c:v>
                </c:pt>
                <c:pt idx="12">
                  <c:v>43949</c:v>
                </c:pt>
                <c:pt idx="13">
                  <c:v>43991</c:v>
                </c:pt>
                <c:pt idx="14">
                  <c:v>44033</c:v>
                </c:pt>
                <c:pt idx="15">
                  <c:v>44082</c:v>
                </c:pt>
                <c:pt idx="16">
                  <c:v>44131</c:v>
                </c:pt>
                <c:pt idx="17">
                  <c:v>44180</c:v>
                </c:pt>
                <c:pt idx="18">
                  <c:v>44222</c:v>
                </c:pt>
                <c:pt idx="19">
                  <c:v>44265</c:v>
                </c:pt>
                <c:pt idx="20">
                  <c:v>44313</c:v>
                </c:pt>
                <c:pt idx="21">
                  <c:v>44355</c:v>
                </c:pt>
                <c:pt idx="22">
                  <c:v>44404</c:v>
                </c:pt>
              </c:numCache>
            </c:numRef>
          </c:cat>
          <c:val>
            <c:numRef>
              <c:f>'Base rate'!$E$3:$E$25</c:f>
              <c:numCache>
                <c:formatCode>0.00%</c:formatCode>
                <c:ptCount val="23"/>
                <c:pt idx="0">
                  <c:v>8.2500000000000004E-2</c:v>
                </c:pt>
                <c:pt idx="1">
                  <c:v>8.2500000000000004E-2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8.2500000000000004E-2</c:v>
                </c:pt>
                <c:pt idx="6">
                  <c:v>8.2500000000000004E-2</c:v>
                </c:pt>
                <c:pt idx="7">
                  <c:v>8.2500000000000004E-2</c:v>
                </c:pt>
                <c:pt idx="8">
                  <c:v>8.2500000000000004E-2</c:v>
                </c:pt>
                <c:pt idx="9">
                  <c:v>0.105</c:v>
                </c:pt>
                <c:pt idx="10">
                  <c:v>0.105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8.2500000000000004E-2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F-4845-BA5C-98A1981BCB1E}"/>
            </c:ext>
          </c:extLst>
        </c:ser>
        <c:ser>
          <c:idx val="2"/>
          <c:order val="2"/>
          <c:tx>
            <c:strRef>
              <c:f>'Base rate'!$F$2</c:f>
              <c:strCache>
                <c:ptCount val="1"/>
                <c:pt idx="0">
                  <c:v>Верхняя граница коридора</c:v>
                </c:pt>
              </c:strCache>
            </c:strRef>
          </c:tx>
          <c:spPr>
            <a:ln w="19050" cap="rnd">
              <a:solidFill>
                <a:schemeClr val="accent3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'Base rate'!$C$3:$C$25</c:f>
              <c:numCache>
                <c:formatCode>m/d/yyyy</c:formatCode>
                <c:ptCount val="23"/>
                <c:pt idx="0">
                  <c:v>43480</c:v>
                </c:pt>
                <c:pt idx="1">
                  <c:v>43529</c:v>
                </c:pt>
                <c:pt idx="2">
                  <c:v>43571</c:v>
                </c:pt>
                <c:pt idx="3">
                  <c:v>43620</c:v>
                </c:pt>
                <c:pt idx="4">
                  <c:v>43662</c:v>
                </c:pt>
                <c:pt idx="5">
                  <c:v>43718</c:v>
                </c:pt>
                <c:pt idx="6">
                  <c:v>43767</c:v>
                </c:pt>
                <c:pt idx="7">
                  <c:v>43809</c:v>
                </c:pt>
                <c:pt idx="8">
                  <c:v>43865</c:v>
                </c:pt>
                <c:pt idx="9">
                  <c:v>43900</c:v>
                </c:pt>
                <c:pt idx="10">
                  <c:v>43907</c:v>
                </c:pt>
                <c:pt idx="11">
                  <c:v>43927</c:v>
                </c:pt>
                <c:pt idx="12">
                  <c:v>43949</c:v>
                </c:pt>
                <c:pt idx="13">
                  <c:v>43991</c:v>
                </c:pt>
                <c:pt idx="14">
                  <c:v>44033</c:v>
                </c:pt>
                <c:pt idx="15">
                  <c:v>44082</c:v>
                </c:pt>
                <c:pt idx="16">
                  <c:v>44131</c:v>
                </c:pt>
                <c:pt idx="17">
                  <c:v>44180</c:v>
                </c:pt>
                <c:pt idx="18">
                  <c:v>44222</c:v>
                </c:pt>
                <c:pt idx="19">
                  <c:v>44265</c:v>
                </c:pt>
                <c:pt idx="20">
                  <c:v>44313</c:v>
                </c:pt>
                <c:pt idx="21">
                  <c:v>44355</c:v>
                </c:pt>
                <c:pt idx="22">
                  <c:v>44404</c:v>
                </c:pt>
              </c:numCache>
            </c:numRef>
          </c:cat>
          <c:val>
            <c:numRef>
              <c:f>'Base rate'!$F$3:$F$25</c:f>
              <c:numCache>
                <c:formatCode>0.00%</c:formatCode>
                <c:ptCount val="23"/>
                <c:pt idx="0">
                  <c:v>0.10249999999999999</c:v>
                </c:pt>
                <c:pt idx="1">
                  <c:v>0.10249999999999999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0.10249999999999999</c:v>
                </c:pt>
                <c:pt idx="6">
                  <c:v>0.10249999999999999</c:v>
                </c:pt>
                <c:pt idx="7">
                  <c:v>0.10249999999999999</c:v>
                </c:pt>
                <c:pt idx="8">
                  <c:v>0.10249999999999999</c:v>
                </c:pt>
                <c:pt idx="9">
                  <c:v>0.13500000000000001</c:v>
                </c:pt>
                <c:pt idx="10">
                  <c:v>0.13500000000000001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0.105</c:v>
                </c:pt>
                <c:pt idx="15">
                  <c:v>0.105</c:v>
                </c:pt>
                <c:pt idx="16">
                  <c:v>0.105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9.9999999999999992E-2</c:v>
                </c:pt>
                <c:pt idx="22">
                  <c:v>0.10249999999999999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F-4845-BA5C-98A1981B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053936"/>
        <c:axId val="1112054352"/>
      </c:lineChart>
      <c:dateAx>
        <c:axId val="1112053936"/>
        <c:scaling>
          <c:orientation val="minMax"/>
        </c:scaling>
        <c:delete val="0"/>
        <c:axPos val="b"/>
        <c:numFmt formatCode="[$-419]mmmm\ 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Gill Sans Nova Light" panose="020B0302020104020203" pitchFamily="34" charset="0"/>
                <a:ea typeface="+mn-ea"/>
                <a:cs typeface="+mn-cs"/>
              </a:defRPr>
            </a:pPr>
            <a:endParaRPr lang="en-US"/>
          </a:p>
        </c:txPr>
        <c:crossAx val="1112054352"/>
        <c:crosses val="autoZero"/>
        <c:auto val="1"/>
        <c:lblOffset val="100"/>
        <c:baseTimeUnit val="days"/>
        <c:majorUnit val="3"/>
        <c:majorTimeUnit val="months"/>
      </c:dateAx>
      <c:valAx>
        <c:axId val="1112054352"/>
        <c:scaling>
          <c:orientation val="minMax"/>
          <c:min val="7.0000000000000007E-2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Gill Sans Nova Light" panose="020B0302020104020203" pitchFamily="34" charset="0"/>
                <a:ea typeface="+mn-ea"/>
                <a:cs typeface="+mn-cs"/>
              </a:defRPr>
            </a:pPr>
            <a:endParaRPr lang="en-US"/>
          </a:p>
        </c:txPr>
        <c:crossAx val="1112053936"/>
        <c:crossesAt val="4348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Gill Sans Nova Light" panose="020B03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Gill Sans Nova Light" panose="020B03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8</xdr:row>
      <xdr:rowOff>104774</xdr:rowOff>
    </xdr:from>
    <xdr:to>
      <xdr:col>15</xdr:col>
      <xdr:colOff>552450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29ADA-F872-4C65-93CC-F7EB0A98B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.07.2021%20Daily%20pension_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set%20Management/1.%20JI/1.1%20&#1055;&#1077;&#1085;&#1089;&#1080;&#1086;&#1085;&#1085;&#1099;&#1077;%20&#1072;&#1082;&#1090;&#1080;&#1074;&#1099;/8.%20Reporting/2.%20&#1045;&#1078;&#1077;&#1084;&#1077;&#1089;&#1103;&#1095;&#1085;&#1099;&#1081;%20&#1086;&#1090;&#1095;&#1077;&#1090;%20&#1085;&#1072;%20&#1089;&#1072;&#1081;&#1090;/7.%20&#1048;&#1102;&#1083;&#1100;/Support/30.07.2021%20Daily%20pension_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тфель"/>
      <sheetName val="Equities"/>
      <sheetName val="Bonds"/>
      <sheetName val="доход УК"/>
      <sheetName val="стоимость УПЕ"/>
      <sheetName val="Base rate"/>
      <sheetName val="Exchange"/>
      <sheetName val="Website"/>
    </sheetNames>
    <sheetDataSet>
      <sheetData sheetId="0"/>
      <sheetData sheetId="1" refreshError="1"/>
      <sheetData sheetId="2"/>
      <sheetData sheetId="3" refreshError="1"/>
      <sheetData sheetId="4" refreshError="1"/>
      <sheetData sheetId="5">
        <row r="2">
          <cell r="D2" t="str">
            <v>Базовая ставка</v>
          </cell>
          <cell r="E2" t="str">
            <v>Нижняя граница коридора</v>
          </cell>
          <cell r="F2" t="str">
            <v>Верхняя граница коридора</v>
          </cell>
        </row>
        <row r="3">
          <cell r="C3">
            <v>43480</v>
          </cell>
          <cell r="D3">
            <v>9.2499999999999999E-2</v>
          </cell>
          <cell r="E3">
            <v>8.2500000000000004E-2</v>
          </cell>
          <cell r="F3">
            <v>0.10249999999999999</v>
          </cell>
        </row>
        <row r="4">
          <cell r="C4">
            <v>43529</v>
          </cell>
          <cell r="D4">
            <v>9.2499999999999999E-2</v>
          </cell>
          <cell r="E4">
            <v>8.2500000000000004E-2</v>
          </cell>
          <cell r="F4">
            <v>0.10249999999999999</v>
          </cell>
        </row>
        <row r="5">
          <cell r="C5">
            <v>43571</v>
          </cell>
          <cell r="D5">
            <v>0.09</v>
          </cell>
          <cell r="E5">
            <v>0.08</v>
          </cell>
          <cell r="F5">
            <v>9.9999999999999992E-2</v>
          </cell>
        </row>
        <row r="6">
          <cell r="C6">
            <v>43620</v>
          </cell>
          <cell r="D6">
            <v>0.09</v>
          </cell>
          <cell r="E6">
            <v>0.08</v>
          </cell>
          <cell r="F6">
            <v>9.9999999999999992E-2</v>
          </cell>
        </row>
        <row r="7">
          <cell r="C7">
            <v>43662</v>
          </cell>
          <cell r="D7">
            <v>0.09</v>
          </cell>
          <cell r="E7">
            <v>0.08</v>
          </cell>
          <cell r="F7">
            <v>9.9999999999999992E-2</v>
          </cell>
        </row>
        <row r="8">
          <cell r="C8">
            <v>43718</v>
          </cell>
          <cell r="D8">
            <v>9.2499999999999999E-2</v>
          </cell>
          <cell r="E8">
            <v>8.2500000000000004E-2</v>
          </cell>
          <cell r="F8">
            <v>0.10249999999999999</v>
          </cell>
        </row>
        <row r="9">
          <cell r="C9">
            <v>43767</v>
          </cell>
          <cell r="D9">
            <v>9.2499999999999999E-2</v>
          </cell>
          <cell r="E9">
            <v>8.2500000000000004E-2</v>
          </cell>
          <cell r="F9">
            <v>0.10249999999999999</v>
          </cell>
        </row>
        <row r="10">
          <cell r="C10">
            <v>43809</v>
          </cell>
          <cell r="D10">
            <v>9.2499999999999999E-2</v>
          </cell>
          <cell r="E10">
            <v>8.2500000000000004E-2</v>
          </cell>
          <cell r="F10">
            <v>0.10249999999999999</v>
          </cell>
        </row>
        <row r="11">
          <cell r="C11">
            <v>43865</v>
          </cell>
          <cell r="D11">
            <v>9.2499999999999999E-2</v>
          </cell>
          <cell r="E11">
            <v>8.2500000000000004E-2</v>
          </cell>
          <cell r="F11">
            <v>0.10249999999999999</v>
          </cell>
        </row>
        <row r="12">
          <cell r="C12">
            <v>43900</v>
          </cell>
          <cell r="D12">
            <v>0.12</v>
          </cell>
          <cell r="E12">
            <v>0.105</v>
          </cell>
          <cell r="F12">
            <v>0.13500000000000001</v>
          </cell>
        </row>
        <row r="13">
          <cell r="C13">
            <v>43907</v>
          </cell>
          <cell r="D13">
            <v>0.12</v>
          </cell>
          <cell r="E13">
            <v>0.105</v>
          </cell>
          <cell r="F13">
            <v>0.13500000000000001</v>
          </cell>
        </row>
        <row r="14">
          <cell r="C14">
            <v>43927</v>
          </cell>
          <cell r="D14">
            <v>9.5000000000000001E-2</v>
          </cell>
          <cell r="E14">
            <v>7.4999999999999997E-2</v>
          </cell>
          <cell r="F14">
            <v>0.115</v>
          </cell>
        </row>
        <row r="15">
          <cell r="C15">
            <v>43949</v>
          </cell>
          <cell r="D15">
            <v>9.5000000000000001E-2</v>
          </cell>
          <cell r="E15">
            <v>7.4999999999999997E-2</v>
          </cell>
          <cell r="F15">
            <v>0.115</v>
          </cell>
        </row>
        <row r="16">
          <cell r="C16">
            <v>43991</v>
          </cell>
          <cell r="D16">
            <v>9.5000000000000001E-2</v>
          </cell>
          <cell r="E16">
            <v>7.4999999999999997E-2</v>
          </cell>
          <cell r="F16">
            <v>0.115</v>
          </cell>
        </row>
        <row r="17">
          <cell r="C17">
            <v>44033</v>
          </cell>
          <cell r="D17">
            <v>0.09</v>
          </cell>
          <cell r="E17">
            <v>7.4999999999999997E-2</v>
          </cell>
          <cell r="F17">
            <v>0.105</v>
          </cell>
        </row>
        <row r="18">
          <cell r="C18">
            <v>44082</v>
          </cell>
          <cell r="D18">
            <v>0.09</v>
          </cell>
          <cell r="E18">
            <v>7.4999999999999997E-2</v>
          </cell>
          <cell r="F18">
            <v>0.105</v>
          </cell>
        </row>
        <row r="19">
          <cell r="C19">
            <v>44131</v>
          </cell>
          <cell r="D19">
            <v>0.09</v>
          </cell>
          <cell r="E19">
            <v>7.4999999999999997E-2</v>
          </cell>
          <cell r="F19">
            <v>0.105</v>
          </cell>
        </row>
        <row r="20">
          <cell r="C20">
            <v>44180</v>
          </cell>
          <cell r="D20">
            <v>0.09</v>
          </cell>
          <cell r="E20">
            <v>0.08</v>
          </cell>
          <cell r="F20">
            <v>9.9999999999999992E-2</v>
          </cell>
        </row>
        <row r="21">
          <cell r="C21">
            <v>44222</v>
          </cell>
          <cell r="D21">
            <v>0.09</v>
          </cell>
          <cell r="E21">
            <v>0.08</v>
          </cell>
          <cell r="F21">
            <v>9.9999999999999992E-2</v>
          </cell>
        </row>
        <row r="22">
          <cell r="C22">
            <v>44265</v>
          </cell>
          <cell r="D22">
            <v>0.09</v>
          </cell>
          <cell r="E22">
            <v>0.08</v>
          </cell>
          <cell r="F22">
            <v>9.9999999999999992E-2</v>
          </cell>
        </row>
        <row r="23">
          <cell r="C23">
            <v>44313</v>
          </cell>
          <cell r="D23">
            <v>0.09</v>
          </cell>
          <cell r="E23">
            <v>0.08</v>
          </cell>
          <cell r="F23">
            <v>9.9999999999999992E-2</v>
          </cell>
        </row>
        <row r="24">
          <cell r="C24">
            <v>44355</v>
          </cell>
          <cell r="D24">
            <v>0.09</v>
          </cell>
          <cell r="E24">
            <v>0.08</v>
          </cell>
          <cell r="F24">
            <v>9.9999999999999992E-2</v>
          </cell>
        </row>
        <row r="25">
          <cell r="C25">
            <v>44404</v>
          </cell>
          <cell r="D25">
            <v>9.2499999999999999E-2</v>
          </cell>
          <cell r="E25">
            <v>8.2500000000000004E-2</v>
          </cell>
          <cell r="F25">
            <v>0.10249999999999999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тфель"/>
      <sheetName val="Equities"/>
      <sheetName val="Bonds"/>
      <sheetName val="доход УК"/>
      <sheetName val="стоимость УПЕ"/>
      <sheetName val="Base rate"/>
      <sheetName val="Exchange"/>
      <sheetName val="Website"/>
    </sheetNames>
    <sheetDataSet>
      <sheetData sheetId="0"/>
      <sheetData sheetId="1">
        <row r="80">
          <cell r="C80" t="str">
            <v>Акции широкого рынка США</v>
          </cell>
        </row>
        <row r="81">
          <cell r="C81" t="str">
            <v>Акции стоимости</v>
          </cell>
        </row>
        <row r="82">
          <cell r="C82" t="str">
            <v>Акции фондов недвижимости</v>
          </cell>
        </row>
        <row r="83">
          <cell r="C83" t="str">
            <v>Мировые акции за исключением США</v>
          </cell>
        </row>
        <row r="84">
          <cell r="C84" t="str">
            <v>Акции развивающихся стран</v>
          </cell>
        </row>
        <row r="85">
          <cell r="C85" t="str">
            <v>Акции золотодобытчиков</v>
          </cell>
        </row>
        <row r="86">
          <cell r="C86" t="str">
            <v>Акции сегмента ESG (социально-ответственное инвестирование)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glan IBRAYEV" id="{3879B12B-BEB7-4E83-BE31-ACBF676D1758}" userId="S::b.ibrayev@jusaninvest.com::31d69ff0-3528-41c5-bea1-281d626981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1-07-03T05:17:52.68" personId="{3879B12B-BEB7-4E83-BE31-ACBF676D1758}" id="{B36D228E-BFFA-44D2-B025-70B4F545CD88}">
    <text>Вот здесь на сайте прошу добавить пробел после АО "Jusan Invest"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9"/>
  <sheetViews>
    <sheetView view="pageBreakPreview" zoomScale="55" zoomScaleNormal="60" zoomScaleSheetLayoutView="55" workbookViewId="0">
      <pane xSplit="6" ySplit="10" topLeftCell="L121" activePane="bottomRight" state="frozen"/>
      <selection pane="topRight" activeCell="F1" sqref="F1"/>
      <selection pane="bottomLeft" activeCell="A8" sqref="A8"/>
      <selection pane="bottomRight" activeCell="A100" sqref="A100"/>
    </sheetView>
  </sheetViews>
  <sheetFormatPr defaultColWidth="9.140625" defaultRowHeight="16.5" outlineLevelRow="1" x14ac:dyDescent="0.2"/>
  <cols>
    <col min="1" max="1" width="29.85546875" style="1" customWidth="1"/>
    <col min="2" max="2" width="43.140625" style="1" customWidth="1"/>
    <col min="3" max="3" width="18" style="1" customWidth="1"/>
    <col min="4" max="4" width="17.5703125" style="1" customWidth="1"/>
    <col min="5" max="5" width="23.7109375" style="1" customWidth="1"/>
    <col min="6" max="6" width="20.28515625" style="2" customWidth="1"/>
    <col min="7" max="8" width="16" style="2" customWidth="1"/>
    <col min="9" max="10" width="15.140625" style="2" customWidth="1"/>
    <col min="11" max="11" width="11.5703125" style="4" customWidth="1"/>
    <col min="12" max="12" width="17.140625" style="4" customWidth="1"/>
    <col min="13" max="13" width="17.5703125" style="2" customWidth="1"/>
    <col min="14" max="14" width="16.28515625" style="2" customWidth="1"/>
    <col min="15" max="15" width="18.7109375" style="2" customWidth="1"/>
    <col min="16" max="19" width="20" style="2" customWidth="1"/>
    <col min="20" max="21" width="18.7109375" style="2" customWidth="1"/>
    <col min="22" max="22" width="17" style="2" customWidth="1"/>
    <col min="23" max="23" width="23.5703125" style="2" customWidth="1"/>
    <col min="24" max="24" width="22.7109375" style="2" customWidth="1"/>
    <col min="25" max="25" width="25.7109375" style="22" customWidth="1"/>
    <col min="26" max="26" width="21.5703125" style="23" customWidth="1"/>
    <col min="27" max="27" width="22.5703125" style="12" bestFit="1" customWidth="1"/>
    <col min="28" max="28" width="19.28515625" style="68" bestFit="1" customWidth="1"/>
    <col min="29" max="29" width="18.28515625" style="3" bestFit="1" customWidth="1"/>
    <col min="30" max="16384" width="9.140625" style="11"/>
  </cols>
  <sheetData>
    <row r="1" spans="1:30" x14ac:dyDescent="0.2">
      <c r="C1" s="155" t="s">
        <v>216</v>
      </c>
      <c r="D1" s="55" t="s">
        <v>217</v>
      </c>
    </row>
    <row r="2" spans="1:30" x14ac:dyDescent="0.2">
      <c r="A2" s="11"/>
      <c r="B2" s="54" t="s">
        <v>73</v>
      </c>
      <c r="C2" s="130">
        <v>425.41</v>
      </c>
      <c r="D2" s="130">
        <v>425.41</v>
      </c>
      <c r="E2" s="5"/>
      <c r="F2" s="130"/>
      <c r="G2" s="11"/>
      <c r="H2" s="11"/>
      <c r="AA2" s="10"/>
    </row>
    <row r="3" spans="1:30" x14ac:dyDescent="0.2">
      <c r="A3" s="11"/>
      <c r="B3" s="54" t="s">
        <v>130</v>
      </c>
      <c r="C3" s="130"/>
      <c r="D3" s="130">
        <v>425.74</v>
      </c>
      <c r="E3" s="5"/>
      <c r="F3" s="130"/>
      <c r="G3" s="11"/>
      <c r="H3" s="11"/>
      <c r="AA3" s="10"/>
    </row>
    <row r="4" spans="1:30" x14ac:dyDescent="0.2">
      <c r="A4" s="40"/>
      <c r="B4" s="54"/>
      <c r="C4" s="132" t="s">
        <v>81</v>
      </c>
      <c r="D4" s="132" t="s">
        <v>91</v>
      </c>
      <c r="E4" s="216"/>
      <c r="F4" s="40"/>
      <c r="G4" s="54"/>
      <c r="H4" s="5"/>
      <c r="Q4" s="60"/>
      <c r="R4" s="60"/>
      <c r="S4" s="60"/>
      <c r="AA4" s="10"/>
    </row>
    <row r="5" spans="1:30" ht="29.25" customHeight="1" x14ac:dyDescent="0.25">
      <c r="A5" s="108" t="s">
        <v>82</v>
      </c>
      <c r="B5" s="131">
        <v>44270</v>
      </c>
      <c r="C5" s="65">
        <v>899.48140739999997</v>
      </c>
      <c r="D5" s="65">
        <v>210069.7818158</v>
      </c>
      <c r="E5" s="127"/>
      <c r="F5" s="125"/>
      <c r="G5" s="126"/>
      <c r="H5" s="127"/>
      <c r="V5" s="61"/>
      <c r="W5" s="170"/>
      <c r="Y5" s="23"/>
    </row>
    <row r="6" spans="1:30" x14ac:dyDescent="0.25">
      <c r="A6" s="63" t="s">
        <v>92</v>
      </c>
      <c r="B6" s="226">
        <v>44439</v>
      </c>
      <c r="C6" s="166">
        <f>Y141/D6</f>
        <v>945.36781433684791</v>
      </c>
      <c r="D6" s="65">
        <f>1544180.34212725+133213.7333549+151830.1598142+162322.3273746+102621.5930823+107102.4232403+108469.9555004+79389.5887484</f>
        <v>2389130.1232423498</v>
      </c>
      <c r="E6" s="127"/>
      <c r="F6" s="128"/>
      <c r="G6" s="126"/>
      <c r="H6" s="127"/>
      <c r="I6" s="61"/>
      <c r="K6" s="67"/>
      <c r="Y6" s="23"/>
    </row>
    <row r="7" spans="1:30" x14ac:dyDescent="0.25">
      <c r="A7" s="242" t="s">
        <v>29</v>
      </c>
      <c r="B7" s="243"/>
      <c r="C7" s="64">
        <f>($C$6-$C$5)/$C$5/($B$6-$B$5)*365</f>
        <v>0.11017879578192065</v>
      </c>
      <c r="D7" s="64"/>
      <c r="E7" s="129"/>
      <c r="F7" s="244"/>
      <c r="G7" s="244"/>
      <c r="H7" s="129"/>
      <c r="Y7" s="23"/>
    </row>
    <row r="8" spans="1:30" x14ac:dyDescent="0.2">
      <c r="A8" s="11"/>
      <c r="B8" s="11"/>
      <c r="C8" s="11"/>
      <c r="D8" s="11"/>
      <c r="E8" s="11"/>
      <c r="F8" s="11"/>
      <c r="G8" s="11"/>
      <c r="H8" s="11"/>
      <c r="Y8" s="23"/>
    </row>
    <row r="9" spans="1:30" ht="66" x14ac:dyDescent="0.2">
      <c r="A9" s="78" t="s">
        <v>22</v>
      </c>
      <c r="B9" s="78" t="s">
        <v>8</v>
      </c>
      <c r="C9" s="78" t="s">
        <v>14</v>
      </c>
      <c r="D9" s="78" t="s">
        <v>39</v>
      </c>
      <c r="E9" s="78" t="s">
        <v>210</v>
      </c>
      <c r="F9" s="78" t="s">
        <v>16</v>
      </c>
      <c r="G9" s="78" t="s">
        <v>88</v>
      </c>
      <c r="H9" s="78" t="s">
        <v>89</v>
      </c>
      <c r="I9" s="78" t="s">
        <v>12</v>
      </c>
      <c r="J9" s="78" t="s">
        <v>85</v>
      </c>
      <c r="K9" s="78" t="s">
        <v>15</v>
      </c>
      <c r="L9" s="78" t="s">
        <v>66</v>
      </c>
      <c r="M9" s="78" t="s">
        <v>67</v>
      </c>
      <c r="N9" s="78" t="s">
        <v>68</v>
      </c>
      <c r="O9" s="78" t="s">
        <v>137</v>
      </c>
      <c r="P9" s="78" t="s">
        <v>71</v>
      </c>
      <c r="Q9" s="78" t="s">
        <v>72</v>
      </c>
      <c r="R9" s="78" t="s">
        <v>90</v>
      </c>
      <c r="S9" s="78" t="s">
        <v>115</v>
      </c>
      <c r="T9" s="78" t="s">
        <v>131</v>
      </c>
      <c r="U9" s="78" t="s">
        <v>132</v>
      </c>
      <c r="V9" s="78" t="s">
        <v>69</v>
      </c>
      <c r="W9" s="78" t="s">
        <v>147</v>
      </c>
      <c r="X9" s="78" t="s">
        <v>70</v>
      </c>
      <c r="Y9" s="78" t="s">
        <v>74</v>
      </c>
      <c r="Z9" s="79" t="s">
        <v>17</v>
      </c>
      <c r="AA9" s="6"/>
      <c r="AC9" s="2"/>
      <c r="AD9" s="2"/>
    </row>
    <row r="10" spans="1:30" x14ac:dyDescent="0.2">
      <c r="A10" s="90" t="s">
        <v>6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1">
        <f>SUM(Y11:Y11)</f>
        <v>0</v>
      </c>
      <c r="Z10" s="92">
        <f>Y10/$Y$139</f>
        <v>0</v>
      </c>
      <c r="AA10" s="13"/>
      <c r="AC10" s="2"/>
      <c r="AD10" s="2"/>
    </row>
    <row r="11" spans="1:30" x14ac:dyDescent="0.2">
      <c r="A11" s="14"/>
      <c r="B11" s="15"/>
      <c r="C11" s="16"/>
      <c r="D11" s="55"/>
      <c r="E11" s="55"/>
      <c r="F11" s="17"/>
      <c r="G11" s="18"/>
      <c r="H11" s="56"/>
      <c r="I11" s="18"/>
      <c r="J11" s="56"/>
      <c r="K11" s="19"/>
      <c r="L11" s="66"/>
      <c r="M11" s="62"/>
      <c r="N11" s="26"/>
      <c r="O11" s="26"/>
      <c r="P11" s="62"/>
      <c r="Q11" s="62"/>
      <c r="R11" s="62"/>
      <c r="S11" s="62"/>
      <c r="T11" s="75">
        <f>(N11-M11)*F11</f>
        <v>0</v>
      </c>
      <c r="U11" s="75"/>
      <c r="V11" s="76"/>
      <c r="W11" s="156"/>
      <c r="X11" s="76">
        <f>F11*N11</f>
        <v>0</v>
      </c>
      <c r="Y11" s="77"/>
      <c r="Z11" s="92"/>
      <c r="AA11" s="13"/>
      <c r="AC11" s="2"/>
      <c r="AD11" s="2"/>
    </row>
    <row r="12" spans="1:30" x14ac:dyDescent="0.2">
      <c r="A12" s="90" t="s">
        <v>65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3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163">
        <f>SUM(Y13:Y92)</f>
        <v>1045839327.9715997</v>
      </c>
      <c r="Z12" s="92">
        <f>SUM(Z13:Z90)</f>
        <v>0.45563305761584061</v>
      </c>
      <c r="AA12" s="13"/>
      <c r="AC12" s="2"/>
      <c r="AD12" s="2"/>
    </row>
    <row r="13" spans="1:30" x14ac:dyDescent="0.2">
      <c r="A13" s="138" t="s">
        <v>107</v>
      </c>
      <c r="B13" s="154" t="s">
        <v>117</v>
      </c>
      <c r="C13" s="55" t="s">
        <v>2</v>
      </c>
      <c r="D13" s="155" t="s">
        <v>126</v>
      </c>
      <c r="E13" s="155" t="s">
        <v>216</v>
      </c>
      <c r="F13" s="17">
        <v>95</v>
      </c>
      <c r="G13" s="140">
        <v>44280</v>
      </c>
      <c r="H13" s="140">
        <v>44284</v>
      </c>
      <c r="I13" s="139"/>
      <c r="J13" s="139"/>
      <c r="K13" s="139"/>
      <c r="L13" s="158">
        <v>423.36</v>
      </c>
      <c r="M13" s="158">
        <v>388.46</v>
      </c>
      <c r="N13" s="158">
        <v>454.21</v>
      </c>
      <c r="O13" s="158"/>
      <c r="P13" s="191">
        <f>546.59/560*F13</f>
        <v>92.72508928571429</v>
      </c>
      <c r="Q13" s="191">
        <f t="shared" ref="Q13:Q19" si="0">P13*$C$2</f>
        <v>39446.180233035717</v>
      </c>
      <c r="R13" s="141"/>
      <c r="S13" s="158">
        <v>-3513.8879999999999</v>
      </c>
      <c r="T13" s="156">
        <f t="shared" ref="T13:T77" si="1">(N13-M13)*F13</f>
        <v>6246.25</v>
      </c>
      <c r="U13" s="156">
        <f>T13*L13</f>
        <v>2644412.4</v>
      </c>
      <c r="V13" s="156">
        <f>($C$2-L13)*(F13*N13)</f>
        <v>88457.397500000487</v>
      </c>
      <c r="W13" s="156">
        <f>Q13+U13+V13+S13</f>
        <v>2768802.0897330362</v>
      </c>
      <c r="X13" s="142">
        <f t="shared" ref="X13:X77" si="2">F13*N13</f>
        <v>43149.95</v>
      </c>
      <c r="Y13" s="164">
        <f>ROUND(X13*$C$2,20)</f>
        <v>18356420.229499999</v>
      </c>
      <c r="Z13" s="92">
        <f>Y13/$Y$139</f>
        <v>8.1202000782089299E-3</v>
      </c>
      <c r="AA13" s="13"/>
      <c r="AC13" s="2"/>
      <c r="AD13" s="2"/>
    </row>
    <row r="14" spans="1:30" x14ac:dyDescent="0.2">
      <c r="A14" s="138" t="s">
        <v>107</v>
      </c>
      <c r="B14" s="154" t="s">
        <v>117</v>
      </c>
      <c r="C14" s="55" t="s">
        <v>2</v>
      </c>
      <c r="D14" s="155" t="s">
        <v>126</v>
      </c>
      <c r="E14" s="155" t="s">
        <v>216</v>
      </c>
      <c r="F14" s="17">
        <v>93</v>
      </c>
      <c r="G14" s="140">
        <v>44280</v>
      </c>
      <c r="H14" s="140">
        <v>44284</v>
      </c>
      <c r="I14" s="139"/>
      <c r="J14" s="139"/>
      <c r="K14" s="139"/>
      <c r="L14" s="158">
        <v>423.36</v>
      </c>
      <c r="M14" s="158">
        <v>386.54903225806498</v>
      </c>
      <c r="N14" s="158">
        <v>454.21</v>
      </c>
      <c r="O14" s="158"/>
      <c r="P14" s="191">
        <f t="shared" ref="P14:P19" si="3">546.59/560*F14</f>
        <v>90.772982142857146</v>
      </c>
      <c r="Q14" s="191">
        <f t="shared" si="0"/>
        <v>38615.734333392858</v>
      </c>
      <c r="R14" s="141"/>
      <c r="S14" s="158">
        <v>-3424.9823999999999</v>
      </c>
      <c r="T14" s="156">
        <f t="shared" si="1"/>
        <v>6292.4699999999548</v>
      </c>
      <c r="U14" s="156">
        <f t="shared" ref="U14:U77" si="4">T14*L14</f>
        <v>2663980.099199981</v>
      </c>
      <c r="V14" s="156">
        <f t="shared" ref="V14:V77" si="5">($C$2-L14)*(F14*N14)</f>
        <v>86595.136500000473</v>
      </c>
      <c r="W14" s="156">
        <f t="shared" ref="W14:W40" si="6">Q14+U14+V14+S14</f>
        <v>2785765.9876333741</v>
      </c>
      <c r="X14" s="142">
        <f t="shared" si="2"/>
        <v>42241.53</v>
      </c>
      <c r="Y14" s="164">
        <f t="shared" ref="Y14:Y77" si="7">ROUND(X14*$C$2,20)</f>
        <v>17969969.2773</v>
      </c>
      <c r="Z14" s="92">
        <f>Y14/$Y$139</f>
        <v>7.9492484976150576E-3</v>
      </c>
      <c r="AA14" s="13"/>
      <c r="AC14" s="2"/>
      <c r="AD14" s="2"/>
    </row>
    <row r="15" spans="1:30" x14ac:dyDescent="0.2">
      <c r="A15" s="138" t="s">
        <v>107</v>
      </c>
      <c r="B15" s="154" t="s">
        <v>117</v>
      </c>
      <c r="C15" s="55" t="s">
        <v>2</v>
      </c>
      <c r="D15" s="155" t="s">
        <v>126</v>
      </c>
      <c r="E15" s="155" t="s">
        <v>216</v>
      </c>
      <c r="F15" s="17">
        <v>108</v>
      </c>
      <c r="G15" s="140">
        <v>44293</v>
      </c>
      <c r="H15" s="140">
        <v>44295</v>
      </c>
      <c r="I15" s="139"/>
      <c r="J15" s="139"/>
      <c r="K15" s="139"/>
      <c r="L15" s="158">
        <v>430.77</v>
      </c>
      <c r="M15" s="158">
        <v>407.45</v>
      </c>
      <c r="N15" s="158">
        <v>454.21</v>
      </c>
      <c r="O15" s="158"/>
      <c r="P15" s="191">
        <f t="shared" si="3"/>
        <v>105.41378571428572</v>
      </c>
      <c r="Q15" s="191">
        <f t="shared" si="0"/>
        <v>44844.078580714289</v>
      </c>
      <c r="R15" s="141"/>
      <c r="S15" s="158">
        <v>-4264.6229999999996</v>
      </c>
      <c r="T15" s="156">
        <f t="shared" si="1"/>
        <v>5050.079999999999</v>
      </c>
      <c r="U15" s="156">
        <f t="shared" si="4"/>
        <v>2175422.9615999996</v>
      </c>
      <c r="V15" s="156">
        <f t="shared" si="5"/>
        <v>-262933.08479999786</v>
      </c>
      <c r="W15" s="156">
        <f t="shared" si="6"/>
        <v>1953069.332380716</v>
      </c>
      <c r="X15" s="142">
        <f t="shared" si="2"/>
        <v>49054.68</v>
      </c>
      <c r="Y15" s="164">
        <f t="shared" si="7"/>
        <v>20868351.4188</v>
      </c>
      <c r="Z15" s="92">
        <f>Y15/$Y$139</f>
        <v>9.2313853520690995E-3</v>
      </c>
      <c r="AA15" s="13"/>
      <c r="AC15" s="2"/>
      <c r="AD15" s="2"/>
    </row>
    <row r="16" spans="1:30" x14ac:dyDescent="0.2">
      <c r="A16" s="138" t="s">
        <v>107</v>
      </c>
      <c r="B16" s="154" t="s">
        <v>117</v>
      </c>
      <c r="C16" s="55" t="s">
        <v>2</v>
      </c>
      <c r="D16" s="155" t="s">
        <v>126</v>
      </c>
      <c r="E16" s="155" t="s">
        <v>216</v>
      </c>
      <c r="F16" s="17">
        <v>98</v>
      </c>
      <c r="G16" s="140">
        <v>44308</v>
      </c>
      <c r="H16" s="140">
        <v>44312</v>
      </c>
      <c r="I16" s="139"/>
      <c r="J16" s="139"/>
      <c r="K16" s="139"/>
      <c r="L16" s="158">
        <v>432.21</v>
      </c>
      <c r="M16" s="158">
        <v>417.18</v>
      </c>
      <c r="N16" s="158">
        <v>454.21</v>
      </c>
      <c r="O16" s="158"/>
      <c r="P16" s="191">
        <f t="shared" si="3"/>
        <v>95.653250000000014</v>
      </c>
      <c r="Q16" s="191">
        <f t="shared" si="0"/>
        <v>40691.849082500012</v>
      </c>
      <c r="R16" s="141"/>
      <c r="S16" s="158">
        <v>-3954.62</v>
      </c>
      <c r="T16" s="156">
        <f t="shared" ref="T16" si="8">(N16-M16)*F16</f>
        <v>3628.9399999999973</v>
      </c>
      <c r="U16" s="156">
        <f t="shared" ref="U16" si="9">T16*L16</f>
        <v>1568464.1573999987</v>
      </c>
      <c r="V16" s="156">
        <f t="shared" ref="V16" si="10">($C$2-L16)*(F16*N16)</f>
        <v>-302685.54399999796</v>
      </c>
      <c r="W16" s="156">
        <f t="shared" si="6"/>
        <v>1302515.8424825007</v>
      </c>
      <c r="X16" s="142">
        <f t="shared" ref="X16" si="11">F16*N16</f>
        <v>44512.579999999994</v>
      </c>
      <c r="Y16" s="164">
        <f t="shared" si="7"/>
        <v>18936096.6578</v>
      </c>
      <c r="Z16" s="92">
        <f>Y16/$Y$139</f>
        <v>8.3766274490997376E-3</v>
      </c>
      <c r="AA16" s="13"/>
      <c r="AC16" s="2"/>
      <c r="AD16" s="2"/>
    </row>
    <row r="17" spans="1:30" x14ac:dyDescent="0.2">
      <c r="A17" s="138" t="s">
        <v>107</v>
      </c>
      <c r="B17" s="154" t="s">
        <v>117</v>
      </c>
      <c r="C17" s="55" t="s">
        <v>2</v>
      </c>
      <c r="D17" s="155" t="s">
        <v>126</v>
      </c>
      <c r="E17" s="155" t="s">
        <v>216</v>
      </c>
      <c r="F17" s="17">
        <v>87</v>
      </c>
      <c r="G17" s="140">
        <v>44321</v>
      </c>
      <c r="H17" s="140">
        <v>44323</v>
      </c>
      <c r="I17" s="139"/>
      <c r="J17" s="139"/>
      <c r="K17" s="139"/>
      <c r="L17" s="158">
        <v>426.85</v>
      </c>
      <c r="M17" s="158">
        <v>417.64</v>
      </c>
      <c r="N17" s="158">
        <v>454.21</v>
      </c>
      <c r="O17" s="158"/>
      <c r="P17" s="191">
        <f t="shared" si="3"/>
        <v>84.916660714285726</v>
      </c>
      <c r="Q17" s="191">
        <f t="shared" si="0"/>
        <v>36124.39663446429</v>
      </c>
      <c r="R17" s="141"/>
      <c r="S17" s="158">
        <v>-3628.2249999999999</v>
      </c>
      <c r="T17" s="156">
        <f t="shared" ref="T17" si="12">(N17-M17)*F17</f>
        <v>3181.5899999999992</v>
      </c>
      <c r="U17" s="156">
        <f t="shared" ref="U17" si="13">T17*L17</f>
        <v>1358061.6914999997</v>
      </c>
      <c r="V17" s="156">
        <f t="shared" ref="V17" si="14">($C$2-L17)*(F17*N17)</f>
        <v>-56903.428799999907</v>
      </c>
      <c r="W17" s="156">
        <f t="shared" si="6"/>
        <v>1333654.4343344641</v>
      </c>
      <c r="X17" s="142">
        <f t="shared" ref="X17" si="15">F17*N17</f>
        <v>39516.269999999997</v>
      </c>
      <c r="Y17" s="164">
        <f t="shared" si="7"/>
        <v>16810616.420699999</v>
      </c>
      <c r="Z17" s="92">
        <f>Y17/$Y$139</f>
        <v>7.4363937558334404E-3</v>
      </c>
      <c r="AA17" s="13"/>
      <c r="AC17" s="2"/>
      <c r="AD17" s="2"/>
    </row>
    <row r="18" spans="1:30" s="113" customFormat="1" x14ac:dyDescent="0.2">
      <c r="A18" s="138" t="s">
        <v>107</v>
      </c>
      <c r="B18" s="154" t="s">
        <v>117</v>
      </c>
      <c r="C18" s="55" t="s">
        <v>2</v>
      </c>
      <c r="D18" s="155" t="s">
        <v>126</v>
      </c>
      <c r="E18" s="155" t="s">
        <v>216</v>
      </c>
      <c r="F18" s="17">
        <v>44</v>
      </c>
      <c r="G18" s="140">
        <v>44343</v>
      </c>
      <c r="H18" s="140">
        <v>44347</v>
      </c>
      <c r="I18" s="139"/>
      <c r="J18" s="139"/>
      <c r="K18" s="139"/>
      <c r="L18" s="158">
        <v>428.48</v>
      </c>
      <c r="M18" s="158">
        <v>421.51795454545498</v>
      </c>
      <c r="N18" s="158">
        <v>454.21</v>
      </c>
      <c r="O18" s="158"/>
      <c r="P18" s="191">
        <f t="shared" si="3"/>
        <v>42.946357142857146</v>
      </c>
      <c r="Q18" s="191">
        <f t="shared" si="0"/>
        <v>18269.80979214286</v>
      </c>
      <c r="R18" s="141"/>
      <c r="S18" s="158">
        <v>-3642.08</v>
      </c>
      <c r="T18" s="156">
        <f t="shared" ref="T18" si="16">(N18-M18)*F18</f>
        <v>1438.4499999999798</v>
      </c>
      <c r="U18" s="156">
        <f t="shared" ref="U18" si="17">T18*L18</f>
        <v>616347.05599999137</v>
      </c>
      <c r="V18" s="156">
        <f t="shared" ref="V18" si="18">($C$2-L18)*(F18*N18)</f>
        <v>-61354.686799999858</v>
      </c>
      <c r="W18" s="156">
        <f t="shared" si="6"/>
        <v>569620.09899213433</v>
      </c>
      <c r="X18" s="142">
        <f t="shared" ref="X18" si="19">F18*N18</f>
        <v>19985.239999999998</v>
      </c>
      <c r="Y18" s="164">
        <f t="shared" si="7"/>
        <v>8501920.9484000001</v>
      </c>
      <c r="Z18" s="92">
        <f>Y18/$Y$139</f>
        <v>3.7609347730651888E-3</v>
      </c>
      <c r="AA18" s="184"/>
      <c r="AB18" s="68"/>
      <c r="AC18" s="2"/>
      <c r="AD18" s="112"/>
    </row>
    <row r="19" spans="1:30" s="113" customFormat="1" x14ac:dyDescent="0.2">
      <c r="A19" s="138" t="s">
        <v>107</v>
      </c>
      <c r="B19" s="154" t="s">
        <v>117</v>
      </c>
      <c r="C19" s="55" t="s">
        <v>2</v>
      </c>
      <c r="D19" s="155" t="s">
        <v>126</v>
      </c>
      <c r="E19" s="155" t="s">
        <v>216</v>
      </c>
      <c r="F19" s="17">
        <v>35</v>
      </c>
      <c r="G19" s="140">
        <v>44363</v>
      </c>
      <c r="H19" s="140">
        <v>44365</v>
      </c>
      <c r="I19" s="139"/>
      <c r="J19" s="139"/>
      <c r="K19" s="139"/>
      <c r="L19" s="158">
        <v>425.63</v>
      </c>
      <c r="M19" s="158">
        <v>424.18</v>
      </c>
      <c r="N19" s="158">
        <v>454.21</v>
      </c>
      <c r="O19" s="158"/>
      <c r="P19" s="191">
        <f t="shared" si="3"/>
        <v>34.161875000000002</v>
      </c>
      <c r="Q19" s="191">
        <f t="shared" si="0"/>
        <v>14532.803243750002</v>
      </c>
      <c r="R19" s="141"/>
      <c r="S19" s="158">
        <v>-3617.855</v>
      </c>
      <c r="T19" s="156">
        <f t="shared" ref="T19" si="20">(N19-M19)*F19</f>
        <v>1051.049999999999</v>
      </c>
      <c r="U19" s="156">
        <f t="shared" ref="U19" si="21">T19*L19</f>
        <v>447358.41149999958</v>
      </c>
      <c r="V19" s="156">
        <f t="shared" ref="V19" si="22">($C$2-L19)*(F19*N19)</f>
        <v>-3497.4169999995297</v>
      </c>
      <c r="W19" s="156">
        <f t="shared" si="6"/>
        <v>454775.94274375006</v>
      </c>
      <c r="X19" s="142">
        <f t="shared" ref="X19" si="23">F19*N19</f>
        <v>15897.349999999999</v>
      </c>
      <c r="Y19" s="164">
        <f t="shared" si="7"/>
        <v>6762891.6634999998</v>
      </c>
      <c r="Z19" s="92">
        <f>Y19/$Y$139</f>
        <v>2.9916526603927635E-3</v>
      </c>
      <c r="AA19" s="184"/>
      <c r="AB19" s="68"/>
      <c r="AC19" s="2"/>
      <c r="AD19" s="112"/>
    </row>
    <row r="20" spans="1:30" s="225" customFormat="1" x14ac:dyDescent="0.2">
      <c r="A20" s="138" t="s">
        <v>107</v>
      </c>
      <c r="B20" s="154" t="s">
        <v>117</v>
      </c>
      <c r="C20" s="55" t="s">
        <v>2</v>
      </c>
      <c r="D20" s="155" t="s">
        <v>126</v>
      </c>
      <c r="E20" s="155" t="s">
        <v>216</v>
      </c>
      <c r="F20" s="17">
        <v>60</v>
      </c>
      <c r="G20" s="140">
        <v>44393</v>
      </c>
      <c r="H20" s="140">
        <v>44397</v>
      </c>
      <c r="I20" s="139"/>
      <c r="J20" s="139"/>
      <c r="K20" s="139"/>
      <c r="L20" s="158">
        <v>426.47</v>
      </c>
      <c r="M20" s="158">
        <v>435.56866666666667</v>
      </c>
      <c r="N20" s="158">
        <v>454.21</v>
      </c>
      <c r="O20" s="158"/>
      <c r="P20" s="191"/>
      <c r="Q20" s="191"/>
      <c r="R20" s="141"/>
      <c r="S20" s="158">
        <v>-3624.9949999999999</v>
      </c>
      <c r="T20" s="156">
        <f>(N20-M20)*F20</f>
        <v>1118.4799999999984</v>
      </c>
      <c r="U20" s="156">
        <f t="shared" ref="U20" si="24">T20*L20</f>
        <v>476998.16559999937</v>
      </c>
      <c r="V20" s="156">
        <f>($C$2-L20)*(F20*N20)</f>
        <v>-28887.756000000059</v>
      </c>
      <c r="W20" s="156">
        <f t="shared" ref="W20" si="25">Q20+U20+V20+S20</f>
        <v>444485.41459999932</v>
      </c>
      <c r="X20" s="142">
        <f t="shared" ref="X20" si="26">F20*N20</f>
        <v>27252.6</v>
      </c>
      <c r="Y20" s="164">
        <f t="shared" si="7"/>
        <v>11593528.566</v>
      </c>
      <c r="Z20" s="92">
        <f>Y20/$Y$139</f>
        <v>5.128547417816166E-3</v>
      </c>
      <c r="AA20" s="222"/>
      <c r="AB20" s="223"/>
      <c r="AC20" s="2"/>
      <c r="AD20" s="224"/>
    </row>
    <row r="21" spans="1:30" s="225" customFormat="1" x14ac:dyDescent="0.2">
      <c r="A21" s="138" t="s">
        <v>107</v>
      </c>
      <c r="B21" s="154" t="s">
        <v>117</v>
      </c>
      <c r="C21" s="55" t="s">
        <v>2</v>
      </c>
      <c r="D21" s="155" t="s">
        <v>126</v>
      </c>
      <c r="E21" s="155" t="s">
        <v>216</v>
      </c>
      <c r="F21" s="17">
        <v>37</v>
      </c>
      <c r="G21" s="140">
        <v>44399</v>
      </c>
      <c r="H21" s="140">
        <v>44403</v>
      </c>
      <c r="I21" s="139"/>
      <c r="J21" s="139"/>
      <c r="K21" s="139"/>
      <c r="L21" s="158">
        <v>425.71</v>
      </c>
      <c r="M21" s="158">
        <v>436.67</v>
      </c>
      <c r="N21" s="158">
        <v>454.21</v>
      </c>
      <c r="O21" s="158"/>
      <c r="P21" s="191"/>
      <c r="Q21" s="191"/>
      <c r="R21" s="141"/>
      <c r="S21" s="158">
        <v>-3618.54</v>
      </c>
      <c r="T21" s="156">
        <f t="shared" ref="T21" si="27">(N21-M21)*F21</f>
        <v>648.97999999999865</v>
      </c>
      <c r="U21" s="156">
        <f t="shared" ref="U21" si="28">T21*L21</f>
        <v>276277.27579999942</v>
      </c>
      <c r="V21" s="156">
        <f>($C$2-L21)*(F21*N21)</f>
        <v>-5041.7309999992358</v>
      </c>
      <c r="W21" s="156">
        <f t="shared" ref="W21" si="29">Q21+U21+V21+S21</f>
        <v>267617.00480000023</v>
      </c>
      <c r="X21" s="142">
        <f t="shared" ref="X21" si="30">F21*N21</f>
        <v>16805.77</v>
      </c>
      <c r="Y21" s="164">
        <f t="shared" si="7"/>
        <v>7149342.6157</v>
      </c>
      <c r="Z21" s="92">
        <f>Y21/$Y$139</f>
        <v>3.1626042409866359E-3</v>
      </c>
      <c r="AA21" s="222"/>
      <c r="AB21" s="223"/>
      <c r="AC21" s="2"/>
      <c r="AD21" s="224"/>
    </row>
    <row r="22" spans="1:30" s="225" customFormat="1" x14ac:dyDescent="0.2">
      <c r="A22" s="138" t="s">
        <v>107</v>
      </c>
      <c r="B22" s="154" t="s">
        <v>117</v>
      </c>
      <c r="C22" s="55" t="s">
        <v>2</v>
      </c>
      <c r="D22" s="155" t="s">
        <v>126</v>
      </c>
      <c r="E22" s="155" t="s">
        <v>216</v>
      </c>
      <c r="F22" s="17">
        <v>33</v>
      </c>
      <c r="G22" s="140">
        <v>44414</v>
      </c>
      <c r="H22" s="140">
        <v>44418</v>
      </c>
      <c r="I22" s="139"/>
      <c r="J22" s="139"/>
      <c r="K22" s="139"/>
      <c r="L22" s="158">
        <v>424.32</v>
      </c>
      <c r="M22" s="158">
        <v>444.15</v>
      </c>
      <c r="N22" s="158">
        <v>454.21</v>
      </c>
      <c r="O22" s="158"/>
      <c r="P22" s="191"/>
      <c r="Q22" s="191"/>
      <c r="R22" s="141"/>
      <c r="S22" s="158">
        <v>-3606.72</v>
      </c>
      <c r="T22" s="156">
        <f t="shared" ref="T22" si="31">(N22-M22)*F22</f>
        <v>331.98000000000008</v>
      </c>
      <c r="U22" s="156">
        <f t="shared" ref="U22" si="32">T22*L22</f>
        <v>140865.75360000003</v>
      </c>
      <c r="V22" s="156">
        <f>($C$2-L22)*(F22*N22)</f>
        <v>16337.933700000476</v>
      </c>
      <c r="W22" s="156">
        <f t="shared" ref="W22" si="33">Q22+U22+V22+S22</f>
        <v>153596.96730000051</v>
      </c>
      <c r="X22" s="142">
        <f t="shared" ref="X22" si="34">F22*N22</f>
        <v>14988.929999999998</v>
      </c>
      <c r="Y22" s="164">
        <f t="shared" si="7"/>
        <v>6376440.7112999996</v>
      </c>
      <c r="Z22" s="92">
        <f>Y22/$Y$139</f>
        <v>2.8207010797988911E-3</v>
      </c>
      <c r="AA22" s="222"/>
      <c r="AB22" s="223"/>
      <c r="AC22" s="2"/>
      <c r="AD22" s="224"/>
    </row>
    <row r="23" spans="1:30" s="225" customFormat="1" x14ac:dyDescent="0.2">
      <c r="A23" s="138" t="s">
        <v>107</v>
      </c>
      <c r="B23" s="154" t="s">
        <v>117</v>
      </c>
      <c r="C23" s="55" t="s">
        <v>2</v>
      </c>
      <c r="D23" s="155" t="s">
        <v>126</v>
      </c>
      <c r="E23" s="155" t="s">
        <v>216</v>
      </c>
      <c r="F23" s="17">
        <v>40</v>
      </c>
      <c r="G23" s="140">
        <v>44427</v>
      </c>
      <c r="H23" s="140">
        <v>44431</v>
      </c>
      <c r="I23" s="139"/>
      <c r="J23" s="139"/>
      <c r="K23" s="139"/>
      <c r="L23" s="158">
        <v>426.66</v>
      </c>
      <c r="M23" s="158">
        <f>17583.98/40</f>
        <v>439.59949999999998</v>
      </c>
      <c r="N23" s="158">
        <v>454.21</v>
      </c>
      <c r="O23" s="158"/>
      <c r="P23" s="191"/>
      <c r="Q23" s="191"/>
      <c r="R23" s="141"/>
      <c r="S23" s="158">
        <f>-8.5*L23</f>
        <v>-3626.61</v>
      </c>
      <c r="T23" s="156">
        <f t="shared" ref="T23" si="35">(N23-M23)*F23</f>
        <v>584.42000000000007</v>
      </c>
      <c r="U23" s="156">
        <f t="shared" ref="U23" si="36">T23*L23</f>
        <v>249348.63720000006</v>
      </c>
      <c r="V23" s="156">
        <f>($C$2-L23)*(F23*N23)</f>
        <v>-22710.499999999996</v>
      </c>
      <c r="W23" s="156">
        <f t="shared" ref="W23" si="37">Q23+U23+V23+S23</f>
        <v>223011.52720000007</v>
      </c>
      <c r="X23" s="142">
        <f t="shared" ref="X23" si="38">F23*N23</f>
        <v>18168.399999999998</v>
      </c>
      <c r="Y23" s="164">
        <f t="shared" si="7"/>
        <v>7729019.0439999998</v>
      </c>
      <c r="Z23" s="92">
        <f>Y23/$Y$139</f>
        <v>3.419031611877444E-3</v>
      </c>
      <c r="AA23" s="222"/>
      <c r="AB23" s="223"/>
      <c r="AC23" s="2"/>
      <c r="AD23" s="224"/>
    </row>
    <row r="24" spans="1:30" x14ac:dyDescent="0.2">
      <c r="A24" s="138" t="s">
        <v>108</v>
      </c>
      <c r="B24" s="154" t="s">
        <v>118</v>
      </c>
      <c r="C24" s="55" t="s">
        <v>2</v>
      </c>
      <c r="D24" s="155" t="s">
        <v>126</v>
      </c>
      <c r="E24" s="155" t="s">
        <v>216</v>
      </c>
      <c r="F24" s="17">
        <v>143</v>
      </c>
      <c r="G24" s="140">
        <v>44280</v>
      </c>
      <c r="H24" s="140">
        <v>44284</v>
      </c>
      <c r="I24" s="139"/>
      <c r="J24" s="139"/>
      <c r="K24" s="139"/>
      <c r="L24" s="158">
        <v>423.36</v>
      </c>
      <c r="M24" s="158">
        <v>85.45</v>
      </c>
      <c r="N24" s="158">
        <v>101.64</v>
      </c>
      <c r="O24" s="158"/>
      <c r="P24" s="191">
        <f>129.6/789*F24</f>
        <v>23.48897338403042</v>
      </c>
      <c r="Q24" s="191">
        <f t="shared" ref="Q24:Q29" si="39">P24*$C$2</f>
        <v>9992.4441673003821</v>
      </c>
      <c r="R24" s="141"/>
      <c r="S24" s="158">
        <v>-1164.24</v>
      </c>
      <c r="T24" s="156">
        <f t="shared" si="1"/>
        <v>2315.1699999999996</v>
      </c>
      <c r="U24" s="156">
        <f t="shared" si="4"/>
        <v>980150.37119999982</v>
      </c>
      <c r="V24" s="156">
        <f t="shared" si="5"/>
        <v>29795.766000000167</v>
      </c>
      <c r="W24" s="156">
        <f t="shared" si="6"/>
        <v>1018774.3413673004</v>
      </c>
      <c r="X24" s="142">
        <f t="shared" si="2"/>
        <v>14534.52</v>
      </c>
      <c r="Y24" s="164">
        <f t="shared" si="7"/>
        <v>6183130.1531999996</v>
      </c>
      <c r="Z24" s="92">
        <f>Y24/$Y$139</f>
        <v>2.7351876523780271E-3</v>
      </c>
      <c r="AA24" s="13"/>
      <c r="AC24" s="2"/>
      <c r="AD24" s="2"/>
    </row>
    <row r="25" spans="1:30" x14ac:dyDescent="0.2">
      <c r="A25" s="138" t="s">
        <v>108</v>
      </c>
      <c r="B25" s="154" t="s">
        <v>118</v>
      </c>
      <c r="C25" s="55" t="s">
        <v>2</v>
      </c>
      <c r="D25" s="155" t="s">
        <v>126</v>
      </c>
      <c r="E25" s="155" t="s">
        <v>216</v>
      </c>
      <c r="F25" s="17">
        <v>140</v>
      </c>
      <c r="G25" s="140">
        <v>44280</v>
      </c>
      <c r="H25" s="140">
        <v>44284</v>
      </c>
      <c r="I25" s="139"/>
      <c r="J25" s="139"/>
      <c r="K25" s="139"/>
      <c r="L25" s="158">
        <v>423.36</v>
      </c>
      <c r="M25" s="158">
        <v>85.15</v>
      </c>
      <c r="N25" s="158">
        <v>101.64</v>
      </c>
      <c r="O25" s="158"/>
      <c r="P25" s="191">
        <f t="shared" ref="P25:P29" si="40">129.6/789*F25</f>
        <v>22.99619771863118</v>
      </c>
      <c r="Q25" s="191">
        <f t="shared" si="39"/>
        <v>9782.81247148289</v>
      </c>
      <c r="R25" s="141"/>
      <c r="S25" s="158">
        <v>-1134.6048000000001</v>
      </c>
      <c r="T25" s="156">
        <f t="shared" si="1"/>
        <v>2308.5999999999995</v>
      </c>
      <c r="U25" s="156">
        <f t="shared" si="4"/>
        <v>977368.89599999983</v>
      </c>
      <c r="V25" s="156">
        <f t="shared" si="5"/>
        <v>29170.680000000164</v>
      </c>
      <c r="W25" s="156">
        <f t="shared" si="6"/>
        <v>1015187.7836714829</v>
      </c>
      <c r="X25" s="142">
        <f t="shared" si="2"/>
        <v>14229.6</v>
      </c>
      <c r="Y25" s="164">
        <f t="shared" si="7"/>
        <v>6053414.1359999999</v>
      </c>
      <c r="Z25" s="92">
        <f>Y25/$Y$139</f>
        <v>2.6778060932372296E-3</v>
      </c>
      <c r="AA25" s="13"/>
      <c r="AC25" s="2"/>
      <c r="AD25" s="2"/>
    </row>
    <row r="26" spans="1:30" x14ac:dyDescent="0.2">
      <c r="A26" s="138" t="s">
        <v>108</v>
      </c>
      <c r="B26" s="154" t="s">
        <v>118</v>
      </c>
      <c r="C26" s="55" t="s">
        <v>2</v>
      </c>
      <c r="D26" s="155" t="s">
        <v>126</v>
      </c>
      <c r="E26" s="155" t="s">
        <v>216</v>
      </c>
      <c r="F26" s="17">
        <v>164</v>
      </c>
      <c r="G26" s="140">
        <v>44293</v>
      </c>
      <c r="H26" s="140">
        <v>44295</v>
      </c>
      <c r="I26" s="139"/>
      <c r="J26" s="139"/>
      <c r="K26" s="139"/>
      <c r="L26" s="158">
        <v>430.77</v>
      </c>
      <c r="M26" s="158">
        <v>89.78</v>
      </c>
      <c r="N26" s="158">
        <v>101.64</v>
      </c>
      <c r="O26" s="158"/>
      <c r="P26" s="191">
        <f t="shared" si="40"/>
        <v>26.938403041825097</v>
      </c>
      <c r="Q26" s="191">
        <f t="shared" si="39"/>
        <v>11459.866038022816</v>
      </c>
      <c r="R26" s="141"/>
      <c r="S26" s="158">
        <v>-3661.5450000000001</v>
      </c>
      <c r="T26" s="156">
        <f t="shared" ref="T26" si="41">(N26-M26)*F26</f>
        <v>1945.04</v>
      </c>
      <c r="U26" s="156">
        <f t="shared" ref="U26" si="42">T26*L26</f>
        <v>837864.88079999993</v>
      </c>
      <c r="V26" s="156">
        <f t="shared" ref="V26" si="43">($C$2-L26)*(F26*N26)</f>
        <v>-89345.625599999272</v>
      </c>
      <c r="W26" s="156">
        <f t="shared" si="6"/>
        <v>756317.57623802347</v>
      </c>
      <c r="X26" s="142">
        <f t="shared" ref="X26" si="44">F26*N26</f>
        <v>16668.96</v>
      </c>
      <c r="Y26" s="164">
        <f t="shared" si="7"/>
        <v>7091142.2736</v>
      </c>
      <c r="Z26" s="92">
        <f>Y26/$Y$139</f>
        <v>3.1368585663636116E-3</v>
      </c>
      <c r="AA26" s="13"/>
      <c r="AC26" s="2"/>
      <c r="AD26" s="2"/>
    </row>
    <row r="27" spans="1:30" x14ac:dyDescent="0.2">
      <c r="A27" s="138" t="s">
        <v>108</v>
      </c>
      <c r="B27" s="154" t="s">
        <v>118</v>
      </c>
      <c r="C27" s="55" t="s">
        <v>2</v>
      </c>
      <c r="D27" s="155" t="s">
        <v>126</v>
      </c>
      <c r="E27" s="155" t="s">
        <v>216</v>
      </c>
      <c r="F27" s="17">
        <v>141</v>
      </c>
      <c r="G27" s="140">
        <v>44307</v>
      </c>
      <c r="H27" s="140">
        <v>44309</v>
      </c>
      <c r="I27" s="139"/>
      <c r="J27" s="139"/>
      <c r="K27" s="139"/>
      <c r="L27" s="158">
        <v>432.01</v>
      </c>
      <c r="M27" s="158">
        <v>91.57</v>
      </c>
      <c r="N27" s="158">
        <v>101.64</v>
      </c>
      <c r="O27" s="158"/>
      <c r="P27" s="191">
        <f t="shared" si="40"/>
        <v>23.160456273764261</v>
      </c>
      <c r="Q27" s="191">
        <f t="shared" si="39"/>
        <v>9852.6897034220547</v>
      </c>
      <c r="R27" s="141"/>
      <c r="S27" s="158">
        <v>-3672.085</v>
      </c>
      <c r="T27" s="156">
        <f t="shared" ref="T27" si="45">(N27-M27)*F27</f>
        <v>1419.870000000001</v>
      </c>
      <c r="U27" s="156">
        <f t="shared" ref="U27" si="46">T27*L27</f>
        <v>613398.03870000038</v>
      </c>
      <c r="V27" s="156">
        <f t="shared" ref="V27" si="47">($C$2-L27)*(F27*N27)</f>
        <v>-94586.183999999514</v>
      </c>
      <c r="W27" s="156">
        <f t="shared" si="6"/>
        <v>524992.45940342289</v>
      </c>
      <c r="X27" s="142">
        <f t="shared" ref="X27" si="48">F27*N27</f>
        <v>14331.24</v>
      </c>
      <c r="Y27" s="164">
        <f t="shared" si="7"/>
        <v>6096652.8084000004</v>
      </c>
      <c r="Z27" s="92">
        <f>Y27/$Y$139</f>
        <v>2.6969332796174957E-3</v>
      </c>
      <c r="AA27" s="13"/>
      <c r="AC27" s="2"/>
      <c r="AD27" s="2"/>
    </row>
    <row r="28" spans="1:30" x14ac:dyDescent="0.2">
      <c r="A28" s="138" t="s">
        <v>108</v>
      </c>
      <c r="B28" s="154" t="s">
        <v>118</v>
      </c>
      <c r="C28" s="55" t="s">
        <v>2</v>
      </c>
      <c r="D28" s="155" t="s">
        <v>126</v>
      </c>
      <c r="E28" s="155" t="s">
        <v>216</v>
      </c>
      <c r="F28" s="17">
        <v>132</v>
      </c>
      <c r="G28" s="140">
        <v>44321</v>
      </c>
      <c r="H28" s="140">
        <v>44323</v>
      </c>
      <c r="I28" s="139"/>
      <c r="J28" s="139"/>
      <c r="K28" s="139"/>
      <c r="L28" s="158">
        <v>426.85</v>
      </c>
      <c r="M28" s="158">
        <v>91.89</v>
      </c>
      <c r="N28" s="158">
        <v>101.64</v>
      </c>
      <c r="O28" s="158"/>
      <c r="P28" s="191">
        <f t="shared" si="40"/>
        <v>21.682129277566542</v>
      </c>
      <c r="Q28" s="191">
        <f t="shared" si="39"/>
        <v>9223.7946159695839</v>
      </c>
      <c r="R28" s="141"/>
      <c r="S28" s="158">
        <v>-3628.2249999999999</v>
      </c>
      <c r="T28" s="156">
        <f t="shared" ref="T28" si="49">(N28-M28)*F28</f>
        <v>1287</v>
      </c>
      <c r="U28" s="156">
        <f t="shared" ref="U28" si="50">T28*L28</f>
        <v>549355.95000000007</v>
      </c>
      <c r="V28" s="156">
        <f t="shared" ref="V28" si="51">($C$2-L28)*(F28*N28)</f>
        <v>-19319.731199999969</v>
      </c>
      <c r="W28" s="156">
        <f t="shared" si="6"/>
        <v>535631.7884159697</v>
      </c>
      <c r="X28" s="142">
        <f t="shared" ref="X28" si="52">F28*N28</f>
        <v>13416.48</v>
      </c>
      <c r="Y28" s="164">
        <f t="shared" si="7"/>
        <v>5707504.7567999996</v>
      </c>
      <c r="Z28" s="92">
        <f>Y28/$Y$139</f>
        <v>2.524788602195102E-3</v>
      </c>
      <c r="AA28" s="13"/>
      <c r="AC28" s="2"/>
      <c r="AD28" s="2"/>
    </row>
    <row r="29" spans="1:30" x14ac:dyDescent="0.2">
      <c r="A29" s="138" t="s">
        <v>108</v>
      </c>
      <c r="B29" s="154" t="s">
        <v>118</v>
      </c>
      <c r="C29" s="55" t="s">
        <v>2</v>
      </c>
      <c r="D29" s="155" t="s">
        <v>126</v>
      </c>
      <c r="E29" s="155" t="s">
        <v>216</v>
      </c>
      <c r="F29" s="17">
        <v>69</v>
      </c>
      <c r="G29" s="140">
        <v>44343</v>
      </c>
      <c r="H29" s="140">
        <v>44347</v>
      </c>
      <c r="I29" s="139"/>
      <c r="J29" s="139"/>
      <c r="K29" s="139"/>
      <c r="L29" s="158">
        <v>428.48</v>
      </c>
      <c r="M29" s="158">
        <v>92.99</v>
      </c>
      <c r="N29" s="158">
        <v>101.64</v>
      </c>
      <c r="O29" s="158"/>
      <c r="P29" s="191">
        <f t="shared" si="40"/>
        <v>11.333840304182511</v>
      </c>
      <c r="Q29" s="191">
        <f t="shared" si="39"/>
        <v>4821.5290038022822</v>
      </c>
      <c r="R29" s="141"/>
      <c r="S29" s="158">
        <v>-3642.08</v>
      </c>
      <c r="T29" s="156">
        <f t="shared" ref="T29" si="53">(N29-M29)*F29</f>
        <v>596.85000000000036</v>
      </c>
      <c r="U29" s="156">
        <f t="shared" ref="U29" si="54">T29*L29</f>
        <v>255738.28800000018</v>
      </c>
      <c r="V29" s="156">
        <f t="shared" ref="V29" si="55">($C$2-L29)*(F29*N29)</f>
        <v>-21530.401199999953</v>
      </c>
      <c r="W29" s="156">
        <f t="shared" si="6"/>
        <v>235387.3358038025</v>
      </c>
      <c r="X29" s="142">
        <f t="shared" ref="X29" si="56">F29*N29</f>
        <v>7013.16</v>
      </c>
      <c r="Y29" s="164">
        <f t="shared" si="7"/>
        <v>2983468.3955999999</v>
      </c>
      <c r="Z29" s="92">
        <f>Y29/$Y$139</f>
        <v>1.3197758602383487E-3</v>
      </c>
      <c r="AA29" s="13"/>
      <c r="AC29" s="2"/>
      <c r="AD29" s="2"/>
    </row>
    <row r="30" spans="1:30" x14ac:dyDescent="0.2">
      <c r="A30" s="138" t="s">
        <v>108</v>
      </c>
      <c r="B30" s="154" t="s">
        <v>118</v>
      </c>
      <c r="C30" s="55" t="s">
        <v>2</v>
      </c>
      <c r="D30" s="155" t="s">
        <v>126</v>
      </c>
      <c r="E30" s="155" t="s">
        <v>216</v>
      </c>
      <c r="F30" s="17">
        <v>102</v>
      </c>
      <c r="G30" s="140">
        <v>44414</v>
      </c>
      <c r="H30" s="140">
        <v>44418</v>
      </c>
      <c r="I30" s="139"/>
      <c r="J30" s="139"/>
      <c r="K30" s="139"/>
      <c r="L30" s="158">
        <v>424.32</v>
      </c>
      <c r="M30" s="158">
        <v>99.12</v>
      </c>
      <c r="N30" s="158">
        <v>101.64</v>
      </c>
      <c r="O30" s="158"/>
      <c r="P30" s="191"/>
      <c r="Q30" s="191"/>
      <c r="R30" s="141"/>
      <c r="S30" s="158">
        <v>-3606.72</v>
      </c>
      <c r="T30" s="156">
        <f t="shared" ref="T30" si="57">(N30-M30)*F30</f>
        <v>257.03999999999962</v>
      </c>
      <c r="U30" s="156">
        <f t="shared" ref="U30" si="58">T30*L30</f>
        <v>109067.21279999983</v>
      </c>
      <c r="V30" s="156">
        <f>($C$2-L30)*(F30*N30)</f>
        <v>11300.335200000331</v>
      </c>
      <c r="W30" s="156">
        <f t="shared" ref="W30" si="59">Q30+U30+V30+S30</f>
        <v>116760.82800000017</v>
      </c>
      <c r="X30" s="142">
        <f t="shared" ref="X30" si="60">F30*N30</f>
        <v>10367.280000000001</v>
      </c>
      <c r="Y30" s="164">
        <f t="shared" si="7"/>
        <v>4410344.5848000003</v>
      </c>
      <c r="Z30" s="92">
        <f>Y30/$Y$139</f>
        <v>1.9509730107871244E-3</v>
      </c>
      <c r="AA30" s="13"/>
      <c r="AC30" s="2"/>
      <c r="AD30" s="2"/>
    </row>
    <row r="31" spans="1:30" x14ac:dyDescent="0.2">
      <c r="A31" s="138" t="s">
        <v>109</v>
      </c>
      <c r="B31" s="154" t="s">
        <v>119</v>
      </c>
      <c r="C31" s="55" t="s">
        <v>2</v>
      </c>
      <c r="D31" s="155" t="s">
        <v>127</v>
      </c>
      <c r="E31" s="155" t="s">
        <v>216</v>
      </c>
      <c r="F31" s="17">
        <v>223</v>
      </c>
      <c r="G31" s="140">
        <v>44280</v>
      </c>
      <c r="H31" s="140">
        <v>44284</v>
      </c>
      <c r="I31" s="139"/>
      <c r="J31" s="139"/>
      <c r="K31" s="139"/>
      <c r="L31" s="158">
        <v>423.36</v>
      </c>
      <c r="M31" s="158">
        <v>27.01</v>
      </c>
      <c r="N31" s="158">
        <v>26.51</v>
      </c>
      <c r="O31" s="158"/>
      <c r="P31" s="191">
        <f>286.71/1081*F31</f>
        <v>59.14554116558741</v>
      </c>
      <c r="Q31" s="191">
        <f t="shared" ref="Q31:Q35" si="61">P31*$C$2</f>
        <v>25161.104667252541</v>
      </c>
      <c r="R31" s="141"/>
      <c r="S31" s="158">
        <v>-571.53599999999994</v>
      </c>
      <c r="T31" s="156">
        <f t="shared" si="1"/>
        <v>-111.5</v>
      </c>
      <c r="U31" s="156">
        <f t="shared" si="4"/>
        <v>-47204.639999999999</v>
      </c>
      <c r="V31" s="156">
        <f t="shared" si="5"/>
        <v>12119.046500000068</v>
      </c>
      <c r="W31" s="156">
        <f t="shared" si="6"/>
        <v>-10496.024832747391</v>
      </c>
      <c r="X31" s="142">
        <f t="shared" si="2"/>
        <v>5911.7300000000005</v>
      </c>
      <c r="Y31" s="164">
        <f t="shared" si="7"/>
        <v>2514909.0592999998</v>
      </c>
      <c r="Z31" s="92">
        <f>Y31/$Y$139</f>
        <v>1.1125025731976532E-3</v>
      </c>
      <c r="AA31" s="13"/>
      <c r="AC31" s="2"/>
      <c r="AD31" s="2"/>
    </row>
    <row r="32" spans="1:30" x14ac:dyDescent="0.2">
      <c r="A32" s="138" t="s">
        <v>109</v>
      </c>
      <c r="B32" s="154" t="s">
        <v>119</v>
      </c>
      <c r="C32" s="55" t="s">
        <v>2</v>
      </c>
      <c r="D32" s="155" t="s">
        <v>127</v>
      </c>
      <c r="E32" s="155" t="s">
        <v>216</v>
      </c>
      <c r="F32" s="17">
        <v>218</v>
      </c>
      <c r="G32" s="140">
        <v>44280</v>
      </c>
      <c r="H32" s="140">
        <v>44284</v>
      </c>
      <c r="I32" s="139"/>
      <c r="J32" s="139"/>
      <c r="K32" s="139"/>
      <c r="L32" s="158">
        <v>423.36</v>
      </c>
      <c r="M32" s="158">
        <v>27.1</v>
      </c>
      <c r="N32" s="158">
        <v>26.51</v>
      </c>
      <c r="O32" s="158"/>
      <c r="P32" s="191">
        <f t="shared" ref="P32:P35" si="62">286.71/1081*F32</f>
        <v>57.81940795559666</v>
      </c>
      <c r="Q32" s="191">
        <f t="shared" si="61"/>
        <v>24596.954338390377</v>
      </c>
      <c r="R32" s="141"/>
      <c r="S32" s="158">
        <v>-563.06880000000001</v>
      </c>
      <c r="T32" s="156">
        <f t="shared" si="1"/>
        <v>-128.61999999999998</v>
      </c>
      <c r="U32" s="156">
        <f t="shared" si="4"/>
        <v>-54452.56319999999</v>
      </c>
      <c r="V32" s="156">
        <f t="shared" si="5"/>
        <v>11847.319000000067</v>
      </c>
      <c r="W32" s="156">
        <f t="shared" si="6"/>
        <v>-18571.358661609549</v>
      </c>
      <c r="X32" s="142">
        <f t="shared" si="2"/>
        <v>5779.18</v>
      </c>
      <c r="Y32" s="164">
        <f t="shared" si="7"/>
        <v>2458520.9638</v>
      </c>
      <c r="Z32" s="92">
        <f>Y32/$Y$139</f>
        <v>1.0875585693142977E-3</v>
      </c>
      <c r="AA32" s="13"/>
      <c r="AC32" s="2"/>
      <c r="AD32" s="2"/>
    </row>
    <row r="33" spans="1:30" x14ac:dyDescent="0.2">
      <c r="A33" s="138" t="s">
        <v>109</v>
      </c>
      <c r="B33" s="154" t="s">
        <v>119</v>
      </c>
      <c r="C33" s="55" t="s">
        <v>2</v>
      </c>
      <c r="D33" s="155" t="s">
        <v>127</v>
      </c>
      <c r="E33" s="155" t="s">
        <v>216</v>
      </c>
      <c r="F33" s="17">
        <v>255</v>
      </c>
      <c r="G33" s="140">
        <v>44293</v>
      </c>
      <c r="H33" s="140">
        <v>44295</v>
      </c>
      <c r="I33" s="139"/>
      <c r="J33" s="139"/>
      <c r="K33" s="139"/>
      <c r="L33" s="158">
        <v>430.77</v>
      </c>
      <c r="M33" s="158">
        <v>28.47</v>
      </c>
      <c r="N33" s="158">
        <v>26.51</v>
      </c>
      <c r="O33" s="158"/>
      <c r="P33" s="191">
        <f t="shared" si="62"/>
        <v>67.632793709528201</v>
      </c>
      <c r="Q33" s="191">
        <f t="shared" si="61"/>
        <v>28771.666771970395</v>
      </c>
      <c r="R33" s="141"/>
      <c r="S33" s="158">
        <v>-3661.5450000000001</v>
      </c>
      <c r="T33" s="156">
        <f t="shared" ref="T33" si="63">(N33-M33)*F33</f>
        <v>-499.79999999999933</v>
      </c>
      <c r="U33" s="156">
        <f t="shared" ref="U33" si="64">T33*L33</f>
        <v>-215298.8459999997</v>
      </c>
      <c r="V33" s="156">
        <f t="shared" ref="V33" si="65">($C$2-L33)*(F33*N33)</f>
        <v>-36233.867999999711</v>
      </c>
      <c r="W33" s="156">
        <f t="shared" si="6"/>
        <v>-226422.59222802901</v>
      </c>
      <c r="X33" s="142">
        <f t="shared" ref="X33" si="66">F33*N33</f>
        <v>6760.05</v>
      </c>
      <c r="Y33" s="164">
        <f t="shared" si="7"/>
        <v>2875792.8705000002</v>
      </c>
      <c r="Z33" s="92">
        <f>Y33/$Y$139</f>
        <v>1.2721441980511282E-3</v>
      </c>
      <c r="AA33" s="13"/>
      <c r="AC33" s="2"/>
      <c r="AD33" s="2"/>
    </row>
    <row r="34" spans="1:30" x14ac:dyDescent="0.2">
      <c r="A34" s="138" t="s">
        <v>109</v>
      </c>
      <c r="B34" s="154" t="s">
        <v>119</v>
      </c>
      <c r="C34" s="55" t="s">
        <v>2</v>
      </c>
      <c r="D34" s="155" t="s">
        <v>127</v>
      </c>
      <c r="E34" s="155" t="s">
        <v>216</v>
      </c>
      <c r="F34" s="17">
        <v>210</v>
      </c>
      <c r="G34" s="140">
        <v>44307</v>
      </c>
      <c r="H34" s="140">
        <v>44309</v>
      </c>
      <c r="I34" s="139"/>
      <c r="J34" s="139"/>
      <c r="K34" s="139"/>
      <c r="L34" s="158">
        <v>432.01</v>
      </c>
      <c r="M34" s="158">
        <v>30.73</v>
      </c>
      <c r="N34" s="158">
        <v>26.51</v>
      </c>
      <c r="O34" s="158"/>
      <c r="P34" s="191">
        <f t="shared" si="62"/>
        <v>55.69759481961146</v>
      </c>
      <c r="Q34" s="191">
        <f t="shared" si="61"/>
        <v>23694.313812210912</v>
      </c>
      <c r="R34" s="141"/>
      <c r="S34" s="158">
        <v>-3672.085</v>
      </c>
      <c r="T34" s="156">
        <f t="shared" ref="T34" si="67">(N34-M34)*F34</f>
        <v>-886.19999999999982</v>
      </c>
      <c r="U34" s="156">
        <f t="shared" ref="U34" si="68">T34*L34</f>
        <v>-382847.26199999993</v>
      </c>
      <c r="V34" s="156">
        <f t="shared" ref="V34" si="69">($C$2-L34)*(F34*N34)</f>
        <v>-36742.859999999811</v>
      </c>
      <c r="W34" s="156">
        <f t="shared" si="6"/>
        <v>-399567.89318778884</v>
      </c>
      <c r="X34" s="142">
        <f t="shared" ref="X34" si="70">F34*N34</f>
        <v>5567.1</v>
      </c>
      <c r="Y34" s="164">
        <f t="shared" si="7"/>
        <v>2368300.0109999999</v>
      </c>
      <c r="Z34" s="92">
        <f>Y34/$Y$139</f>
        <v>1.047648163100929E-3</v>
      </c>
      <c r="AA34" s="13"/>
      <c r="AC34" s="2"/>
      <c r="AD34" s="2"/>
    </row>
    <row r="35" spans="1:30" x14ac:dyDescent="0.2">
      <c r="A35" s="138" t="s">
        <v>109</v>
      </c>
      <c r="B35" s="154" t="s">
        <v>119</v>
      </c>
      <c r="C35" s="55" t="s">
        <v>2</v>
      </c>
      <c r="D35" s="155" t="s">
        <v>127</v>
      </c>
      <c r="E35" s="155" t="s">
        <v>216</v>
      </c>
      <c r="F35" s="17">
        <v>175</v>
      </c>
      <c r="G35" s="140">
        <v>44321</v>
      </c>
      <c r="H35" s="140">
        <v>44323</v>
      </c>
      <c r="I35" s="139"/>
      <c r="J35" s="139"/>
      <c r="K35" s="139"/>
      <c r="L35" s="158">
        <v>426.85</v>
      </c>
      <c r="M35" s="158">
        <v>29.56</v>
      </c>
      <c r="N35" s="158">
        <v>26.51</v>
      </c>
      <c r="O35" s="158"/>
      <c r="P35" s="191">
        <f t="shared" si="62"/>
        <v>46.41466234967622</v>
      </c>
      <c r="Q35" s="191">
        <f t="shared" si="61"/>
        <v>19745.261510175762</v>
      </c>
      <c r="R35" s="141"/>
      <c r="S35" s="158">
        <v>-3628.2249999999999</v>
      </c>
      <c r="T35" s="156">
        <f t="shared" ref="T35" si="71">(N35-M35)*F35</f>
        <v>-533.74999999999955</v>
      </c>
      <c r="U35" s="156">
        <f>T35*L35</f>
        <v>-227831.18749999983</v>
      </c>
      <c r="V35" s="156">
        <f t="shared" ref="V35" si="72">($C$2-L35)*(F35*N35)</f>
        <v>-6680.5199999999895</v>
      </c>
      <c r="W35" s="156">
        <f t="shared" si="6"/>
        <v>-218394.67098982405</v>
      </c>
      <c r="X35" s="142">
        <f t="shared" ref="X35" si="73">F35*N35</f>
        <v>4639.25</v>
      </c>
      <c r="Y35" s="164">
        <f t="shared" si="7"/>
        <v>1973583.3425</v>
      </c>
      <c r="Z35" s="92">
        <f>Y35/$Y$139</f>
        <v>8.7304013591744088E-4</v>
      </c>
      <c r="AA35" s="13"/>
      <c r="AC35" s="2"/>
      <c r="AD35" s="2"/>
    </row>
    <row r="36" spans="1:30" s="225" customFormat="1" x14ac:dyDescent="0.2">
      <c r="A36" s="138" t="s">
        <v>109</v>
      </c>
      <c r="B36" s="154" t="s">
        <v>119</v>
      </c>
      <c r="C36" s="55" t="s">
        <v>2</v>
      </c>
      <c r="D36" s="155" t="s">
        <v>127</v>
      </c>
      <c r="E36" s="155" t="s">
        <v>216</v>
      </c>
      <c r="F36" s="17">
        <v>364</v>
      </c>
      <c r="G36" s="140">
        <v>44393</v>
      </c>
      <c r="H36" s="140">
        <v>44397</v>
      </c>
      <c r="I36" s="139"/>
      <c r="J36" s="139"/>
      <c r="K36" s="139"/>
      <c r="L36" s="158">
        <v>426.47</v>
      </c>
      <c r="M36" s="158">
        <v>28.29</v>
      </c>
      <c r="N36" s="158">
        <v>26.51</v>
      </c>
      <c r="O36" s="158"/>
      <c r="P36" s="191">
        <v>0</v>
      </c>
      <c r="Q36" s="191">
        <f t="shared" ref="Q36" si="74">P36*$C$2</f>
        <v>0</v>
      </c>
      <c r="R36" s="141"/>
      <c r="S36" s="158">
        <v>-3624.9949999999999</v>
      </c>
      <c r="T36" s="156">
        <f t="shared" ref="T36" si="75">(N36-M36)*F36</f>
        <v>-647.91999999999916</v>
      </c>
      <c r="U36" s="156">
        <f>T36*L36</f>
        <v>-276318.44239999965</v>
      </c>
      <c r="V36" s="156">
        <f>($C$2-L36)*(F36*N36)</f>
        <v>-10228.618400000023</v>
      </c>
      <c r="W36" s="156">
        <f t="shared" ref="W36" si="76">Q36+U36+V36+S36</f>
        <v>-290172.05579999968</v>
      </c>
      <c r="X36" s="142">
        <f>F36*N36</f>
        <v>9649.6400000000012</v>
      </c>
      <c r="Y36" s="164">
        <f t="shared" si="7"/>
        <v>4105053.3524000002</v>
      </c>
      <c r="Z36" s="92">
        <f>Y36/$Y$139</f>
        <v>1.8159234827082771E-3</v>
      </c>
      <c r="AA36" s="222"/>
      <c r="AB36" s="223"/>
      <c r="AC36" s="2"/>
      <c r="AD36" s="224"/>
    </row>
    <row r="37" spans="1:30" x14ac:dyDescent="0.2">
      <c r="A37" s="138" t="s">
        <v>110</v>
      </c>
      <c r="B37" s="154" t="s">
        <v>120</v>
      </c>
      <c r="C37" s="55" t="s">
        <v>2</v>
      </c>
      <c r="D37" s="155" t="s">
        <v>128</v>
      </c>
      <c r="E37" s="155" t="s">
        <v>216</v>
      </c>
      <c r="F37" s="17">
        <v>1475</v>
      </c>
      <c r="G37" s="140">
        <v>44280</v>
      </c>
      <c r="H37" s="140">
        <v>44284</v>
      </c>
      <c r="I37" s="139"/>
      <c r="J37" s="139"/>
      <c r="K37" s="139"/>
      <c r="L37" s="158">
        <v>423.36</v>
      </c>
      <c r="M37" s="158">
        <v>28.45</v>
      </c>
      <c r="N37" s="158">
        <v>29.95</v>
      </c>
      <c r="O37" s="158"/>
      <c r="P37" s="193">
        <f>ROUND((F37*0.320671)-(F37*0.320671)*15%,2)</f>
        <v>402.04</v>
      </c>
      <c r="Q37" s="191">
        <f>P37*$C$2</f>
        <v>171031.83640000003</v>
      </c>
      <c r="R37" s="141"/>
      <c r="S37" s="158">
        <v>-3996.5183999999999</v>
      </c>
      <c r="T37" s="156">
        <f t="shared" si="1"/>
        <v>2212.5</v>
      </c>
      <c r="U37" s="156">
        <f t="shared" si="4"/>
        <v>936684</v>
      </c>
      <c r="V37" s="156">
        <f t="shared" si="5"/>
        <v>90561.312500000509</v>
      </c>
      <c r="W37" s="156">
        <f t="shared" si="6"/>
        <v>1194280.6305000004</v>
      </c>
      <c r="X37" s="142">
        <f t="shared" si="2"/>
        <v>44176.25</v>
      </c>
      <c r="Y37" s="164">
        <f t="shared" si="7"/>
        <v>18793018.512499999</v>
      </c>
      <c r="Z37" s="92">
        <f>Y37/$Y$139</f>
        <v>8.3133349796460296E-3</v>
      </c>
      <c r="AA37" s="13"/>
      <c r="AC37" s="2"/>
      <c r="AD37" s="2"/>
    </row>
    <row r="38" spans="1:30" x14ac:dyDescent="0.2">
      <c r="A38" s="138" t="s">
        <v>110</v>
      </c>
      <c r="B38" s="154" t="s">
        <v>120</v>
      </c>
      <c r="C38" s="55" t="s">
        <v>2</v>
      </c>
      <c r="D38" s="155" t="s">
        <v>128</v>
      </c>
      <c r="E38" s="155" t="s">
        <v>216</v>
      </c>
      <c r="F38" s="17">
        <v>1507</v>
      </c>
      <c r="G38" s="140">
        <v>44280</v>
      </c>
      <c r="H38" s="140">
        <v>44284</v>
      </c>
      <c r="I38" s="139"/>
      <c r="J38" s="139"/>
      <c r="K38" s="139"/>
      <c r="L38" s="158">
        <v>423.36</v>
      </c>
      <c r="M38" s="158">
        <v>28.535003317849998</v>
      </c>
      <c r="N38" s="158">
        <v>29.95</v>
      </c>
      <c r="O38" s="158"/>
      <c r="P38" s="193">
        <f t="shared" ref="P38:P42" si="77">ROUND((F38*0.320671)-(F38*0.320671)*15%,2)</f>
        <v>410.76</v>
      </c>
      <c r="Q38" s="191">
        <f t="shared" ref="Q38:Q64" si="78">P38*$C$2</f>
        <v>174741.41159999999</v>
      </c>
      <c r="R38" s="141"/>
      <c r="S38" s="158">
        <v>-4098.1247999999996</v>
      </c>
      <c r="T38" s="156">
        <f t="shared" si="1"/>
        <v>2132.4000000000515</v>
      </c>
      <c r="U38" s="156">
        <f t="shared" si="4"/>
        <v>902772.86400002183</v>
      </c>
      <c r="V38" s="156">
        <f t="shared" si="5"/>
        <v>92526.03250000051</v>
      </c>
      <c r="W38" s="156">
        <f t="shared" si="6"/>
        <v>1165942.183300022</v>
      </c>
      <c r="X38" s="142">
        <f>F38*N38</f>
        <v>45134.65</v>
      </c>
      <c r="Y38" s="164">
        <f t="shared" si="7"/>
        <v>19200731.456500001</v>
      </c>
      <c r="Z38" s="92">
        <f>Y38/$Y$139</f>
        <v>8.4936920775095376E-3</v>
      </c>
      <c r="AA38" s="13"/>
      <c r="AC38" s="2"/>
      <c r="AD38" s="2"/>
    </row>
    <row r="39" spans="1:30" x14ac:dyDescent="0.2">
      <c r="A39" s="138" t="s">
        <v>110</v>
      </c>
      <c r="B39" s="154" t="s">
        <v>120</v>
      </c>
      <c r="C39" s="55" t="s">
        <v>2</v>
      </c>
      <c r="D39" s="155" t="s">
        <v>128</v>
      </c>
      <c r="E39" s="155" t="s">
        <v>216</v>
      </c>
      <c r="F39" s="17">
        <v>1727</v>
      </c>
      <c r="G39" s="140">
        <v>44293</v>
      </c>
      <c r="H39" s="140">
        <v>44295</v>
      </c>
      <c r="I39" s="139"/>
      <c r="J39" s="139"/>
      <c r="K39" s="139"/>
      <c r="L39" s="158">
        <v>430.77</v>
      </c>
      <c r="M39" s="158">
        <v>29.315002895193999</v>
      </c>
      <c r="N39" s="158">
        <v>29.95</v>
      </c>
      <c r="O39" s="158"/>
      <c r="P39" s="193">
        <f t="shared" si="77"/>
        <v>470.73</v>
      </c>
      <c r="Q39" s="191">
        <f t="shared" si="78"/>
        <v>200253.24930000002</v>
      </c>
      <c r="R39" s="141"/>
      <c r="S39" s="158">
        <v>-4906.4703</v>
      </c>
      <c r="T39" s="156">
        <f t="shared" ref="T39" si="79">(N39-M39)*F39</f>
        <v>1096.639999999963</v>
      </c>
      <c r="U39" s="156">
        <f t="shared" ref="U39" si="80">T39*L39</f>
        <v>472399.61279998405</v>
      </c>
      <c r="V39" s="156">
        <f t="shared" ref="V39" si="81">($C$2-L39)*(F39*N39)</f>
        <v>-277238.76399999775</v>
      </c>
      <c r="W39" s="156">
        <f t="shared" si="6"/>
        <v>390507.62779998634</v>
      </c>
      <c r="X39" s="142">
        <f t="shared" ref="X39" si="82">F39*N39</f>
        <v>51723.65</v>
      </c>
      <c r="Y39" s="164">
        <f t="shared" si="7"/>
        <v>22003757.9465</v>
      </c>
      <c r="Z39" s="92">
        <f>Y39/$Y$139</f>
        <v>9.7336471253211491E-3</v>
      </c>
      <c r="AA39" s="13"/>
      <c r="AC39" s="2"/>
      <c r="AD39" s="2"/>
    </row>
    <row r="40" spans="1:30" x14ac:dyDescent="0.2">
      <c r="A40" s="138" t="s">
        <v>110</v>
      </c>
      <c r="B40" s="154" t="s">
        <v>120</v>
      </c>
      <c r="C40" s="55" t="s">
        <v>2</v>
      </c>
      <c r="D40" s="155" t="s">
        <v>128</v>
      </c>
      <c r="E40" s="155" t="s">
        <v>216</v>
      </c>
      <c r="F40" s="17">
        <v>1736</v>
      </c>
      <c r="G40" s="140">
        <v>44307</v>
      </c>
      <c r="H40" s="140">
        <v>44309</v>
      </c>
      <c r="I40" s="139"/>
      <c r="J40" s="139"/>
      <c r="K40" s="139"/>
      <c r="L40" s="158">
        <v>432.01</v>
      </c>
      <c r="M40" s="158">
        <v>29.538001152073701</v>
      </c>
      <c r="N40" s="158">
        <v>29.95</v>
      </c>
      <c r="O40" s="158"/>
      <c r="P40" s="193">
        <f t="shared" si="77"/>
        <v>473.18</v>
      </c>
      <c r="Q40" s="191">
        <f t="shared" si="78"/>
        <v>201295.50380000001</v>
      </c>
      <c r="R40" s="141"/>
      <c r="S40" s="158">
        <v>-4985.3954000000003</v>
      </c>
      <c r="T40" s="156">
        <f t="shared" ref="T40" si="83">(N40-M40)*F40</f>
        <v>715.23000000005436</v>
      </c>
      <c r="U40" s="156">
        <f t="shared" ref="U40" si="84">T40*L40</f>
        <v>308986.51230002346</v>
      </c>
      <c r="V40" s="156">
        <f t="shared" ref="V40" si="85">($C$2-L40)*(F40*N40)</f>
        <v>-343155.11999999819</v>
      </c>
      <c r="W40" s="156">
        <f t="shared" si="6"/>
        <v>162141.50070002527</v>
      </c>
      <c r="X40" s="142">
        <f t="shared" ref="X40" si="86">F40*N40</f>
        <v>51993.2</v>
      </c>
      <c r="Y40" s="164">
        <f t="shared" si="7"/>
        <v>22118427.212000001</v>
      </c>
      <c r="Z40" s="92">
        <f>Y40/$Y$139</f>
        <v>9.7843725590952609E-3</v>
      </c>
      <c r="AA40" s="13"/>
      <c r="AC40" s="2"/>
      <c r="AD40" s="2"/>
    </row>
    <row r="41" spans="1:30" x14ac:dyDescent="0.2">
      <c r="A41" s="138" t="s">
        <v>110</v>
      </c>
      <c r="B41" s="154" t="s">
        <v>120</v>
      </c>
      <c r="C41" s="55" t="s">
        <v>2</v>
      </c>
      <c r="D41" s="155" t="s">
        <v>128</v>
      </c>
      <c r="E41" s="155" t="s">
        <v>216</v>
      </c>
      <c r="F41" s="17">
        <v>1800</v>
      </c>
      <c r="G41" s="140">
        <v>44321</v>
      </c>
      <c r="H41" s="140">
        <v>44323</v>
      </c>
      <c r="I41" s="139"/>
      <c r="J41" s="139"/>
      <c r="K41" s="139"/>
      <c r="L41" s="158">
        <v>426.85</v>
      </c>
      <c r="M41" s="158">
        <v>29.78</v>
      </c>
      <c r="N41" s="158">
        <v>29.95</v>
      </c>
      <c r="O41" s="158"/>
      <c r="P41" s="193">
        <f t="shared" si="77"/>
        <v>490.63</v>
      </c>
      <c r="Q41" s="191">
        <f t="shared" si="78"/>
        <v>208718.90830000001</v>
      </c>
      <c r="R41" s="141"/>
      <c r="S41" s="158">
        <v>-5147.8109999999997</v>
      </c>
      <c r="T41" s="156">
        <f t="shared" ref="T41" si="87">(N41-M41)*F41</f>
        <v>305.9999999999967</v>
      </c>
      <c r="U41" s="156">
        <f t="shared" ref="U41" si="88">T41*L41</f>
        <v>130616.09999999859</v>
      </c>
      <c r="V41" s="156">
        <f t="shared" ref="V41" si="89">($C$2-L41)*(F41*N41)</f>
        <v>-77630.399999999878</v>
      </c>
      <c r="W41" s="156">
        <f t="shared" ref="W41" si="90">Q41+U41+V41+S41</f>
        <v>256556.79729999873</v>
      </c>
      <c r="X41" s="142">
        <f t="shared" ref="X41" si="91">F41*N41</f>
        <v>53910</v>
      </c>
      <c r="Y41" s="164">
        <f t="shared" si="7"/>
        <v>22933853.100000001</v>
      </c>
      <c r="Z41" s="92">
        <f>Y41/$Y$139</f>
        <v>1.0145086754822275E-2</v>
      </c>
      <c r="AA41" s="13"/>
      <c r="AC41" s="2"/>
      <c r="AD41" s="2"/>
    </row>
    <row r="42" spans="1:30" x14ac:dyDescent="0.2">
      <c r="A42" s="138" t="s">
        <v>110</v>
      </c>
      <c r="B42" s="154" t="s">
        <v>120</v>
      </c>
      <c r="C42" s="55" t="s">
        <v>2</v>
      </c>
      <c r="D42" s="155" t="s">
        <v>128</v>
      </c>
      <c r="E42" s="155" t="s">
        <v>216</v>
      </c>
      <c r="F42" s="17">
        <v>209</v>
      </c>
      <c r="G42" s="140">
        <v>44343</v>
      </c>
      <c r="H42" s="140">
        <v>44347</v>
      </c>
      <c r="I42" s="139"/>
      <c r="J42" s="139"/>
      <c r="K42" s="139"/>
      <c r="L42" s="158">
        <v>428.48</v>
      </c>
      <c r="M42" s="158">
        <v>30.59</v>
      </c>
      <c r="N42" s="158">
        <v>29.95</v>
      </c>
      <c r="O42" s="158"/>
      <c r="P42" s="193">
        <f t="shared" si="77"/>
        <v>56.97</v>
      </c>
      <c r="Q42" s="191">
        <f t="shared" si="78"/>
        <v>24235.6077</v>
      </c>
      <c r="R42" s="141"/>
      <c r="S42" s="158">
        <v>-3642.08</v>
      </c>
      <c r="T42" s="156">
        <f t="shared" ref="T42" si="92">(N42-M42)*F42</f>
        <v>-133.7600000000001</v>
      </c>
      <c r="U42" s="156">
        <f t="shared" ref="U42" si="93">T42*L42</f>
        <v>-57313.484800000049</v>
      </c>
      <c r="V42" s="156">
        <f t="shared" ref="V42" si="94">($C$2-L42)*(F42*N42)</f>
        <v>-19216.818499999958</v>
      </c>
      <c r="W42" s="156">
        <f>Q42+U42+V42+S42</f>
        <v>-55936.775600000008</v>
      </c>
      <c r="X42" s="142">
        <f t="shared" ref="X42" si="95">F42*N42</f>
        <v>6259.55</v>
      </c>
      <c r="Y42" s="164">
        <f t="shared" si="7"/>
        <v>2662875.1655000001</v>
      </c>
      <c r="Z42" s="92">
        <f>Y42/$Y$139</f>
        <v>1.1779572954210308E-3</v>
      </c>
      <c r="AA42" s="13"/>
      <c r="AC42" s="2"/>
      <c r="AD42" s="2"/>
    </row>
    <row r="43" spans="1:30" x14ac:dyDescent="0.2">
      <c r="A43" s="138" t="s">
        <v>110</v>
      </c>
      <c r="B43" s="154" t="s">
        <v>120</v>
      </c>
      <c r="C43" s="55" t="s">
        <v>2</v>
      </c>
      <c r="D43" s="155" t="s">
        <v>128</v>
      </c>
      <c r="E43" s="155" t="s">
        <v>216</v>
      </c>
      <c r="F43" s="17">
        <v>578</v>
      </c>
      <c r="G43" s="140">
        <v>44363</v>
      </c>
      <c r="H43" s="140">
        <v>44365</v>
      </c>
      <c r="I43" s="139"/>
      <c r="J43" s="139"/>
      <c r="K43" s="139"/>
      <c r="L43" s="158">
        <v>425.63</v>
      </c>
      <c r="M43" s="158">
        <v>30.79</v>
      </c>
      <c r="N43" s="158">
        <v>29.95</v>
      </c>
      <c r="O43" s="158"/>
      <c r="P43" s="193"/>
      <c r="Q43" s="191">
        <f t="shared" si="78"/>
        <v>0</v>
      </c>
      <c r="R43" s="141"/>
      <c r="S43" s="158">
        <v>-3617.855</v>
      </c>
      <c r="T43" s="156">
        <f t="shared" ref="T43" si="96">(N43-M43)*F43</f>
        <v>-485.51999999999992</v>
      </c>
      <c r="U43" s="156">
        <f t="shared" ref="U43" si="97">T43*L43</f>
        <v>-206651.87759999998</v>
      </c>
      <c r="V43" s="156">
        <f t="shared" ref="V43" si="98">($C$2-L43)*(F43*N43)</f>
        <v>-3808.441999999488</v>
      </c>
      <c r="W43" s="156">
        <f t="shared" ref="W43:W89" si="99">Q43+U43+V43+S43</f>
        <v>-214078.17459999947</v>
      </c>
      <c r="X43" s="142">
        <f t="shared" ref="X43" si="100">F43*N43</f>
        <v>17311.099999999999</v>
      </c>
      <c r="Y43" s="164">
        <f t="shared" si="7"/>
        <v>7364315.051</v>
      </c>
      <c r="Z43" s="92">
        <f>Y43/$Y$139</f>
        <v>3.2577000801595969E-3</v>
      </c>
      <c r="AA43" s="13"/>
      <c r="AC43" s="2"/>
      <c r="AD43" s="2"/>
    </row>
    <row r="44" spans="1:30" s="225" customFormat="1" x14ac:dyDescent="0.2">
      <c r="A44" s="138" t="s">
        <v>110</v>
      </c>
      <c r="B44" s="154" t="s">
        <v>120</v>
      </c>
      <c r="C44" s="55" t="s">
        <v>2</v>
      </c>
      <c r="D44" s="155" t="s">
        <v>128</v>
      </c>
      <c r="E44" s="155" t="s">
        <v>216</v>
      </c>
      <c r="F44" s="17">
        <v>1234</v>
      </c>
      <c r="G44" s="140">
        <v>44393</v>
      </c>
      <c r="H44" s="140">
        <v>44397</v>
      </c>
      <c r="I44" s="139"/>
      <c r="J44" s="139"/>
      <c r="K44" s="139"/>
      <c r="L44" s="158">
        <v>426.47</v>
      </c>
      <c r="M44" s="158">
        <v>29.78</v>
      </c>
      <c r="N44" s="158">
        <v>29.95</v>
      </c>
      <c r="O44" s="158"/>
      <c r="P44" s="193"/>
      <c r="Q44" s="191">
        <f t="shared" ref="Q44" si="101">P44*$C$2</f>
        <v>0</v>
      </c>
      <c r="R44" s="141"/>
      <c r="S44" s="158">
        <v>-3624.9949999999999</v>
      </c>
      <c r="T44" s="156">
        <f t="shared" ref="T44" si="102">(N44-M44)*F44</f>
        <v>209.77999999999773</v>
      </c>
      <c r="U44" s="156">
        <f t="shared" ref="U44" si="103">T44*L44</f>
        <v>89464.876599999043</v>
      </c>
      <c r="V44" s="156">
        <f>($C$2-L44)*(F44*N44)</f>
        <v>-39175.798000000083</v>
      </c>
      <c r="W44" s="156">
        <f t="shared" ref="W44" si="104">Q44+U44+V44+S44</f>
        <v>46664.083599998958</v>
      </c>
      <c r="X44" s="142">
        <f t="shared" ref="X44" si="105">F44*N44</f>
        <v>36958.299999999996</v>
      </c>
      <c r="Y44" s="164">
        <f t="shared" si="7"/>
        <v>15722430.403000001</v>
      </c>
      <c r="Z44" s="92">
        <f>Y44/$Y$139</f>
        <v>6.9550205863614933E-3</v>
      </c>
      <c r="AA44" s="222"/>
      <c r="AB44" s="223"/>
      <c r="AC44" s="2"/>
      <c r="AD44" s="224"/>
    </row>
    <row r="45" spans="1:30" s="225" customFormat="1" x14ac:dyDescent="0.2">
      <c r="A45" s="138" t="s">
        <v>110</v>
      </c>
      <c r="B45" s="154" t="s">
        <v>120</v>
      </c>
      <c r="C45" s="55" t="s">
        <v>2</v>
      </c>
      <c r="D45" s="155" t="s">
        <v>128</v>
      </c>
      <c r="E45" s="155" t="s">
        <v>216</v>
      </c>
      <c r="F45" s="17">
        <v>640</v>
      </c>
      <c r="G45" s="140">
        <v>44399</v>
      </c>
      <c r="H45" s="140">
        <v>44403</v>
      </c>
      <c r="I45" s="139"/>
      <c r="J45" s="139"/>
      <c r="K45" s="139"/>
      <c r="L45" s="158">
        <v>425.71</v>
      </c>
      <c r="M45" s="158">
        <v>29.78</v>
      </c>
      <c r="N45" s="158">
        <v>29.95</v>
      </c>
      <c r="O45" s="158"/>
      <c r="P45" s="193"/>
      <c r="Q45" s="191">
        <f t="shared" ref="Q45" si="106">P45*$C$2</f>
        <v>0</v>
      </c>
      <c r="R45" s="141"/>
      <c r="S45" s="158">
        <v>-3618.54</v>
      </c>
      <c r="T45" s="156">
        <f t="shared" ref="T45" si="107">(N45-M45)*F45</f>
        <v>108.79999999999882</v>
      </c>
      <c r="U45" s="156">
        <f t="shared" ref="U45" si="108">T45*L45</f>
        <v>46317.247999999498</v>
      </c>
      <c r="V45" s="156">
        <f>($C$2-L45)*(F45*N45)</f>
        <v>-5750.3999999991283</v>
      </c>
      <c r="W45" s="156">
        <f t="shared" ref="W45" si="109">Q45+U45+V45+S45</f>
        <v>36948.308000000368</v>
      </c>
      <c r="X45" s="142">
        <f t="shared" ref="X45" si="110">F45*N45</f>
        <v>19168</v>
      </c>
      <c r="Y45" s="164">
        <f t="shared" si="7"/>
        <v>8154258.8799999999</v>
      </c>
      <c r="Z45" s="92">
        <f>Y45/$Y$139</f>
        <v>3.607141957270142E-3</v>
      </c>
      <c r="AA45" s="222"/>
      <c r="AB45" s="223"/>
      <c r="AC45" s="2"/>
      <c r="AD45" s="224"/>
    </row>
    <row r="46" spans="1:30" s="225" customFormat="1" x14ac:dyDescent="0.2">
      <c r="A46" s="138" t="s">
        <v>110</v>
      </c>
      <c r="B46" s="154" t="s">
        <v>120</v>
      </c>
      <c r="C46" s="55" t="s">
        <v>2</v>
      </c>
      <c r="D46" s="155" t="s">
        <v>128</v>
      </c>
      <c r="E46" s="155" t="s">
        <v>216</v>
      </c>
      <c r="F46" s="17">
        <v>333</v>
      </c>
      <c r="G46" s="140">
        <v>44414</v>
      </c>
      <c r="H46" s="140">
        <v>44418</v>
      </c>
      <c r="I46" s="139"/>
      <c r="J46" s="139"/>
      <c r="K46" s="139"/>
      <c r="L46" s="158">
        <v>424.32</v>
      </c>
      <c r="M46" s="158">
        <v>29.92</v>
      </c>
      <c r="N46" s="158">
        <v>29.95</v>
      </c>
      <c r="O46" s="158"/>
      <c r="P46" s="193"/>
      <c r="Q46" s="191">
        <f t="shared" ref="Q46" si="111">P46*$C$2</f>
        <v>0</v>
      </c>
      <c r="R46" s="141"/>
      <c r="S46" s="158">
        <v>-3606.72</v>
      </c>
      <c r="T46" s="156">
        <f t="shared" ref="T46" si="112">(N46-M46)*F46</f>
        <v>9.9899999999991955</v>
      </c>
      <c r="U46" s="156">
        <f t="shared" ref="U46" si="113">T46*L46</f>
        <v>4238.9567999996589</v>
      </c>
      <c r="V46" s="156">
        <f>($C$2-L46)*(F46*N46)</f>
        <v>10870.951500000318</v>
      </c>
      <c r="W46" s="156">
        <f t="shared" ref="W46" si="114">Q46+U46+V46+S46</f>
        <v>11503.188299999978</v>
      </c>
      <c r="X46" s="142">
        <f t="shared" ref="X46" si="115">F46*N46</f>
        <v>9973.35</v>
      </c>
      <c r="Y46" s="164">
        <f t="shared" si="7"/>
        <v>4242762.8234999999</v>
      </c>
      <c r="Z46" s="92">
        <f>Y46/$Y$139</f>
        <v>1.8768410496421207E-3</v>
      </c>
      <c r="AA46" s="222"/>
      <c r="AB46" s="223"/>
      <c r="AC46" s="2"/>
      <c r="AD46" s="224"/>
    </row>
    <row r="47" spans="1:30" s="225" customFormat="1" x14ac:dyDescent="0.2">
      <c r="A47" s="138" t="s">
        <v>110</v>
      </c>
      <c r="B47" s="154" t="s">
        <v>120</v>
      </c>
      <c r="C47" s="55" t="s">
        <v>2</v>
      </c>
      <c r="D47" s="155" t="s">
        <v>128</v>
      </c>
      <c r="E47" s="155" t="s">
        <v>216</v>
      </c>
      <c r="F47" s="17">
        <v>718</v>
      </c>
      <c r="G47" s="140">
        <v>44427</v>
      </c>
      <c r="H47" s="140">
        <v>44431</v>
      </c>
      <c r="I47" s="139"/>
      <c r="J47" s="139"/>
      <c r="K47" s="139"/>
      <c r="L47" s="158">
        <v>426.66</v>
      </c>
      <c r="M47" s="158">
        <f>20936.88/718</f>
        <v>29.16</v>
      </c>
      <c r="N47" s="158">
        <v>29.95</v>
      </c>
      <c r="O47" s="158"/>
      <c r="P47" s="193"/>
      <c r="Q47" s="191">
        <f t="shared" ref="Q47" si="116">P47*$C$2</f>
        <v>0</v>
      </c>
      <c r="R47" s="141"/>
      <c r="S47" s="158">
        <f>-8.5*L23</f>
        <v>-3626.61</v>
      </c>
      <c r="T47" s="156">
        <f t="shared" ref="T47" si="117">(N47-M47)*F47</f>
        <v>567.21999999999935</v>
      </c>
      <c r="U47" s="156">
        <f t="shared" ref="U47" si="118">T47*L47</f>
        <v>242010.08519999974</v>
      </c>
      <c r="V47" s="156">
        <f>($C$2-L47)*(F47*N47)</f>
        <v>-26880.125</v>
      </c>
      <c r="W47" s="156">
        <f t="shared" ref="W47" si="119">Q47+U47+V47+S47</f>
        <v>211503.35019999975</v>
      </c>
      <c r="X47" s="142">
        <f t="shared" ref="X47" si="120">F47*N47</f>
        <v>21504.1</v>
      </c>
      <c r="Y47" s="164">
        <f t="shared" si="7"/>
        <v>9148059.1809999999</v>
      </c>
      <c r="Z47" s="92">
        <f>Y47/$Y$139</f>
        <v>4.0467623833124406E-3</v>
      </c>
      <c r="AA47" s="222"/>
      <c r="AB47" s="223"/>
      <c r="AC47" s="2"/>
      <c r="AD47" s="224"/>
    </row>
    <row r="48" spans="1:30" x14ac:dyDescent="0.2">
      <c r="A48" s="138" t="s">
        <v>111</v>
      </c>
      <c r="B48" s="154" t="s">
        <v>121</v>
      </c>
      <c r="C48" s="55" t="s">
        <v>2</v>
      </c>
      <c r="D48" s="155" t="s">
        <v>127</v>
      </c>
      <c r="E48" s="155" t="s">
        <v>216</v>
      </c>
      <c r="F48" s="17">
        <v>1410</v>
      </c>
      <c r="G48" s="140">
        <v>44280</v>
      </c>
      <c r="H48" s="140">
        <v>44284</v>
      </c>
      <c r="I48" s="139"/>
      <c r="J48" s="139"/>
      <c r="K48" s="139"/>
      <c r="L48" s="158">
        <v>423.36</v>
      </c>
      <c r="M48" s="158">
        <v>30.89</v>
      </c>
      <c r="N48" s="158">
        <v>31.15</v>
      </c>
      <c r="O48" s="158"/>
      <c r="P48" s="193">
        <f>(0.2021-(0.2021*15%))*F48</f>
        <v>242.21684999999999</v>
      </c>
      <c r="Q48" s="191">
        <f t="shared" si="78"/>
        <v>103041.4701585</v>
      </c>
      <c r="R48" s="141"/>
      <c r="S48" s="158">
        <v>-4148.9279999999999</v>
      </c>
      <c r="T48" s="156">
        <f t="shared" si="1"/>
        <v>366.59999999999718</v>
      </c>
      <c r="U48" s="156">
        <f t="shared" si="4"/>
        <v>155203.77599999882</v>
      </c>
      <c r="V48" s="156">
        <f t="shared" si="5"/>
        <v>90039.075000000506</v>
      </c>
      <c r="W48" s="156">
        <f t="shared" si="99"/>
        <v>344135.39315849933</v>
      </c>
      <c r="X48" s="142">
        <f t="shared" si="2"/>
        <v>43921.5</v>
      </c>
      <c r="Y48" s="164">
        <f t="shared" si="7"/>
        <v>18684645.315000001</v>
      </c>
      <c r="Z48" s="92">
        <f>Y48/$Y$139</f>
        <v>8.2653946930425996E-3</v>
      </c>
      <c r="AA48" s="13"/>
      <c r="AC48" s="2"/>
      <c r="AD48" s="2"/>
    </row>
    <row r="49" spans="1:30" x14ac:dyDescent="0.2">
      <c r="A49" s="138" t="s">
        <v>111</v>
      </c>
      <c r="B49" s="154" t="s">
        <v>121</v>
      </c>
      <c r="C49" s="55" t="s">
        <v>2</v>
      </c>
      <c r="D49" s="155" t="s">
        <v>127</v>
      </c>
      <c r="E49" s="155" t="s">
        <v>216</v>
      </c>
      <c r="F49" s="17">
        <v>1379</v>
      </c>
      <c r="G49" s="140">
        <v>44280</v>
      </c>
      <c r="H49" s="140">
        <v>44284</v>
      </c>
      <c r="I49" s="139"/>
      <c r="J49" s="139"/>
      <c r="K49" s="139"/>
      <c r="L49" s="158">
        <v>423.36</v>
      </c>
      <c r="M49" s="158">
        <v>30.86</v>
      </c>
      <c r="N49" s="158">
        <v>31.15</v>
      </c>
      <c r="O49" s="158"/>
      <c r="P49" s="193">
        <f t="shared" ref="P49:P54" si="121">(0.2021-(0.2021*15%))*F49</f>
        <v>236.891515</v>
      </c>
      <c r="Q49" s="191">
        <f t="shared" si="78"/>
        <v>100776.01939615</v>
      </c>
      <c r="R49" s="141"/>
      <c r="S49" s="158">
        <v>-4055.7887999999998</v>
      </c>
      <c r="T49" s="156">
        <f t="shared" si="1"/>
        <v>399.90999999999883</v>
      </c>
      <c r="U49" s="156">
        <f t="shared" si="4"/>
        <v>169305.8975999995</v>
      </c>
      <c r="V49" s="156">
        <f t="shared" si="5"/>
        <v>88059.492500000488</v>
      </c>
      <c r="W49" s="156">
        <f t="shared" si="99"/>
        <v>354085.62069615</v>
      </c>
      <c r="X49" s="142">
        <f t="shared" si="2"/>
        <v>42955.85</v>
      </c>
      <c r="Y49" s="164">
        <f t="shared" si="7"/>
        <v>18273848.148499999</v>
      </c>
      <c r="Z49" s="92">
        <f>Y49/$Y$139</f>
        <v>8.0836732494366983E-3</v>
      </c>
      <c r="AA49" s="13"/>
      <c r="AC49" s="2"/>
      <c r="AD49" s="2"/>
    </row>
    <row r="50" spans="1:30" x14ac:dyDescent="0.2">
      <c r="A50" s="138" t="s">
        <v>111</v>
      </c>
      <c r="B50" s="154" t="s">
        <v>121</v>
      </c>
      <c r="C50" s="55" t="s">
        <v>2</v>
      </c>
      <c r="D50" s="155" t="s">
        <v>127</v>
      </c>
      <c r="E50" s="155" t="s">
        <v>216</v>
      </c>
      <c r="F50" s="17">
        <v>1619</v>
      </c>
      <c r="G50" s="140">
        <v>44293</v>
      </c>
      <c r="H50" s="140">
        <v>44295</v>
      </c>
      <c r="I50" s="139"/>
      <c r="J50" s="139"/>
      <c r="K50" s="139"/>
      <c r="L50" s="158">
        <v>430.77</v>
      </c>
      <c r="M50" s="158">
        <v>31.69</v>
      </c>
      <c r="N50" s="158">
        <v>31.15</v>
      </c>
      <c r="O50" s="158"/>
      <c r="P50" s="193">
        <f t="shared" si="121"/>
        <v>278.11991499999999</v>
      </c>
      <c r="Q50" s="191">
        <f t="shared" si="78"/>
        <v>118314.99304015</v>
      </c>
      <c r="R50" s="141"/>
      <c r="S50" s="158">
        <v>-4971.0857999999998</v>
      </c>
      <c r="T50" s="156">
        <f t="shared" ref="T50" si="122">(N50-M50)*F50</f>
        <v>-874.26000000000442</v>
      </c>
      <c r="U50" s="156">
        <f t="shared" ref="U50" si="123">T50*L50</f>
        <v>-376604.98020000191</v>
      </c>
      <c r="V50" s="156">
        <f t="shared" ref="V50" si="124">($C$2-L50)*(F50*N50)</f>
        <v>-270314.7159999978</v>
      </c>
      <c r="W50" s="156">
        <f t="shared" si="99"/>
        <v>-533575.78895984974</v>
      </c>
      <c r="X50" s="142">
        <f t="shared" ref="X50" si="125">F50*N50</f>
        <v>50431.85</v>
      </c>
      <c r="Y50" s="164">
        <f t="shared" si="7"/>
        <v>21454213.308499999</v>
      </c>
      <c r="Z50" s="92">
        <f>Y50/$Y$139</f>
        <v>9.4905489418694814E-3</v>
      </c>
      <c r="AA50" s="13"/>
      <c r="AC50" s="2"/>
      <c r="AD50" s="2"/>
    </row>
    <row r="51" spans="1:30" x14ac:dyDescent="0.2">
      <c r="A51" s="138" t="s">
        <v>111</v>
      </c>
      <c r="B51" s="154" t="s">
        <v>121</v>
      </c>
      <c r="C51" s="55" t="s">
        <v>2</v>
      </c>
      <c r="D51" s="155" t="s">
        <v>127</v>
      </c>
      <c r="E51" s="155" t="s">
        <v>216</v>
      </c>
      <c r="F51" s="17">
        <v>1424</v>
      </c>
      <c r="G51" s="140">
        <v>44307</v>
      </c>
      <c r="H51" s="140">
        <v>44309</v>
      </c>
      <c r="I51" s="139"/>
      <c r="J51" s="139"/>
      <c r="K51" s="139"/>
      <c r="L51" s="158">
        <v>432.01</v>
      </c>
      <c r="M51" s="158">
        <v>31.86</v>
      </c>
      <c r="N51" s="158">
        <v>31.15</v>
      </c>
      <c r="O51" s="158"/>
      <c r="P51" s="193">
        <f t="shared" si="121"/>
        <v>244.62183999999999</v>
      </c>
      <c r="Q51" s="191">
        <f t="shared" si="78"/>
        <v>104064.57695440001</v>
      </c>
      <c r="R51" s="141"/>
      <c r="S51" s="158">
        <v>-4410.8221000000003</v>
      </c>
      <c r="T51" s="156">
        <f t="shared" ref="T51" si="126">(N51-M51)*F51</f>
        <v>-1011.0400000000012</v>
      </c>
      <c r="U51" s="156">
        <f t="shared" ref="U51" si="127">T51*L51</f>
        <v>-436779.3904000005</v>
      </c>
      <c r="V51" s="156">
        <f t="shared" ref="V51" si="128">($C$2-L51)*(F51*N51)</f>
        <v>-292760.15999999846</v>
      </c>
      <c r="W51" s="156">
        <f t="shared" si="99"/>
        <v>-629885.79554559896</v>
      </c>
      <c r="X51" s="142">
        <f t="shared" ref="X51" si="129">F51*N51</f>
        <v>44357.599999999999</v>
      </c>
      <c r="Y51" s="164">
        <f t="shared" si="7"/>
        <v>18870166.616</v>
      </c>
      <c r="Z51" s="92">
        <f>Y51/$Y$139</f>
        <v>8.3474624417678445E-3</v>
      </c>
      <c r="AA51" s="13"/>
      <c r="AC51" s="2"/>
      <c r="AD51" s="2"/>
    </row>
    <row r="52" spans="1:30" x14ac:dyDescent="0.2">
      <c r="A52" s="138" t="s">
        <v>111</v>
      </c>
      <c r="B52" s="154" t="s">
        <v>121</v>
      </c>
      <c r="C52" s="55" t="s">
        <v>2</v>
      </c>
      <c r="D52" s="155" t="s">
        <v>127</v>
      </c>
      <c r="E52" s="155" t="s">
        <v>216</v>
      </c>
      <c r="F52" s="17">
        <v>1336</v>
      </c>
      <c r="G52" s="140">
        <v>44321</v>
      </c>
      <c r="H52" s="140">
        <v>44323</v>
      </c>
      <c r="I52" s="139"/>
      <c r="J52" s="139"/>
      <c r="K52" s="139"/>
      <c r="L52" s="158">
        <v>426.85</v>
      </c>
      <c r="M52" s="158">
        <v>31.97</v>
      </c>
      <c r="N52" s="158">
        <v>31.15</v>
      </c>
      <c r="O52" s="158"/>
      <c r="P52" s="193">
        <f t="shared" si="121"/>
        <v>229.50476</v>
      </c>
      <c r="Q52" s="191">
        <f t="shared" si="78"/>
        <v>97633.619951600005</v>
      </c>
      <c r="R52" s="141"/>
      <c r="S52" s="158">
        <v>-4102.0285000000003</v>
      </c>
      <c r="T52" s="156">
        <f t="shared" ref="T52" si="130">(N52-M52)*F52</f>
        <v>-1095.5200000000004</v>
      </c>
      <c r="U52" s="156">
        <f t="shared" ref="U52" si="131">T52*L52</f>
        <v>-467622.71200000023</v>
      </c>
      <c r="V52" s="156">
        <f t="shared" ref="V52" si="132">($C$2-L52)*(F52*N52)</f>
        <v>-59927.615999999907</v>
      </c>
      <c r="W52" s="156">
        <f t="shared" si="99"/>
        <v>-434018.73654840013</v>
      </c>
      <c r="X52" s="142">
        <f t="shared" ref="X52" si="133">F52*N52</f>
        <v>41616.400000000001</v>
      </c>
      <c r="Y52" s="164">
        <f t="shared" si="7"/>
        <v>17704032.723999999</v>
      </c>
      <c r="Z52" s="92">
        <f>Y52/$Y$139</f>
        <v>7.831608021209158E-3</v>
      </c>
      <c r="AA52" s="13"/>
      <c r="AC52" s="2"/>
      <c r="AD52" s="2"/>
    </row>
    <row r="53" spans="1:30" x14ac:dyDescent="0.2">
      <c r="A53" s="138" t="s">
        <v>111</v>
      </c>
      <c r="B53" s="154" t="s">
        <v>121</v>
      </c>
      <c r="C53" s="55" t="s">
        <v>2</v>
      </c>
      <c r="D53" s="155" t="s">
        <v>127</v>
      </c>
      <c r="E53" s="155" t="s">
        <v>216</v>
      </c>
      <c r="F53" s="17">
        <v>688</v>
      </c>
      <c r="G53" s="140">
        <v>44343</v>
      </c>
      <c r="H53" s="140">
        <v>44347</v>
      </c>
      <c r="I53" s="139"/>
      <c r="J53" s="139"/>
      <c r="K53" s="139"/>
      <c r="L53" s="158">
        <v>428.48</v>
      </c>
      <c r="M53" s="158">
        <v>32.619999999999997</v>
      </c>
      <c r="N53" s="158">
        <v>31.15</v>
      </c>
      <c r="O53" s="158"/>
      <c r="P53" s="193">
        <f t="shared" si="121"/>
        <v>118.18808</v>
      </c>
      <c r="Q53" s="191">
        <f t="shared" si="78"/>
        <v>50278.391112800004</v>
      </c>
      <c r="R53" s="141"/>
      <c r="S53" s="158">
        <v>-3642.08</v>
      </c>
      <c r="T53" s="156">
        <f t="shared" ref="T53" si="134">(N53-M53)*F53</f>
        <v>-1011.3599999999992</v>
      </c>
      <c r="U53" s="156">
        <f t="shared" ref="U53" si="135">T53*L53</f>
        <v>-433347.5327999997</v>
      </c>
      <c r="V53" s="156">
        <f t="shared" ref="V53" si="136">($C$2-L53)*(F53*N53)</f>
        <v>-65793.783999999854</v>
      </c>
      <c r="W53" s="156">
        <f t="shared" si="99"/>
        <v>-452505.00568719959</v>
      </c>
      <c r="X53" s="142">
        <f t="shared" ref="X53" si="137">F53*N53</f>
        <v>21431.200000000001</v>
      </c>
      <c r="Y53" s="164">
        <f t="shared" si="7"/>
        <v>9117046.7919999994</v>
      </c>
      <c r="Z53" s="92">
        <f>Y53/$Y$139</f>
        <v>4.0330436516406443E-3</v>
      </c>
      <c r="AA53" s="13"/>
      <c r="AC53" s="2"/>
      <c r="AD53" s="2"/>
    </row>
    <row r="54" spans="1:30" x14ac:dyDescent="0.2">
      <c r="A54" s="138" t="s">
        <v>111</v>
      </c>
      <c r="B54" s="154" t="s">
        <v>121</v>
      </c>
      <c r="C54" s="55" t="s">
        <v>2</v>
      </c>
      <c r="D54" s="155" t="s">
        <v>127</v>
      </c>
      <c r="E54" s="155" t="s">
        <v>216</v>
      </c>
      <c r="F54" s="17">
        <v>439</v>
      </c>
      <c r="G54" s="140">
        <v>44363</v>
      </c>
      <c r="H54" s="140">
        <v>44365</v>
      </c>
      <c r="I54" s="139"/>
      <c r="J54" s="139"/>
      <c r="K54" s="139"/>
      <c r="L54" s="158">
        <v>425.63</v>
      </c>
      <c r="M54" s="158">
        <v>33.04</v>
      </c>
      <c r="N54" s="158">
        <v>31.15</v>
      </c>
      <c r="O54" s="158"/>
      <c r="P54" s="193">
        <f t="shared" si="121"/>
        <v>75.413614999999993</v>
      </c>
      <c r="Q54" s="191">
        <f t="shared" si="78"/>
        <v>32081.705957149999</v>
      </c>
      <c r="R54" s="141"/>
      <c r="S54" s="158">
        <v>-3617.855</v>
      </c>
      <c r="T54" s="156">
        <f t="shared" ref="T54" si="138">(N54-M54)*F54</f>
        <v>-829.71000000000026</v>
      </c>
      <c r="U54" s="156">
        <f t="shared" ref="U54" si="139">T54*L54</f>
        <v>-353149.46730000013</v>
      </c>
      <c r="V54" s="156">
        <f t="shared" ref="V54" si="140">($C$2-L54)*(F54*N54)</f>
        <v>-3008.4669999995954</v>
      </c>
      <c r="W54" s="156">
        <f t="shared" si="99"/>
        <v>-327694.08334284974</v>
      </c>
      <c r="X54" s="142">
        <f t="shared" ref="X54" si="141">F54*N54</f>
        <v>13674.849999999999</v>
      </c>
      <c r="Y54" s="164">
        <f t="shared" si="7"/>
        <v>5817417.9385000002</v>
      </c>
      <c r="Z54" s="92">
        <f>Y54/$Y$139</f>
        <v>2.5734101207416319E-3</v>
      </c>
      <c r="AA54" s="13"/>
      <c r="AC54" s="2"/>
      <c r="AD54" s="2"/>
    </row>
    <row r="55" spans="1:30" s="225" customFormat="1" x14ac:dyDescent="0.2">
      <c r="A55" s="138" t="s">
        <v>111</v>
      </c>
      <c r="B55" s="154" t="s">
        <v>121</v>
      </c>
      <c r="C55" s="55" t="s">
        <v>2</v>
      </c>
      <c r="D55" s="155" t="s">
        <v>127</v>
      </c>
      <c r="E55" s="155" t="s">
        <v>216</v>
      </c>
      <c r="F55" s="17">
        <v>1122</v>
      </c>
      <c r="G55" s="140">
        <v>44393</v>
      </c>
      <c r="H55" s="140">
        <v>44397</v>
      </c>
      <c r="I55" s="139"/>
      <c r="J55" s="139"/>
      <c r="K55" s="139"/>
      <c r="L55" s="158">
        <v>426.47</v>
      </c>
      <c r="M55" s="158">
        <v>32.130000000000003</v>
      </c>
      <c r="N55" s="158">
        <v>31.15</v>
      </c>
      <c r="O55" s="158"/>
      <c r="P55" s="193">
        <v>0</v>
      </c>
      <c r="Q55" s="191">
        <f t="shared" ref="Q55" si="142">P55*$C$2</f>
        <v>0</v>
      </c>
      <c r="R55" s="141"/>
      <c r="S55" s="158">
        <v>-3624.9949999999999</v>
      </c>
      <c r="T55" s="156">
        <f t="shared" ref="T55" si="143">(N55-M55)*F55</f>
        <v>-1099.5600000000045</v>
      </c>
      <c r="U55" s="156">
        <f t="shared" ref="U55" si="144">T55*L55</f>
        <v>-468929.35320000193</v>
      </c>
      <c r="V55" s="156">
        <f>($C$2-L55)*(F55*N55)</f>
        <v>-37047.318000000072</v>
      </c>
      <c r="W55" s="156">
        <f t="shared" ref="W55:W56" si="145">Q55+U55+V55+S55</f>
        <v>-509601.66620000202</v>
      </c>
      <c r="X55" s="142">
        <f t="shared" ref="X55" si="146">F55*N55</f>
        <v>34950.299999999996</v>
      </c>
      <c r="Y55" s="164">
        <f t="shared" si="7"/>
        <v>14868207.123</v>
      </c>
      <c r="Z55" s="92">
        <f>Y55/$Y$139</f>
        <v>6.5771438621232596E-3</v>
      </c>
      <c r="AA55" s="222"/>
      <c r="AB55" s="223"/>
      <c r="AC55" s="2"/>
      <c r="AD55" s="224"/>
    </row>
    <row r="56" spans="1:30" s="225" customFormat="1" x14ac:dyDescent="0.2">
      <c r="A56" s="138" t="s">
        <v>111</v>
      </c>
      <c r="B56" s="154" t="s">
        <v>121</v>
      </c>
      <c r="C56" s="55" t="s">
        <v>2</v>
      </c>
      <c r="D56" s="155" t="s">
        <v>127</v>
      </c>
      <c r="E56" s="155" t="s">
        <v>216</v>
      </c>
      <c r="F56" s="17">
        <v>600</v>
      </c>
      <c r="G56" s="140">
        <v>44399</v>
      </c>
      <c r="H56" s="140">
        <v>44403</v>
      </c>
      <c r="I56" s="139"/>
      <c r="J56" s="139"/>
      <c r="K56" s="139"/>
      <c r="L56" s="158">
        <v>425.71</v>
      </c>
      <c r="M56" s="158">
        <v>31.86</v>
      </c>
      <c r="N56" s="158">
        <v>31.15</v>
      </c>
      <c r="O56" s="158"/>
      <c r="P56" s="193">
        <v>0</v>
      </c>
      <c r="Q56" s="191">
        <f t="shared" ref="Q56" si="147">P56*$C$2</f>
        <v>0</v>
      </c>
      <c r="R56" s="141"/>
      <c r="S56" s="158">
        <v>-3618.54</v>
      </c>
      <c r="T56" s="156">
        <f>(N56-M56)*F56</f>
        <v>-426.00000000000051</v>
      </c>
      <c r="U56" s="156">
        <f t="shared" ref="U56" si="148">T56*L56</f>
        <v>-181352.4600000002</v>
      </c>
      <c r="V56" s="156">
        <f>($C$2-L56)*(F56*N56)</f>
        <v>-5606.9999999991505</v>
      </c>
      <c r="W56" s="156">
        <f t="shared" si="145"/>
        <v>-190577.99999999936</v>
      </c>
      <c r="X56" s="142">
        <f t="shared" ref="X56" si="149">F56*N56</f>
        <v>18690</v>
      </c>
      <c r="Y56" s="164">
        <f t="shared" si="7"/>
        <v>7950912.9000000004</v>
      </c>
      <c r="Z56" s="92">
        <f>Y56/$Y$139</f>
        <v>3.5171892310819574E-3</v>
      </c>
      <c r="AA56" s="222"/>
      <c r="AB56" s="223"/>
      <c r="AC56" s="2"/>
      <c r="AD56" s="224"/>
    </row>
    <row r="57" spans="1:30" s="225" customFormat="1" x14ac:dyDescent="0.2">
      <c r="A57" s="138" t="s">
        <v>111</v>
      </c>
      <c r="B57" s="154" t="s">
        <v>121</v>
      </c>
      <c r="C57" s="55" t="s">
        <v>2</v>
      </c>
      <c r="D57" s="155" t="s">
        <v>127</v>
      </c>
      <c r="E57" s="155" t="s">
        <v>216</v>
      </c>
      <c r="F57" s="17">
        <v>555</v>
      </c>
      <c r="G57" s="140">
        <v>44414</v>
      </c>
      <c r="H57" s="140">
        <v>44418</v>
      </c>
      <c r="I57" s="139"/>
      <c r="J57" s="139"/>
      <c r="K57" s="139"/>
      <c r="L57" s="158">
        <v>424.32</v>
      </c>
      <c r="M57" s="158">
        <v>30.9</v>
      </c>
      <c r="N57" s="158">
        <v>31.15</v>
      </c>
      <c r="O57" s="158"/>
      <c r="P57" s="193">
        <v>0</v>
      </c>
      <c r="Q57" s="191">
        <f t="shared" ref="Q57" si="150">P57*$C$2</f>
        <v>0</v>
      </c>
      <c r="R57" s="141"/>
      <c r="S57" s="158">
        <v>-3606.72</v>
      </c>
      <c r="T57" s="156">
        <f>(N57-M57)*F57</f>
        <v>138.75</v>
      </c>
      <c r="U57" s="156">
        <f t="shared" ref="U57" si="151">T57*L57</f>
        <v>58874.400000000001</v>
      </c>
      <c r="V57" s="156">
        <f>($C$2-L57)*(F57*N57)</f>
        <v>18844.19250000055</v>
      </c>
      <c r="W57" s="156">
        <f t="shared" ref="W57" si="152">Q57+U57+V57+S57</f>
        <v>74111.872500000551</v>
      </c>
      <c r="X57" s="142">
        <f t="shared" ref="X57" si="153">F57*N57</f>
        <v>17288.25</v>
      </c>
      <c r="Y57" s="164">
        <f t="shared" si="7"/>
        <v>7354594.4325000001</v>
      </c>
      <c r="Z57" s="92">
        <f>Y57/$Y$139</f>
        <v>3.2534000387508103E-3</v>
      </c>
      <c r="AA57" s="222"/>
      <c r="AB57" s="223"/>
      <c r="AC57" s="2"/>
      <c r="AD57" s="224"/>
    </row>
    <row r="58" spans="1:30" s="225" customFormat="1" x14ac:dyDescent="0.2">
      <c r="A58" s="138" t="s">
        <v>111</v>
      </c>
      <c r="B58" s="154" t="s">
        <v>121</v>
      </c>
      <c r="C58" s="55" t="s">
        <v>2</v>
      </c>
      <c r="D58" s="155" t="s">
        <v>127</v>
      </c>
      <c r="E58" s="155" t="s">
        <v>216</v>
      </c>
      <c r="F58" s="17">
        <v>695</v>
      </c>
      <c r="G58" s="140">
        <v>44427</v>
      </c>
      <c r="H58" s="140">
        <v>44431</v>
      </c>
      <c r="I58" s="139"/>
      <c r="J58" s="139"/>
      <c r="K58" s="139"/>
      <c r="L58" s="158">
        <v>426.66</v>
      </c>
      <c r="M58" s="158">
        <f>20688.18/F58</f>
        <v>29.767165467625901</v>
      </c>
      <c r="N58" s="158">
        <v>31.15</v>
      </c>
      <c r="O58" s="158"/>
      <c r="P58" s="193">
        <v>0</v>
      </c>
      <c r="Q58" s="191">
        <f t="shared" ref="Q58" si="154">P58*$C$2</f>
        <v>0</v>
      </c>
      <c r="R58" s="141"/>
      <c r="S58" s="158">
        <f>-8.5*426.66</f>
        <v>-3626.61</v>
      </c>
      <c r="T58" s="156">
        <f>(N58-M58)*F58</f>
        <v>961.06999999999778</v>
      </c>
      <c r="U58" s="156">
        <f t="shared" ref="U58" si="155">T58*L58</f>
        <v>410050.12619999907</v>
      </c>
      <c r="V58" s="156">
        <f>($C$2-L58)*(F58*N58)</f>
        <v>-27061.5625</v>
      </c>
      <c r="W58" s="156">
        <f t="shared" ref="W58" si="156">Q58+U58+V58+S58</f>
        <v>379361.95369999908</v>
      </c>
      <c r="X58" s="142">
        <f t="shared" ref="X58" si="157">F58*N58</f>
        <v>21649.25</v>
      </c>
      <c r="Y58" s="164">
        <f t="shared" si="7"/>
        <v>9209807.4425000008</v>
      </c>
      <c r="Z58" s="92">
        <f>Y58/$Y$139</f>
        <v>4.0740775260032676E-3</v>
      </c>
      <c r="AA58" s="222"/>
      <c r="AB58" s="223"/>
      <c r="AC58" s="2"/>
      <c r="AD58" s="224"/>
    </row>
    <row r="59" spans="1:30" ht="33" x14ac:dyDescent="0.2">
      <c r="A59" s="138" t="s">
        <v>112</v>
      </c>
      <c r="B59" s="154" t="s">
        <v>122</v>
      </c>
      <c r="C59" s="55" t="s">
        <v>2</v>
      </c>
      <c r="D59" s="155" t="s">
        <v>126</v>
      </c>
      <c r="E59" s="155" t="s">
        <v>216</v>
      </c>
      <c r="F59" s="17">
        <v>247</v>
      </c>
      <c r="G59" s="140">
        <v>44280</v>
      </c>
      <c r="H59" s="140">
        <v>44284</v>
      </c>
      <c r="I59" s="139"/>
      <c r="J59" s="139"/>
      <c r="K59" s="139"/>
      <c r="L59" s="158">
        <v>423.36</v>
      </c>
      <c r="M59" s="158">
        <v>50.51</v>
      </c>
      <c r="N59" s="158">
        <v>56.13</v>
      </c>
      <c r="O59" s="158"/>
      <c r="P59" s="193">
        <f>272.39/1341*F59</f>
        <v>50.171759880686054</v>
      </c>
      <c r="Q59" s="191">
        <f t="shared" si="78"/>
        <v>21343.568370842655</v>
      </c>
      <c r="R59" s="141"/>
      <c r="S59" s="158">
        <v>-1189.6415999999999</v>
      </c>
      <c r="T59" s="156">
        <f t="shared" si="1"/>
        <v>1388.1400000000012</v>
      </c>
      <c r="U59" s="156">
        <f t="shared" si="4"/>
        <v>587682.95040000055</v>
      </c>
      <c r="V59" s="156">
        <f t="shared" si="5"/>
        <v>28421.425500000158</v>
      </c>
      <c r="W59" s="156">
        <f t="shared" si="99"/>
        <v>636258.30267084332</v>
      </c>
      <c r="X59" s="142">
        <f t="shared" si="2"/>
        <v>13864.11</v>
      </c>
      <c r="Y59" s="164">
        <f t="shared" si="7"/>
        <v>5897931.0351</v>
      </c>
      <c r="Z59" s="92">
        <f>Y59/$Y$139</f>
        <v>2.6090261311148034E-3</v>
      </c>
      <c r="AA59" s="13"/>
      <c r="AC59" s="2"/>
      <c r="AD59" s="2"/>
    </row>
    <row r="60" spans="1:30" ht="33" x14ac:dyDescent="0.2">
      <c r="A60" s="138" t="s">
        <v>112</v>
      </c>
      <c r="B60" s="154" t="s">
        <v>122</v>
      </c>
      <c r="C60" s="55" t="s">
        <v>2</v>
      </c>
      <c r="D60" s="155" t="s">
        <v>126</v>
      </c>
      <c r="E60" s="155" t="s">
        <v>216</v>
      </c>
      <c r="F60" s="17">
        <v>242</v>
      </c>
      <c r="G60" s="140">
        <v>44280</v>
      </c>
      <c r="H60" s="140">
        <v>44284</v>
      </c>
      <c r="I60" s="139"/>
      <c r="J60" s="139"/>
      <c r="K60" s="139"/>
      <c r="L60" s="158">
        <v>423.36</v>
      </c>
      <c r="M60" s="158">
        <v>49.85</v>
      </c>
      <c r="N60" s="158">
        <v>56.13</v>
      </c>
      <c r="O60" s="158"/>
      <c r="P60" s="193">
        <f t="shared" ref="P60:P64" si="158">272.39/1341*F60</f>
        <v>49.156137211036537</v>
      </c>
      <c r="Q60" s="191">
        <f t="shared" si="78"/>
        <v>20911.512330947055</v>
      </c>
      <c r="R60" s="141"/>
      <c r="S60" s="158">
        <v>-1147.3055999999999</v>
      </c>
      <c r="T60" s="156">
        <f t="shared" si="1"/>
        <v>1519.7600000000002</v>
      </c>
      <c r="U60" s="156">
        <f t="shared" si="4"/>
        <v>643405.59360000014</v>
      </c>
      <c r="V60" s="156">
        <f t="shared" si="5"/>
        <v>27846.093000000157</v>
      </c>
      <c r="W60" s="156">
        <f t="shared" si="99"/>
        <v>691015.89333094738</v>
      </c>
      <c r="X60" s="142">
        <f t="shared" si="2"/>
        <v>13583.460000000001</v>
      </c>
      <c r="Y60" s="164">
        <f t="shared" si="7"/>
        <v>5778539.7186000003</v>
      </c>
      <c r="Z60" s="92">
        <f>Y60/$Y$139</f>
        <v>2.556211836962682E-3</v>
      </c>
      <c r="AA60" s="13"/>
      <c r="AC60" s="2"/>
      <c r="AD60" s="2"/>
    </row>
    <row r="61" spans="1:30" ht="33" x14ac:dyDescent="0.2">
      <c r="A61" s="138" t="s">
        <v>112</v>
      </c>
      <c r="B61" s="154" t="s">
        <v>122</v>
      </c>
      <c r="C61" s="55" t="s">
        <v>2</v>
      </c>
      <c r="D61" s="155" t="s">
        <v>126</v>
      </c>
      <c r="E61" s="155" t="s">
        <v>216</v>
      </c>
      <c r="F61" s="17">
        <v>279</v>
      </c>
      <c r="G61" s="140">
        <v>44293</v>
      </c>
      <c r="H61" s="140">
        <v>44295</v>
      </c>
      <c r="I61" s="139"/>
      <c r="J61" s="139"/>
      <c r="K61" s="139"/>
      <c r="L61" s="158">
        <v>430.77</v>
      </c>
      <c r="M61" s="158">
        <v>52.4</v>
      </c>
      <c r="N61" s="158">
        <v>56.13</v>
      </c>
      <c r="O61" s="158"/>
      <c r="P61" s="193">
        <f t="shared" si="158"/>
        <v>56.671744966442951</v>
      </c>
      <c r="Q61" s="191">
        <f t="shared" si="78"/>
        <v>24108.727026174496</v>
      </c>
      <c r="R61" s="141"/>
      <c r="S61" s="158">
        <v>-3661.5450000000001</v>
      </c>
      <c r="T61" s="156">
        <f t="shared" ref="T61:T66" si="159">(N61-M61)*F61</f>
        <v>1040.6700000000012</v>
      </c>
      <c r="U61" s="156">
        <f t="shared" ref="U61:U66" si="160">T61*L61</f>
        <v>448289.41590000049</v>
      </c>
      <c r="V61" s="156">
        <f t="shared" ref="V61:V66" si="161">($C$2-L61)*(F61*N61)</f>
        <v>-83939.047199999331</v>
      </c>
      <c r="W61" s="156">
        <f t="shared" si="99"/>
        <v>384797.55072617566</v>
      </c>
      <c r="X61" s="142">
        <f t="shared" ref="X61" si="162">F61*N61</f>
        <v>15660.27</v>
      </c>
      <c r="Y61" s="164">
        <f t="shared" si="7"/>
        <v>6662035.4606999997</v>
      </c>
      <c r="Z61" s="92">
        <f>Y61/$Y$139</f>
        <v>2.9470376136883809E-3</v>
      </c>
      <c r="AA61" s="13"/>
      <c r="AC61" s="2"/>
      <c r="AD61" s="2"/>
    </row>
    <row r="62" spans="1:30" ht="33" x14ac:dyDescent="0.2">
      <c r="A62" s="138" t="s">
        <v>112</v>
      </c>
      <c r="B62" s="154" t="s">
        <v>122</v>
      </c>
      <c r="C62" s="55" t="s">
        <v>2</v>
      </c>
      <c r="D62" s="155" t="s">
        <v>126</v>
      </c>
      <c r="E62" s="155" t="s">
        <v>216</v>
      </c>
      <c r="F62" s="17">
        <v>245</v>
      </c>
      <c r="G62" s="140">
        <v>44307</v>
      </c>
      <c r="H62" s="140">
        <v>44309</v>
      </c>
      <c r="I62" s="139"/>
      <c r="J62" s="139"/>
      <c r="K62" s="139"/>
      <c r="L62" s="158">
        <v>432.01</v>
      </c>
      <c r="M62" s="158">
        <v>52.71</v>
      </c>
      <c r="N62" s="158">
        <v>56.13</v>
      </c>
      <c r="O62" s="158"/>
      <c r="P62" s="193">
        <f t="shared" si="158"/>
        <v>49.765510812826243</v>
      </c>
      <c r="Q62" s="191">
        <f t="shared" si="78"/>
        <v>21170.745954884413</v>
      </c>
      <c r="R62" s="141"/>
      <c r="S62" s="158">
        <v>-3672.085</v>
      </c>
      <c r="T62" s="156">
        <f t="shared" si="159"/>
        <v>837.90000000000043</v>
      </c>
      <c r="U62" s="156">
        <f t="shared" si="160"/>
        <v>361981.17900000018</v>
      </c>
      <c r="V62" s="156">
        <f t="shared" si="161"/>
        <v>-90762.209999999526</v>
      </c>
      <c r="W62" s="156">
        <f t="shared" si="99"/>
        <v>288717.62995488505</v>
      </c>
      <c r="X62" s="142">
        <f t="shared" ref="X62" si="163">F62*N62</f>
        <v>13751.85</v>
      </c>
      <c r="Y62" s="164">
        <f t="shared" si="7"/>
        <v>5850174.5085000005</v>
      </c>
      <c r="Z62" s="92">
        <f>Y62/$Y$139</f>
        <v>2.5879004134539548E-3</v>
      </c>
      <c r="AA62" s="13"/>
      <c r="AC62" s="2"/>
      <c r="AD62" s="2"/>
    </row>
    <row r="63" spans="1:30" ht="33" x14ac:dyDescent="0.2">
      <c r="A63" s="138" t="s">
        <v>112</v>
      </c>
      <c r="B63" s="154" t="s">
        <v>122</v>
      </c>
      <c r="C63" s="55" t="s">
        <v>2</v>
      </c>
      <c r="D63" s="155" t="s">
        <v>126</v>
      </c>
      <c r="E63" s="155" t="s">
        <v>216</v>
      </c>
      <c r="F63" s="17">
        <v>222</v>
      </c>
      <c r="G63" s="140">
        <v>44321</v>
      </c>
      <c r="H63" s="140">
        <v>44323</v>
      </c>
      <c r="I63" s="139"/>
      <c r="J63" s="139"/>
      <c r="K63" s="139"/>
      <c r="L63" s="158">
        <v>426.85</v>
      </c>
      <c r="M63" s="158">
        <v>54.34</v>
      </c>
      <c r="N63" s="158">
        <v>56.13</v>
      </c>
      <c r="O63" s="158"/>
      <c r="P63" s="193">
        <f t="shared" si="158"/>
        <v>45.093646532438477</v>
      </c>
      <c r="Q63" s="191">
        <f t="shared" si="78"/>
        <v>19183.288171364653</v>
      </c>
      <c r="R63" s="141"/>
      <c r="S63" s="158">
        <v>-3628.2249999999999</v>
      </c>
      <c r="T63" s="156">
        <f t="shared" si="159"/>
        <v>397.37999999999982</v>
      </c>
      <c r="U63" s="156">
        <f t="shared" si="160"/>
        <v>169621.65299999993</v>
      </c>
      <c r="V63" s="156">
        <f t="shared" si="161"/>
        <v>-17943.638399999971</v>
      </c>
      <c r="W63" s="156">
        <f t="shared" si="99"/>
        <v>167233.07777136462</v>
      </c>
      <c r="X63" s="142">
        <f t="shared" ref="X63" si="164">F63*N63</f>
        <v>12460.86</v>
      </c>
      <c r="Y63" s="164">
        <f t="shared" si="7"/>
        <v>5300974.4526000004</v>
      </c>
      <c r="Z63" s="92">
        <f>Y63/$Y$139</f>
        <v>2.344954660354196E-3</v>
      </c>
      <c r="AA63" s="13"/>
      <c r="AC63" s="2"/>
      <c r="AD63" s="2"/>
    </row>
    <row r="64" spans="1:30" ht="33" x14ac:dyDescent="0.2">
      <c r="A64" s="138" t="s">
        <v>112</v>
      </c>
      <c r="B64" s="154" t="s">
        <v>122</v>
      </c>
      <c r="C64" s="55" t="s">
        <v>2</v>
      </c>
      <c r="D64" s="155" t="s">
        <v>126</v>
      </c>
      <c r="E64" s="155" t="s">
        <v>216</v>
      </c>
      <c r="F64" s="17">
        <v>106</v>
      </c>
      <c r="G64" s="140">
        <v>44343</v>
      </c>
      <c r="H64" s="140">
        <v>44347</v>
      </c>
      <c r="I64" s="139"/>
      <c r="J64" s="139"/>
      <c r="K64" s="139"/>
      <c r="L64" s="158">
        <v>428.48</v>
      </c>
      <c r="M64" s="158">
        <v>55.34</v>
      </c>
      <c r="N64" s="158">
        <v>56.13</v>
      </c>
      <c r="O64" s="158"/>
      <c r="P64" s="193">
        <f t="shared" si="158"/>
        <v>21.531200596569722</v>
      </c>
      <c r="Q64" s="191">
        <f t="shared" si="78"/>
        <v>9159.5880457867261</v>
      </c>
      <c r="R64" s="141"/>
      <c r="S64" s="158">
        <v>-3642.08</v>
      </c>
      <c r="T64" s="156">
        <f t="shared" si="159"/>
        <v>83.73999999999991</v>
      </c>
      <c r="U64" s="156">
        <f t="shared" si="160"/>
        <v>35880.915199999959</v>
      </c>
      <c r="V64" s="156">
        <f t="shared" si="161"/>
        <v>-18265.82459999996</v>
      </c>
      <c r="W64" s="156">
        <f t="shared" si="99"/>
        <v>23132.598645786726</v>
      </c>
      <c r="X64" s="142">
        <f t="shared" ref="X64" si="165">F64*N64</f>
        <v>5949.7800000000007</v>
      </c>
      <c r="Y64" s="164">
        <f t="shared" si="7"/>
        <v>2531095.9098</v>
      </c>
      <c r="Z64" s="92">
        <f>Y64/$Y$139</f>
        <v>1.1196630360249763E-3</v>
      </c>
      <c r="AA64" s="13"/>
      <c r="AC64" s="2"/>
      <c r="AD64" s="2"/>
    </row>
    <row r="65" spans="1:30" s="225" customFormat="1" ht="33" x14ac:dyDescent="0.2">
      <c r="A65" s="138" t="s">
        <v>112</v>
      </c>
      <c r="B65" s="154" t="s">
        <v>122</v>
      </c>
      <c r="C65" s="55" t="s">
        <v>2</v>
      </c>
      <c r="D65" s="155" t="s">
        <v>126</v>
      </c>
      <c r="E65" s="155" t="s">
        <v>216</v>
      </c>
      <c r="F65" s="17">
        <v>192</v>
      </c>
      <c r="G65" s="140">
        <v>44393</v>
      </c>
      <c r="H65" s="140">
        <v>44397</v>
      </c>
      <c r="I65" s="139"/>
      <c r="J65" s="139"/>
      <c r="K65" s="139"/>
      <c r="L65" s="158">
        <v>426.47</v>
      </c>
      <c r="M65" s="158">
        <v>54.32</v>
      </c>
      <c r="N65" s="158">
        <v>56.13</v>
      </c>
      <c r="O65" s="158"/>
      <c r="P65" s="193">
        <v>0</v>
      </c>
      <c r="Q65" s="191">
        <f t="shared" ref="Q65" si="166">P65*$C$2</f>
        <v>0</v>
      </c>
      <c r="R65" s="141"/>
      <c r="S65" s="158">
        <v>-3624.9949999999999</v>
      </c>
      <c r="T65" s="156">
        <f t="shared" si="159"/>
        <v>347.52000000000044</v>
      </c>
      <c r="U65" s="156">
        <f t="shared" si="160"/>
        <v>148206.85440000019</v>
      </c>
      <c r="V65" s="156">
        <f t="shared" si="161"/>
        <v>-11423.577600000026</v>
      </c>
      <c r="W65" s="156">
        <f t="shared" ref="W65" si="167">Q65+U65+V65+S65</f>
        <v>133158.28180000017</v>
      </c>
      <c r="X65" s="142">
        <f t="shared" ref="X65" si="168">F65*N65</f>
        <v>10776.960000000001</v>
      </c>
      <c r="Y65" s="164">
        <f t="shared" si="7"/>
        <v>4584626.5536000002</v>
      </c>
      <c r="Z65" s="92">
        <f>Y65/$Y$139</f>
        <v>2.0280688954414667E-3</v>
      </c>
      <c r="AA65" s="222"/>
      <c r="AB65" s="223"/>
      <c r="AC65" s="2"/>
      <c r="AD65" s="224"/>
    </row>
    <row r="66" spans="1:30" s="225" customFormat="1" ht="33" x14ac:dyDescent="0.2">
      <c r="A66" s="138" t="s">
        <v>112</v>
      </c>
      <c r="B66" s="154" t="s">
        <v>122</v>
      </c>
      <c r="C66" s="55" t="s">
        <v>2</v>
      </c>
      <c r="D66" s="155" t="s">
        <v>126</v>
      </c>
      <c r="E66" s="155" t="s">
        <v>216</v>
      </c>
      <c r="F66" s="17">
        <v>184</v>
      </c>
      <c r="G66" s="140">
        <v>44414</v>
      </c>
      <c r="H66" s="140">
        <v>44418</v>
      </c>
      <c r="I66" s="139"/>
      <c r="J66" s="139"/>
      <c r="K66" s="139"/>
      <c r="L66" s="158">
        <v>424.32</v>
      </c>
      <c r="M66" s="158">
        <v>55.35</v>
      </c>
      <c r="N66" s="158">
        <v>56.13</v>
      </c>
      <c r="O66" s="158"/>
      <c r="P66" s="193">
        <v>0</v>
      </c>
      <c r="Q66" s="191">
        <f t="shared" ref="Q66" si="169">P66*$C$2</f>
        <v>0</v>
      </c>
      <c r="R66" s="141"/>
      <c r="S66" s="158">
        <v>-3606.72</v>
      </c>
      <c r="T66" s="156">
        <f t="shared" si="159"/>
        <v>143.52000000000021</v>
      </c>
      <c r="U66" s="156">
        <f t="shared" si="160"/>
        <v>60898.406400000087</v>
      </c>
      <c r="V66" s="156">
        <f t="shared" si="161"/>
        <v>11257.43280000033</v>
      </c>
      <c r="W66" s="156">
        <f t="shared" ref="W66" si="170">Q66+U66+V66+S66</f>
        <v>68549.119200000423</v>
      </c>
      <c r="X66" s="142">
        <f t="shared" ref="X66" si="171">F66*N66</f>
        <v>10327.92</v>
      </c>
      <c r="Y66" s="164">
        <f t="shared" si="7"/>
        <v>4393600.4472000003</v>
      </c>
      <c r="Z66" s="92">
        <f>Y66/$Y$139</f>
        <v>1.9435660247980723E-3</v>
      </c>
      <c r="AA66" s="222"/>
      <c r="AB66" s="223"/>
      <c r="AC66" s="2"/>
      <c r="AD66" s="224"/>
    </row>
    <row r="67" spans="1:30" x14ac:dyDescent="0.2">
      <c r="A67" s="138" t="s">
        <v>113</v>
      </c>
      <c r="B67" s="154" t="s">
        <v>123</v>
      </c>
      <c r="C67" s="55" t="s">
        <v>2</v>
      </c>
      <c r="D67" s="155" t="s">
        <v>129</v>
      </c>
      <c r="E67" s="155" t="s">
        <v>216</v>
      </c>
      <c r="F67" s="17">
        <v>1703</v>
      </c>
      <c r="G67" s="140">
        <v>44280</v>
      </c>
      <c r="H67" s="140">
        <v>44284</v>
      </c>
      <c r="I67" s="139"/>
      <c r="J67" s="139"/>
      <c r="K67" s="139"/>
      <c r="L67" s="158">
        <v>423.36</v>
      </c>
      <c r="M67" s="158">
        <v>32.130000000000003</v>
      </c>
      <c r="N67" s="158">
        <v>32.17</v>
      </c>
      <c r="O67" s="158"/>
      <c r="P67" s="141"/>
      <c r="Q67" s="141"/>
      <c r="R67" s="141"/>
      <c r="S67" s="158">
        <v>-5211.5616</v>
      </c>
      <c r="T67" s="156">
        <f t="shared" si="1"/>
        <v>68.119999999998555</v>
      </c>
      <c r="U67" s="156">
        <f t="shared" si="4"/>
        <v>28839.28319999939</v>
      </c>
      <c r="V67" s="156">
        <f t="shared" si="5"/>
        <v>112310.29550000063</v>
      </c>
      <c r="W67" s="156">
        <f t="shared" si="99"/>
        <v>135938.01710000003</v>
      </c>
      <c r="X67" s="142">
        <f t="shared" si="2"/>
        <v>54785.51</v>
      </c>
      <c r="Y67" s="164">
        <f t="shared" si="7"/>
        <v>23306303.809099998</v>
      </c>
      <c r="Z67" s="92">
        <f>Y67/$Y$139</f>
        <v>1.0309845146673775E-2</v>
      </c>
      <c r="AA67" s="13"/>
      <c r="AC67" s="2"/>
      <c r="AD67" s="2"/>
    </row>
    <row r="68" spans="1:30" x14ac:dyDescent="0.2">
      <c r="A68" s="138" t="s">
        <v>113</v>
      </c>
      <c r="B68" s="154" t="s">
        <v>123</v>
      </c>
      <c r="C68" s="55" t="s">
        <v>2</v>
      </c>
      <c r="D68" s="155" t="s">
        <v>129</v>
      </c>
      <c r="E68" s="155" t="s">
        <v>216</v>
      </c>
      <c r="F68" s="17">
        <v>1666</v>
      </c>
      <c r="G68" s="140">
        <v>44280</v>
      </c>
      <c r="H68" s="140">
        <v>44284</v>
      </c>
      <c r="I68" s="139"/>
      <c r="J68" s="139"/>
      <c r="K68" s="139"/>
      <c r="L68" s="158">
        <v>423.36</v>
      </c>
      <c r="M68" s="158">
        <v>32.229999999999997</v>
      </c>
      <c r="N68" s="158">
        <v>32.17</v>
      </c>
      <c r="O68" s="158"/>
      <c r="P68" s="141"/>
      <c r="Q68" s="141"/>
      <c r="R68" s="141"/>
      <c r="S68" s="158">
        <v>-5114.1887999999999</v>
      </c>
      <c r="T68" s="156">
        <f t="shared" si="1"/>
        <v>-99.95999999999195</v>
      </c>
      <c r="U68" s="156">
        <f t="shared" si="4"/>
        <v>-42319.065599996597</v>
      </c>
      <c r="V68" s="156">
        <f t="shared" si="5"/>
        <v>109870.20100000061</v>
      </c>
      <c r="W68" s="156">
        <f t="shared" si="99"/>
        <v>62436.946600004012</v>
      </c>
      <c r="X68" s="142">
        <f t="shared" si="2"/>
        <v>53595.22</v>
      </c>
      <c r="Y68" s="164">
        <f t="shared" si="7"/>
        <v>22799942.540199999</v>
      </c>
      <c r="Z68" s="92">
        <f>Y68/$Y$139</f>
        <v>1.0085849685471821E-2</v>
      </c>
      <c r="AA68" s="13"/>
      <c r="AC68" s="2"/>
      <c r="AD68" s="2"/>
    </row>
    <row r="69" spans="1:30" x14ac:dyDescent="0.2">
      <c r="A69" s="138" t="s">
        <v>113</v>
      </c>
      <c r="B69" s="154" t="s">
        <v>123</v>
      </c>
      <c r="C69" s="55" t="s">
        <v>2</v>
      </c>
      <c r="D69" s="155" t="s">
        <v>129</v>
      </c>
      <c r="E69" s="155" t="s">
        <v>216</v>
      </c>
      <c r="F69" s="17">
        <v>1904</v>
      </c>
      <c r="G69" s="140">
        <v>44293</v>
      </c>
      <c r="H69" s="140">
        <v>44295</v>
      </c>
      <c r="I69" s="139"/>
      <c r="J69" s="139"/>
      <c r="K69" s="139"/>
      <c r="L69" s="158">
        <v>430.77</v>
      </c>
      <c r="M69" s="158">
        <v>33.96</v>
      </c>
      <c r="N69" s="158">
        <v>32.17</v>
      </c>
      <c r="O69" s="158"/>
      <c r="P69" s="141"/>
      <c r="Q69" s="141"/>
      <c r="R69" s="141"/>
      <c r="S69" s="158">
        <v>-6267.7034999999996</v>
      </c>
      <c r="T69" s="156">
        <f t="shared" ref="T69" si="172">(N69-M69)*F69</f>
        <v>-3408.1599999999985</v>
      </c>
      <c r="U69" s="156">
        <f t="shared" ref="U69" si="173">T69*L69</f>
        <v>-1468133.0831999993</v>
      </c>
      <c r="V69" s="156">
        <f t="shared" ref="V69" si="174">($C$2-L69)*(F69*N69)</f>
        <v>-328309.00479999738</v>
      </c>
      <c r="W69" s="156">
        <f t="shared" si="99"/>
        <v>-1802709.7914999968</v>
      </c>
      <c r="X69" s="142">
        <f t="shared" ref="X69" si="175">F69*N69</f>
        <v>61251.68</v>
      </c>
      <c r="Y69" s="164">
        <f t="shared" si="7"/>
        <v>26057077.1888</v>
      </c>
      <c r="Z69" s="92">
        <f>Y69/$Y$139</f>
        <v>1.1526685354824939E-2</v>
      </c>
      <c r="AA69" s="13"/>
      <c r="AC69" s="2"/>
      <c r="AD69" s="2"/>
    </row>
    <row r="70" spans="1:30" x14ac:dyDescent="0.2">
      <c r="A70" s="138" t="s">
        <v>113</v>
      </c>
      <c r="B70" s="154" t="s">
        <v>123</v>
      </c>
      <c r="C70" s="55" t="s">
        <v>2</v>
      </c>
      <c r="D70" s="155" t="s">
        <v>129</v>
      </c>
      <c r="E70" s="155" t="s">
        <v>216</v>
      </c>
      <c r="F70" s="17">
        <v>1408</v>
      </c>
      <c r="G70" s="140">
        <v>44307</v>
      </c>
      <c r="H70" s="140">
        <v>44309</v>
      </c>
      <c r="I70" s="139"/>
      <c r="J70" s="139"/>
      <c r="K70" s="139"/>
      <c r="L70" s="158">
        <v>432.01</v>
      </c>
      <c r="M70" s="158">
        <v>36.635490056818199</v>
      </c>
      <c r="N70" s="158">
        <v>32.17</v>
      </c>
      <c r="O70" s="158"/>
      <c r="P70" s="141"/>
      <c r="Q70" s="141"/>
      <c r="R70" s="141"/>
      <c r="S70" s="158">
        <v>-5015.6360999999997</v>
      </c>
      <c r="T70" s="156">
        <f t="shared" ref="T70" si="176">(N70-M70)*F70</f>
        <v>-6287.4100000000217</v>
      </c>
      <c r="U70" s="156">
        <f t="shared" ref="U70" si="177">T70*L70</f>
        <v>-2716223.9941000091</v>
      </c>
      <c r="V70" s="156">
        <f t="shared" ref="V70" si="178">($C$2-L70)*(F70*N70)</f>
        <v>-298949.37599999848</v>
      </c>
      <c r="W70" s="156">
        <f t="shared" si="99"/>
        <v>-3020189.0062000072</v>
      </c>
      <c r="X70" s="142">
        <f t="shared" ref="X70" si="179">F70*N70</f>
        <v>45295.360000000001</v>
      </c>
      <c r="Y70" s="164">
        <f t="shared" si="7"/>
        <v>19269099.097600002</v>
      </c>
      <c r="Z70" s="92">
        <f>Y70/$Y$139</f>
        <v>8.5239353884419711E-3</v>
      </c>
      <c r="AA70" s="13"/>
      <c r="AC70" s="2"/>
      <c r="AD70" s="2"/>
    </row>
    <row r="71" spans="1:30" x14ac:dyDescent="0.2">
      <c r="A71" s="138" t="s">
        <v>113</v>
      </c>
      <c r="B71" s="154" t="s">
        <v>123</v>
      </c>
      <c r="C71" s="55" t="s">
        <v>2</v>
      </c>
      <c r="D71" s="155" t="s">
        <v>129</v>
      </c>
      <c r="E71" s="155" t="s">
        <v>216</v>
      </c>
      <c r="F71" s="17">
        <v>1358</v>
      </c>
      <c r="G71" s="140">
        <v>44321</v>
      </c>
      <c r="H71" s="140">
        <v>44323</v>
      </c>
      <c r="I71" s="139"/>
      <c r="J71" s="139"/>
      <c r="K71" s="139"/>
      <c r="L71" s="158">
        <v>426.85</v>
      </c>
      <c r="M71" s="158">
        <v>35.354270986745199</v>
      </c>
      <c r="N71" s="158">
        <v>32.17</v>
      </c>
      <c r="O71" s="158"/>
      <c r="P71" s="141"/>
      <c r="Q71" s="141"/>
      <c r="R71" s="141"/>
      <c r="S71" s="158">
        <v>-4609.9799999999996</v>
      </c>
      <c r="T71" s="156">
        <f t="shared" ref="T71" si="180">(N71-M71)*F71</f>
        <v>-4324.239999999978</v>
      </c>
      <c r="U71" s="156">
        <f t="shared" ref="U71" si="181">T71*L71</f>
        <v>-1845801.8439999907</v>
      </c>
      <c r="V71" s="156">
        <f t="shared" ref="V71" si="182">($C$2-L71)*(F71*N71)</f>
        <v>-62909.078399999904</v>
      </c>
      <c r="W71" s="156">
        <f t="shared" si="99"/>
        <v>-1913320.9023999907</v>
      </c>
      <c r="X71" s="142">
        <f t="shared" ref="X71" si="183">F71*N71</f>
        <v>43686.86</v>
      </c>
      <c r="Y71" s="164">
        <f t="shared" si="7"/>
        <v>18584827.112599999</v>
      </c>
      <c r="Z71" s="92">
        <f>Y71/$Y$139</f>
        <v>8.2212388192501387E-3</v>
      </c>
      <c r="AA71" s="13"/>
      <c r="AC71" s="2"/>
      <c r="AD71" s="2"/>
    </row>
    <row r="72" spans="1:30" x14ac:dyDescent="0.2">
      <c r="A72" s="138" t="s">
        <v>113</v>
      </c>
      <c r="B72" s="154" t="s">
        <v>123</v>
      </c>
      <c r="C72" s="55" t="s">
        <v>2</v>
      </c>
      <c r="D72" s="155" t="s">
        <v>129</v>
      </c>
      <c r="E72" s="155" t="s">
        <v>216</v>
      </c>
      <c r="F72" s="17">
        <v>865</v>
      </c>
      <c r="G72" s="140">
        <v>44363</v>
      </c>
      <c r="H72" s="140">
        <v>44365</v>
      </c>
      <c r="I72" s="139"/>
      <c r="J72" s="139"/>
      <c r="K72" s="139"/>
      <c r="L72" s="158">
        <v>425.63</v>
      </c>
      <c r="M72" s="158">
        <v>37.65</v>
      </c>
      <c r="N72" s="158">
        <v>32.17</v>
      </c>
      <c r="O72" s="158"/>
      <c r="P72" s="141"/>
      <c r="Q72" s="141"/>
      <c r="R72" s="141"/>
      <c r="S72" s="158">
        <v>-3617.855</v>
      </c>
      <c r="T72" s="156">
        <f t="shared" ref="T72" si="184">(N72-M72)*F72</f>
        <v>-4740.1999999999971</v>
      </c>
      <c r="U72" s="156">
        <f t="shared" ref="U72" si="185">T72*L72</f>
        <v>-2017571.3259999987</v>
      </c>
      <c r="V72" s="156">
        <f t="shared" ref="V72" si="186">($C$2-L72)*(F72*N72)</f>
        <v>-6121.9509999991778</v>
      </c>
      <c r="W72" s="156">
        <f t="shared" si="99"/>
        <v>-2027311.1319999979</v>
      </c>
      <c r="X72" s="142">
        <f t="shared" ref="X72" si="187">F72*N72</f>
        <v>27827.050000000003</v>
      </c>
      <c r="Y72" s="164">
        <f t="shared" si="7"/>
        <v>11837905.340500001</v>
      </c>
      <c r="Z72" s="92">
        <f>Y72/$Y$139</f>
        <v>5.2366506470186832E-3</v>
      </c>
      <c r="AA72" s="13"/>
      <c r="AC72" s="2"/>
      <c r="AD72" s="2"/>
    </row>
    <row r="73" spans="1:30" s="225" customFormat="1" x14ac:dyDescent="0.2">
      <c r="A73" s="138" t="s">
        <v>113</v>
      </c>
      <c r="B73" s="154" t="s">
        <v>123</v>
      </c>
      <c r="C73" s="55" t="s">
        <v>2</v>
      </c>
      <c r="D73" s="155" t="s">
        <v>129</v>
      </c>
      <c r="E73" s="155" t="s">
        <v>216</v>
      </c>
      <c r="F73" s="17">
        <v>1662</v>
      </c>
      <c r="G73" s="140">
        <v>44393</v>
      </c>
      <c r="H73" s="140">
        <v>44397</v>
      </c>
      <c r="I73" s="139"/>
      <c r="J73" s="139"/>
      <c r="K73" s="139"/>
      <c r="L73" s="158">
        <v>426.47</v>
      </c>
      <c r="M73" s="158">
        <v>34.25</v>
      </c>
      <c r="N73" s="158">
        <v>32.17</v>
      </c>
      <c r="O73" s="158"/>
      <c r="P73" s="141"/>
      <c r="Q73" s="141"/>
      <c r="R73" s="141"/>
      <c r="S73" s="158">
        <v>-5463.0807000000004</v>
      </c>
      <c r="T73" s="156">
        <f t="shared" ref="T73" si="188">(N73-M73)*F73</f>
        <v>-3456.9599999999973</v>
      </c>
      <c r="U73" s="156">
        <f t="shared" ref="U73" si="189">T73*L73</f>
        <v>-1474289.7311999989</v>
      </c>
      <c r="V73" s="156">
        <f>($C$2-L73)*(F73*N73)</f>
        <v>-56674.53240000012</v>
      </c>
      <c r="W73" s="156">
        <f t="shared" ref="W73" si="190">Q73+U73+V73+S73</f>
        <v>-1536427.3442999991</v>
      </c>
      <c r="X73" s="142">
        <f t="shared" ref="X73" si="191">F73*N73</f>
        <v>53466.54</v>
      </c>
      <c r="Y73" s="164">
        <f t="shared" si="7"/>
        <v>22745200.781399999</v>
      </c>
      <c r="Z73" s="92">
        <f>Y73/$Y$139</f>
        <v>1.0061633959936474E-2</v>
      </c>
      <c r="AA73" s="222"/>
      <c r="AB73" s="223"/>
      <c r="AC73" s="2"/>
      <c r="AD73" s="224"/>
    </row>
    <row r="74" spans="1:30" s="225" customFormat="1" x14ac:dyDescent="0.2">
      <c r="A74" s="138" t="s">
        <v>113</v>
      </c>
      <c r="B74" s="154" t="s">
        <v>123</v>
      </c>
      <c r="C74" s="55" t="s">
        <v>2</v>
      </c>
      <c r="D74" s="155" t="s">
        <v>129</v>
      </c>
      <c r="E74" s="155" t="s">
        <v>216</v>
      </c>
      <c r="F74" s="17">
        <v>726</v>
      </c>
      <c r="G74" s="140">
        <v>44399</v>
      </c>
      <c r="H74" s="140">
        <v>44403</v>
      </c>
      <c r="I74" s="139"/>
      <c r="J74" s="139"/>
      <c r="K74" s="139"/>
      <c r="L74" s="158">
        <v>425.71</v>
      </c>
      <c r="M74" s="158">
        <v>33.39</v>
      </c>
      <c r="N74" s="158">
        <v>32.17</v>
      </c>
      <c r="O74" s="158"/>
      <c r="P74" s="141"/>
      <c r="Q74" s="141"/>
      <c r="R74" s="141"/>
      <c r="S74" s="158">
        <v>-3618.54</v>
      </c>
      <c r="T74" s="156">
        <f t="shared" ref="T74" si="192">(N74-M74)*F74</f>
        <v>-885.71999999999912</v>
      </c>
      <c r="U74" s="156">
        <f t="shared" ref="U74" si="193">T74*L74</f>
        <v>-377059.86119999958</v>
      </c>
      <c r="V74" s="156">
        <f>($C$2-L74)*(F74*N74)</f>
        <v>-7006.6259999989388</v>
      </c>
      <c r="W74" s="156">
        <f t="shared" ref="W74" si="194">Q74+U74+V74+S74</f>
        <v>-387685.0271999985</v>
      </c>
      <c r="X74" s="142">
        <f t="shared" ref="X74" si="195">F74*N74</f>
        <v>23355.420000000002</v>
      </c>
      <c r="Y74" s="164">
        <f t="shared" si="7"/>
        <v>9935629.2222000007</v>
      </c>
      <c r="Z74" s="92">
        <f>Y74/$Y$139</f>
        <v>4.3951541846653916E-3</v>
      </c>
      <c r="AA74" s="222"/>
      <c r="AB74" s="223"/>
      <c r="AC74" s="2"/>
      <c r="AD74" s="224"/>
    </row>
    <row r="75" spans="1:30" s="225" customFormat="1" x14ac:dyDescent="0.2">
      <c r="A75" s="138" t="s">
        <v>113</v>
      </c>
      <c r="B75" s="154" t="s">
        <v>123</v>
      </c>
      <c r="C75" s="55" t="s">
        <v>2</v>
      </c>
      <c r="D75" s="155" t="s">
        <v>129</v>
      </c>
      <c r="E75" s="155" t="s">
        <v>216</v>
      </c>
      <c r="F75" s="17">
        <v>653</v>
      </c>
      <c r="G75" s="140">
        <v>44414</v>
      </c>
      <c r="H75" s="140">
        <v>44418</v>
      </c>
      <c r="I75" s="139"/>
      <c r="J75" s="139"/>
      <c r="K75" s="139"/>
      <c r="L75" s="158">
        <v>424.32</v>
      </c>
      <c r="M75" s="158">
        <v>33.18</v>
      </c>
      <c r="N75" s="158">
        <v>32.17</v>
      </c>
      <c r="O75" s="158"/>
      <c r="P75" s="141"/>
      <c r="Q75" s="141"/>
      <c r="R75" s="141"/>
      <c r="S75" s="158">
        <v>-3606.72</v>
      </c>
      <c r="T75" s="156">
        <f t="shared" ref="T75" si="196">(N75-M75)*F75</f>
        <v>-659.52999999999872</v>
      </c>
      <c r="U75" s="156">
        <f t="shared" ref="U75" si="197">T75*L75</f>
        <v>-279851.76959999948</v>
      </c>
      <c r="V75" s="156">
        <f>($C$2-L75)*(F75*N75)</f>
        <v>22897.640900000672</v>
      </c>
      <c r="W75" s="156">
        <f t="shared" ref="W75" si="198">Q75+U75+V75+S75</f>
        <v>-260560.84869999881</v>
      </c>
      <c r="X75" s="142">
        <f t="shared" ref="X75" si="199">F75*N75</f>
        <v>21007.010000000002</v>
      </c>
      <c r="Y75" s="164">
        <f t="shared" si="7"/>
        <v>8936592.1240999997</v>
      </c>
      <c r="Z75" s="92">
        <f>Y75/$Y$139</f>
        <v>3.9532171936453179E-3</v>
      </c>
      <c r="AA75" s="222"/>
      <c r="AB75" s="223"/>
      <c r="AC75" s="2"/>
      <c r="AD75" s="224"/>
    </row>
    <row r="76" spans="1:30" x14ac:dyDescent="0.2">
      <c r="A76" s="138" t="s">
        <v>114</v>
      </c>
      <c r="B76" s="154" t="s">
        <v>124</v>
      </c>
      <c r="C76" s="55" t="s">
        <v>2</v>
      </c>
      <c r="D76" s="155" t="s">
        <v>126</v>
      </c>
      <c r="E76" s="155" t="s">
        <v>216</v>
      </c>
      <c r="F76" s="17">
        <v>153</v>
      </c>
      <c r="G76" s="140">
        <v>44280</v>
      </c>
      <c r="H76" s="140">
        <v>44284</v>
      </c>
      <c r="I76" s="139"/>
      <c r="J76" s="139"/>
      <c r="K76" s="139"/>
      <c r="L76" s="158">
        <v>423.36</v>
      </c>
      <c r="M76" s="158">
        <v>355.66</v>
      </c>
      <c r="N76" s="158">
        <v>415.75</v>
      </c>
      <c r="O76" s="158"/>
      <c r="P76" s="191">
        <f>1.132965*F76</f>
        <v>173.34364500000001</v>
      </c>
      <c r="Q76" s="191">
        <f>P76*$D$2</f>
        <v>73742.120019450012</v>
      </c>
      <c r="R76" s="141"/>
      <c r="S76" s="158">
        <v>-5181.9264000000003</v>
      </c>
      <c r="T76" s="156">
        <f t="shared" si="1"/>
        <v>9193.7699999999968</v>
      </c>
      <c r="U76" s="156">
        <f t="shared" si="4"/>
        <v>3892274.4671999989</v>
      </c>
      <c r="V76" s="156">
        <f t="shared" si="5"/>
        <v>130399.98750000072</v>
      </c>
      <c r="W76" s="156">
        <f t="shared" si="99"/>
        <v>4091234.6483194493</v>
      </c>
      <c r="X76" s="142">
        <f t="shared" si="2"/>
        <v>63609.75</v>
      </c>
      <c r="Y76" s="164">
        <f t="shared" si="7"/>
        <v>27060223.747499999</v>
      </c>
      <c r="Z76" s="92">
        <f>Y76/$Y$139</f>
        <v>1.1970440218930739E-2</v>
      </c>
      <c r="AA76" s="13"/>
      <c r="AC76" s="2"/>
      <c r="AD76" s="2"/>
    </row>
    <row r="77" spans="1:30" x14ac:dyDescent="0.2">
      <c r="A77" s="138" t="s">
        <v>114</v>
      </c>
      <c r="B77" s="154" t="s">
        <v>124</v>
      </c>
      <c r="C77" s="55" t="s">
        <v>2</v>
      </c>
      <c r="D77" s="155" t="s">
        <v>126</v>
      </c>
      <c r="E77" s="155" t="s">
        <v>216</v>
      </c>
      <c r="F77" s="17">
        <v>156</v>
      </c>
      <c r="G77" s="140">
        <v>44280</v>
      </c>
      <c r="H77" s="140">
        <v>44284</v>
      </c>
      <c r="I77" s="139"/>
      <c r="J77" s="139"/>
      <c r="K77" s="139"/>
      <c r="L77" s="158">
        <v>423.36</v>
      </c>
      <c r="M77" s="158">
        <v>357.1</v>
      </c>
      <c r="N77" s="158">
        <v>415.75</v>
      </c>
      <c r="O77" s="158"/>
      <c r="P77" s="191">
        <f t="shared" ref="P77:P82" si="200">1.132965*F77</f>
        <v>176.74253999999999</v>
      </c>
      <c r="Q77" s="191">
        <f t="shared" ref="Q77:Q82" si="201">P77*$D$2</f>
        <v>75188.043941399999</v>
      </c>
      <c r="R77" s="141"/>
      <c r="S77" s="158">
        <v>-5304.7007999999996</v>
      </c>
      <c r="T77" s="156">
        <f t="shared" si="1"/>
        <v>9149.399999999996</v>
      </c>
      <c r="U77" s="156">
        <f t="shared" si="4"/>
        <v>3873489.9839999983</v>
      </c>
      <c r="V77" s="156">
        <f t="shared" si="5"/>
        <v>132956.85000000073</v>
      </c>
      <c r="W77" s="156">
        <f t="shared" si="99"/>
        <v>4076330.1771413987</v>
      </c>
      <c r="X77" s="142">
        <f t="shared" si="2"/>
        <v>64857</v>
      </c>
      <c r="Y77" s="164">
        <f t="shared" si="7"/>
        <v>27590816.370000001</v>
      </c>
      <c r="Z77" s="92">
        <f>Y77/$Y$139</f>
        <v>1.2205154733027421E-2</v>
      </c>
      <c r="AA77" s="13"/>
      <c r="AC77" s="2"/>
      <c r="AD77" s="2"/>
    </row>
    <row r="78" spans="1:30" x14ac:dyDescent="0.2">
      <c r="A78" s="138" t="s">
        <v>114</v>
      </c>
      <c r="B78" s="154" t="s">
        <v>124</v>
      </c>
      <c r="C78" s="55" t="s">
        <v>2</v>
      </c>
      <c r="D78" s="155" t="s">
        <v>126</v>
      </c>
      <c r="E78" s="155" t="s">
        <v>216</v>
      </c>
      <c r="F78" s="17">
        <v>178</v>
      </c>
      <c r="G78" s="140">
        <v>44293</v>
      </c>
      <c r="H78" s="140">
        <v>44295</v>
      </c>
      <c r="I78" s="139"/>
      <c r="J78" s="139"/>
      <c r="K78" s="139"/>
      <c r="L78" s="158">
        <v>430.77</v>
      </c>
      <c r="M78" s="158">
        <v>373.11</v>
      </c>
      <c r="N78" s="158">
        <v>415.75</v>
      </c>
      <c r="O78" s="158"/>
      <c r="P78" s="191">
        <f t="shared" si="200"/>
        <v>201.66776999999999</v>
      </c>
      <c r="Q78" s="191">
        <f t="shared" si="201"/>
        <v>85791.4860357</v>
      </c>
      <c r="R78" s="141"/>
      <c r="S78" s="158">
        <v>-6435.7038000000002</v>
      </c>
      <c r="T78" s="156">
        <f t="shared" ref="T78" si="202">(N78-M78)*F78</f>
        <v>7589.9199999999973</v>
      </c>
      <c r="U78" s="156">
        <f t="shared" ref="U78" si="203">T78*L78</f>
        <v>3269509.8383999988</v>
      </c>
      <c r="V78" s="156">
        <f t="shared" ref="V78" si="204">($C$2-L78)*(F78*N78)</f>
        <v>-396658.75999999681</v>
      </c>
      <c r="W78" s="156">
        <f t="shared" si="99"/>
        <v>2952206.860635702</v>
      </c>
      <c r="X78" s="142">
        <f t="shared" ref="X78" si="205">F78*N78</f>
        <v>74003.5</v>
      </c>
      <c r="Y78" s="164">
        <f t="shared" ref="Y78:Y92" si="206">ROUND(X78*$C$2,20)</f>
        <v>31481828.934999999</v>
      </c>
      <c r="Z78" s="92">
        <f>Y78/$Y$139</f>
        <v>1.3926394503069749E-2</v>
      </c>
      <c r="AA78" s="13"/>
      <c r="AC78" s="2"/>
      <c r="AD78" s="2"/>
    </row>
    <row r="79" spans="1:30" x14ac:dyDescent="0.2">
      <c r="A79" s="138" t="s">
        <v>114</v>
      </c>
      <c r="B79" s="154" t="s">
        <v>124</v>
      </c>
      <c r="C79" s="55" t="s">
        <v>2</v>
      </c>
      <c r="D79" s="155" t="s">
        <v>126</v>
      </c>
      <c r="E79" s="155" t="s">
        <v>216</v>
      </c>
      <c r="F79" s="17">
        <v>161</v>
      </c>
      <c r="G79" s="140">
        <v>44308</v>
      </c>
      <c r="H79" s="140">
        <v>44312</v>
      </c>
      <c r="I79" s="139"/>
      <c r="J79" s="139"/>
      <c r="K79" s="139"/>
      <c r="L79" s="158">
        <v>432.21</v>
      </c>
      <c r="M79" s="158">
        <v>382.21</v>
      </c>
      <c r="N79" s="158">
        <v>415.75</v>
      </c>
      <c r="O79" s="158"/>
      <c r="P79" s="191">
        <f t="shared" si="200"/>
        <v>182.407365</v>
      </c>
      <c r="Q79" s="191">
        <f t="shared" si="201"/>
        <v>77597.917144649997</v>
      </c>
      <c r="R79" s="141"/>
      <c r="S79" s="158">
        <v>-5953.4225000000006</v>
      </c>
      <c r="T79" s="156">
        <f t="shared" ref="T79" si="207">(N79-M79)*F79</f>
        <v>5399.9400000000032</v>
      </c>
      <c r="U79" s="156">
        <f t="shared" ref="U79" si="208">T79*L79</f>
        <v>2333908.0674000015</v>
      </c>
      <c r="V79" s="156">
        <f t="shared" ref="V79" si="209">($C$2-L79)*(F79*N79)</f>
        <v>-455163.09999999695</v>
      </c>
      <c r="W79" s="156">
        <f t="shared" si="99"/>
        <v>1950389.4620446546</v>
      </c>
      <c r="X79" s="142">
        <f t="shared" ref="X79" si="210">F79*N79</f>
        <v>66935.75</v>
      </c>
      <c r="Y79" s="164">
        <f t="shared" si="206"/>
        <v>28475137.407499999</v>
      </c>
      <c r="Z79" s="92">
        <f>Y79/$Y$139</f>
        <v>1.2596345589855222E-2</v>
      </c>
      <c r="AA79" s="13"/>
      <c r="AC79" s="2"/>
      <c r="AD79" s="2"/>
    </row>
    <row r="80" spans="1:30" x14ac:dyDescent="0.2">
      <c r="A80" s="138" t="s">
        <v>114</v>
      </c>
      <c r="B80" s="154" t="s">
        <v>124</v>
      </c>
      <c r="C80" s="55" t="s">
        <v>2</v>
      </c>
      <c r="D80" s="155" t="s">
        <v>126</v>
      </c>
      <c r="E80" s="155" t="s">
        <v>216</v>
      </c>
      <c r="F80" s="17">
        <v>130</v>
      </c>
      <c r="G80" s="140">
        <v>44321</v>
      </c>
      <c r="H80" s="140">
        <v>44323</v>
      </c>
      <c r="I80" s="139"/>
      <c r="J80" s="139"/>
      <c r="K80" s="139"/>
      <c r="L80" s="158">
        <v>426.85</v>
      </c>
      <c r="M80" s="158">
        <v>382.85</v>
      </c>
      <c r="N80" s="158">
        <v>415.75</v>
      </c>
      <c r="O80" s="158"/>
      <c r="P80" s="191">
        <f t="shared" si="200"/>
        <v>147.28545</v>
      </c>
      <c r="Q80" s="191">
        <f t="shared" si="201"/>
        <v>62656.703284499999</v>
      </c>
      <c r="R80" s="141"/>
      <c r="S80" s="158">
        <v>-4780.72</v>
      </c>
      <c r="T80" s="156">
        <f t="shared" ref="T80" si="211">(N80-M80)*F80</f>
        <v>4276.9999999999973</v>
      </c>
      <c r="U80" s="156">
        <f t="shared" ref="U80" si="212">T80*L80</f>
        <v>1825637.449999999</v>
      </c>
      <c r="V80" s="156">
        <f t="shared" ref="V80" si="213">($C$2-L80)*(F80*N80)</f>
        <v>-77828.399999999878</v>
      </c>
      <c r="W80" s="156">
        <f t="shared" si="99"/>
        <v>1805685.0332844991</v>
      </c>
      <c r="X80" s="142">
        <f t="shared" ref="X80" si="214">F80*N80</f>
        <v>54047.5</v>
      </c>
      <c r="Y80" s="164">
        <f t="shared" si="206"/>
        <v>22992346.975000001</v>
      </c>
      <c r="Z80" s="92">
        <f>Y80/$Y$139</f>
        <v>1.0170962277522852E-2</v>
      </c>
      <c r="AA80" s="13"/>
      <c r="AC80" s="2"/>
      <c r="AD80" s="2"/>
    </row>
    <row r="81" spans="1:30" x14ac:dyDescent="0.2">
      <c r="A81" s="138" t="s">
        <v>114</v>
      </c>
      <c r="B81" s="154" t="s">
        <v>124</v>
      </c>
      <c r="C81" s="55" t="s">
        <v>2</v>
      </c>
      <c r="D81" s="155" t="s">
        <v>126</v>
      </c>
      <c r="E81" s="155" t="s">
        <v>216</v>
      </c>
      <c r="F81" s="17">
        <v>75</v>
      </c>
      <c r="G81" s="140">
        <v>44343</v>
      </c>
      <c r="H81" s="140">
        <v>44347</v>
      </c>
      <c r="I81" s="139"/>
      <c r="J81" s="139"/>
      <c r="K81" s="139"/>
      <c r="L81" s="158">
        <v>428.48</v>
      </c>
      <c r="M81" s="158">
        <v>385.86</v>
      </c>
      <c r="N81" s="158">
        <v>415.75</v>
      </c>
      <c r="O81" s="158"/>
      <c r="P81" s="191">
        <f t="shared" si="200"/>
        <v>84.972375</v>
      </c>
      <c r="Q81" s="191">
        <f t="shared" si="201"/>
        <v>36148.098048750006</v>
      </c>
      <c r="R81" s="141"/>
      <c r="S81" s="158">
        <v>-3642.08</v>
      </c>
      <c r="T81" s="156">
        <f t="shared" ref="T81" si="215">(N81-M81)*F81</f>
        <v>2241.7499999999991</v>
      </c>
      <c r="U81" s="156">
        <f t="shared" ref="U81" si="216">T81*L81</f>
        <v>960545.03999999969</v>
      </c>
      <c r="V81" s="156">
        <f t="shared" ref="V81" si="217">($C$2-L81)*(F81*N81)</f>
        <v>-95726.437499999782</v>
      </c>
      <c r="W81" s="156">
        <f t="shared" si="99"/>
        <v>897324.62054874992</v>
      </c>
      <c r="X81" s="142">
        <f t="shared" ref="X81" si="218">F81*N81</f>
        <v>31181.25</v>
      </c>
      <c r="Y81" s="164">
        <f t="shared" si="206"/>
        <v>13264815.5625</v>
      </c>
      <c r="Z81" s="92">
        <f>Y81/$Y$139</f>
        <v>5.8678628524170291E-3</v>
      </c>
      <c r="AA81" s="13"/>
      <c r="AC81" s="2"/>
      <c r="AD81" s="2"/>
    </row>
    <row r="82" spans="1:30" x14ac:dyDescent="0.2">
      <c r="A82" s="138" t="s">
        <v>114</v>
      </c>
      <c r="B82" s="154" t="s">
        <v>124</v>
      </c>
      <c r="C82" s="55" t="s">
        <v>2</v>
      </c>
      <c r="D82" s="155" t="s">
        <v>126</v>
      </c>
      <c r="E82" s="155" t="s">
        <v>216</v>
      </c>
      <c r="F82" s="17">
        <v>38</v>
      </c>
      <c r="G82" s="140">
        <v>44363</v>
      </c>
      <c r="H82" s="140">
        <v>44365</v>
      </c>
      <c r="I82" s="139"/>
      <c r="J82" s="139"/>
      <c r="K82" s="139"/>
      <c r="L82" s="158">
        <v>425.63</v>
      </c>
      <c r="M82" s="158">
        <v>389.56</v>
      </c>
      <c r="N82" s="158">
        <v>415.75</v>
      </c>
      <c r="O82" s="158"/>
      <c r="P82" s="191">
        <f t="shared" si="200"/>
        <v>43.052669999999999</v>
      </c>
      <c r="Q82" s="191">
        <f t="shared" si="201"/>
        <v>18315.036344700002</v>
      </c>
      <c r="R82" s="141"/>
      <c r="S82" s="158">
        <v>-3617.855</v>
      </c>
      <c r="T82" s="156">
        <f t="shared" ref="T82" si="219">(N82-M82)*F82</f>
        <v>995.21999999999991</v>
      </c>
      <c r="U82" s="156">
        <f t="shared" ref="U82" si="220">T82*L82</f>
        <v>423595.48859999998</v>
      </c>
      <c r="V82" s="156">
        <f t="shared" ref="V82" si="221">($C$2-L82)*(F82*N82)</f>
        <v>-3475.669999999533</v>
      </c>
      <c r="W82" s="156">
        <f t="shared" si="99"/>
        <v>434816.99994470051</v>
      </c>
      <c r="X82" s="142">
        <f t="shared" ref="X82" si="222">F82*N82</f>
        <v>15798.5</v>
      </c>
      <c r="Y82" s="164">
        <f t="shared" si="206"/>
        <v>6720839.8849999998</v>
      </c>
      <c r="Z82" s="92">
        <f>Y82/$Y$139</f>
        <v>2.9730505118912946E-3</v>
      </c>
      <c r="AA82" s="13"/>
      <c r="AC82" s="2"/>
      <c r="AD82" s="2"/>
    </row>
    <row r="83" spans="1:30" s="225" customFormat="1" x14ac:dyDescent="0.2">
      <c r="A83" s="138" t="s">
        <v>114</v>
      </c>
      <c r="B83" s="154" t="s">
        <v>124</v>
      </c>
      <c r="C83" s="55" t="s">
        <v>2</v>
      </c>
      <c r="D83" s="155" t="s">
        <v>126</v>
      </c>
      <c r="E83" s="155" t="s">
        <v>216</v>
      </c>
      <c r="F83" s="17">
        <v>92</v>
      </c>
      <c r="G83" s="140">
        <v>44393</v>
      </c>
      <c r="H83" s="140">
        <v>44397</v>
      </c>
      <c r="I83" s="139"/>
      <c r="J83" s="139"/>
      <c r="K83" s="139"/>
      <c r="L83" s="158">
        <v>426.47</v>
      </c>
      <c r="M83" s="158">
        <v>398.78</v>
      </c>
      <c r="N83" s="158">
        <v>415.75</v>
      </c>
      <c r="O83" s="158"/>
      <c r="P83" s="191">
        <v>0</v>
      </c>
      <c r="Q83" s="191">
        <f t="shared" ref="Q83" si="223">P83*$D$2</f>
        <v>0</v>
      </c>
      <c r="R83" s="141"/>
      <c r="S83" s="158">
        <v>-3624.9949999999999</v>
      </c>
      <c r="T83" s="156">
        <f t="shared" ref="T83" si="224">(N83-M83)*F83</f>
        <v>1561.2400000000025</v>
      </c>
      <c r="U83" s="156">
        <f t="shared" ref="U83" si="225">T83*L83</f>
        <v>665822.02280000108</v>
      </c>
      <c r="V83" s="156">
        <f>($C$2-L83)*(F83*N83)</f>
        <v>-40543.94000000009</v>
      </c>
      <c r="W83" s="156">
        <f t="shared" ref="W83" si="226">Q83+U83+V83+S83</f>
        <v>621653.08780000103</v>
      </c>
      <c r="X83" s="142">
        <f t="shared" ref="X83" si="227">F83*N83</f>
        <v>38249</v>
      </c>
      <c r="Y83" s="164">
        <f t="shared" si="206"/>
        <v>16271507.09</v>
      </c>
      <c r="Z83" s="92">
        <f>Y83/$Y$139</f>
        <v>7.197911765631556E-3</v>
      </c>
      <c r="AA83" s="222"/>
      <c r="AB83" s="223"/>
      <c r="AC83" s="2"/>
      <c r="AD83" s="224"/>
    </row>
    <row r="84" spans="1:30" s="225" customFormat="1" x14ac:dyDescent="0.2">
      <c r="A84" s="138" t="s">
        <v>114</v>
      </c>
      <c r="B84" s="154" t="s">
        <v>124</v>
      </c>
      <c r="C84" s="55" t="s">
        <v>2</v>
      </c>
      <c r="D84" s="155" t="s">
        <v>126</v>
      </c>
      <c r="E84" s="155" t="s">
        <v>216</v>
      </c>
      <c r="F84" s="17">
        <v>61</v>
      </c>
      <c r="G84" s="140">
        <v>44399</v>
      </c>
      <c r="H84" s="140">
        <v>44403</v>
      </c>
      <c r="I84" s="139"/>
      <c r="J84" s="139"/>
      <c r="K84" s="139"/>
      <c r="L84" s="158">
        <v>425.71</v>
      </c>
      <c r="M84" s="158">
        <v>399.74</v>
      </c>
      <c r="N84" s="158">
        <v>415.75</v>
      </c>
      <c r="O84" s="158"/>
      <c r="P84" s="191">
        <v>0</v>
      </c>
      <c r="Q84" s="191">
        <f t="shared" ref="Q84" si="228">P84*$D$2</f>
        <v>0</v>
      </c>
      <c r="R84" s="141"/>
      <c r="S84" s="158">
        <v>-3618.54</v>
      </c>
      <c r="T84" s="156">
        <f t="shared" ref="T84" si="229">(N84-M84)*F84</f>
        <v>976.60999999999945</v>
      </c>
      <c r="U84" s="156">
        <f t="shared" ref="U84" si="230">T84*L84</f>
        <v>415752.64309999975</v>
      </c>
      <c r="V84" s="156">
        <f>($C$2-L84)*(F84*N84)</f>
        <v>-7608.2249999988471</v>
      </c>
      <c r="W84" s="156">
        <f t="shared" ref="W84" si="231">Q84+U84+V84+S84</f>
        <v>404525.8781000009</v>
      </c>
      <c r="X84" s="142">
        <f t="shared" ref="X84" si="232">F84*N84</f>
        <v>25360.75</v>
      </c>
      <c r="Y84" s="164">
        <f t="shared" si="206"/>
        <v>10788716.657500001</v>
      </c>
      <c r="Z84" s="92">
        <f>Y84/$Y$139</f>
        <v>4.7725284532991845E-3</v>
      </c>
      <c r="AA84" s="222"/>
      <c r="AB84" s="223"/>
      <c r="AC84" s="2"/>
      <c r="AD84" s="224"/>
    </row>
    <row r="85" spans="1:30" s="225" customFormat="1" x14ac:dyDescent="0.2">
      <c r="A85" s="138" t="s">
        <v>114</v>
      </c>
      <c r="B85" s="154" t="s">
        <v>124</v>
      </c>
      <c r="C85" s="55" t="s">
        <v>2</v>
      </c>
      <c r="D85" s="155" t="s">
        <v>126</v>
      </c>
      <c r="E85" s="155" t="s">
        <v>216</v>
      </c>
      <c r="F85" s="17">
        <v>36</v>
      </c>
      <c r="G85" s="140">
        <v>44414</v>
      </c>
      <c r="H85" s="140">
        <v>44418</v>
      </c>
      <c r="I85" s="139"/>
      <c r="J85" s="139"/>
      <c r="K85" s="139"/>
      <c r="L85" s="158">
        <v>424.32</v>
      </c>
      <c r="M85" s="158">
        <v>406.56</v>
      </c>
      <c r="N85" s="158">
        <v>415.75</v>
      </c>
      <c r="O85" s="158"/>
      <c r="P85" s="191">
        <v>0</v>
      </c>
      <c r="Q85" s="191">
        <f t="shared" ref="Q85" si="233">P85*$D$2</f>
        <v>0</v>
      </c>
      <c r="R85" s="141"/>
      <c r="S85" s="158">
        <v>-3606.72</v>
      </c>
      <c r="T85" s="156">
        <f t="shared" ref="T85" si="234">(N85-M85)*F85</f>
        <v>330.83999999999992</v>
      </c>
      <c r="U85" s="156">
        <f t="shared" ref="U85" si="235">T85*L85</f>
        <v>140382.02879999997</v>
      </c>
      <c r="V85" s="156">
        <f>($C$2-L85)*(F85*N85)</f>
        <v>16314.030000000477</v>
      </c>
      <c r="W85" s="156">
        <f t="shared" ref="W85" si="236">Q85+U85+V85+S85</f>
        <v>153089.33880000043</v>
      </c>
      <c r="X85" s="142">
        <f t="shared" ref="X85" si="237">F85*N85</f>
        <v>14967</v>
      </c>
      <c r="Y85" s="164">
        <f t="shared" si="206"/>
        <v>6367111.4699999997</v>
      </c>
      <c r="Z85" s="92">
        <f>Y85/$Y$139</f>
        <v>2.8165741691601738E-3</v>
      </c>
      <c r="AA85" s="222"/>
      <c r="AB85" s="223"/>
      <c r="AC85" s="2"/>
      <c r="AD85" s="224"/>
    </row>
    <row r="86" spans="1:30" s="225" customFormat="1" x14ac:dyDescent="0.2">
      <c r="A86" s="138" t="s">
        <v>114</v>
      </c>
      <c r="B86" s="154" t="s">
        <v>124</v>
      </c>
      <c r="C86" s="55" t="s">
        <v>2</v>
      </c>
      <c r="D86" s="155" t="s">
        <v>126</v>
      </c>
      <c r="E86" s="155" t="s">
        <v>216</v>
      </c>
      <c r="F86" s="17">
        <v>67</v>
      </c>
      <c r="G86" s="140">
        <v>44427</v>
      </c>
      <c r="H86" s="140">
        <v>44431</v>
      </c>
      <c r="I86" s="139"/>
      <c r="J86" s="139"/>
      <c r="K86" s="139"/>
      <c r="L86" s="158">
        <v>426.66</v>
      </c>
      <c r="M86" s="158">
        <f>27041.54/F86</f>
        <v>403.6050746268657</v>
      </c>
      <c r="N86" s="158">
        <v>415.75</v>
      </c>
      <c r="O86" s="158"/>
      <c r="P86" s="191">
        <v>0</v>
      </c>
      <c r="Q86" s="191">
        <f t="shared" ref="Q86" si="238">P86*$D$2</f>
        <v>0</v>
      </c>
      <c r="R86" s="141"/>
      <c r="S86" s="158">
        <f>-8.5*426.66</f>
        <v>-3626.61</v>
      </c>
      <c r="T86" s="156">
        <f t="shared" ref="T86" si="239">(N86-M86)*F86</f>
        <v>813.70999999999799</v>
      </c>
      <c r="U86" s="156">
        <f t="shared" ref="U86" si="240">T86*L86</f>
        <v>347177.50859999919</v>
      </c>
      <c r="V86" s="156">
        <f>($C$2-L86)*(F86*N86)</f>
        <v>-34819.0625</v>
      </c>
      <c r="W86" s="156">
        <f t="shared" ref="W86" si="241">Q86+U86+V86+S86</f>
        <v>308731.8360999992</v>
      </c>
      <c r="X86" s="142">
        <f t="shared" ref="X86" si="242">F86*N86</f>
        <v>27855.25</v>
      </c>
      <c r="Y86" s="164">
        <f t="shared" si="206"/>
        <v>11849901.9025</v>
      </c>
      <c r="Z86" s="92">
        <f>Y86/$Y$139</f>
        <v>5.2419574814925466E-3</v>
      </c>
      <c r="AA86" s="222"/>
      <c r="AB86" s="223"/>
      <c r="AC86" s="2"/>
      <c r="AD86" s="224"/>
    </row>
    <row r="87" spans="1:30" x14ac:dyDescent="0.2">
      <c r="A87" s="138" t="s">
        <v>145</v>
      </c>
      <c r="B87" s="154" t="s">
        <v>146</v>
      </c>
      <c r="C87" s="55" t="s">
        <v>2</v>
      </c>
      <c r="D87" s="155" t="s">
        <v>128</v>
      </c>
      <c r="E87" s="155" t="s">
        <v>216</v>
      </c>
      <c r="F87" s="17">
        <v>4116</v>
      </c>
      <c r="G87" s="140">
        <v>44337</v>
      </c>
      <c r="H87" s="140">
        <v>44341</v>
      </c>
      <c r="I87" s="139"/>
      <c r="J87" s="139"/>
      <c r="K87" s="139"/>
      <c r="L87" s="158">
        <v>428.86</v>
      </c>
      <c r="M87" s="158">
        <v>29.318804664723</v>
      </c>
      <c r="N87" s="158">
        <v>32.24</v>
      </c>
      <c r="O87" s="158"/>
      <c r="P87" s="193">
        <f>ROUND(F87*0.17255,2)</f>
        <v>710.22</v>
      </c>
      <c r="Q87" s="191">
        <f t="shared" ref="Q87:Q92" si="243">ROUND(P87*$C$2,2)</f>
        <v>302134.69</v>
      </c>
      <c r="R87" s="141"/>
      <c r="S87" s="158">
        <v>-11647.837600000001</v>
      </c>
      <c r="T87" s="156">
        <f t="shared" ref="T87" si="244">(N87-M87)*F87</f>
        <v>12023.640000000139</v>
      </c>
      <c r="U87" s="156">
        <f t="shared" ref="U87" si="245">T87*L87</f>
        <v>5156458.2504000599</v>
      </c>
      <c r="V87" s="156">
        <f t="shared" ref="V87" si="246">($C$2-L87)*(F87*N87)</f>
        <v>-457814.44799999846</v>
      </c>
      <c r="W87" s="156">
        <f t="shared" si="99"/>
        <v>4989130.6548000611</v>
      </c>
      <c r="X87" s="142">
        <f t="shared" ref="X87" si="247">F87*N87</f>
        <v>132699.84</v>
      </c>
      <c r="Y87" s="164">
        <f t="shared" si="206"/>
        <v>56451838.9344</v>
      </c>
      <c r="Z87" s="92">
        <f>Y87/$Y$139</f>
        <v>2.4972201616602394E-2</v>
      </c>
      <c r="AA87" s="13"/>
      <c r="AC87" s="2"/>
      <c r="AD87" s="2"/>
    </row>
    <row r="88" spans="1:30" x14ac:dyDescent="0.2">
      <c r="A88" s="138" t="s">
        <v>145</v>
      </c>
      <c r="B88" s="154" t="s">
        <v>146</v>
      </c>
      <c r="C88" s="55" t="s">
        <v>2</v>
      </c>
      <c r="D88" s="155" t="s">
        <v>128</v>
      </c>
      <c r="E88" s="155" t="s">
        <v>216</v>
      </c>
      <c r="F88" s="17">
        <v>1839</v>
      </c>
      <c r="G88" s="140">
        <v>44343</v>
      </c>
      <c r="H88" s="140">
        <v>44347</v>
      </c>
      <c r="I88" s="139"/>
      <c r="J88" s="139"/>
      <c r="K88" s="139"/>
      <c r="L88" s="158">
        <v>428.48</v>
      </c>
      <c r="M88" s="158">
        <v>29.778999456226199</v>
      </c>
      <c r="N88" s="158">
        <v>32.24</v>
      </c>
      <c r="O88" s="158"/>
      <c r="P88" s="193">
        <f>ROUND(F88*0.17255,2)</f>
        <v>317.32</v>
      </c>
      <c r="Q88" s="191">
        <f t="shared" si="243"/>
        <v>134991.1</v>
      </c>
      <c r="R88" s="141"/>
      <c r="S88" s="158">
        <v>-5278.8735999999999</v>
      </c>
      <c r="T88" s="156">
        <f t="shared" ref="T88" si="248">(N88-M88)*F88</f>
        <v>4525.7800000000243</v>
      </c>
      <c r="U88" s="156">
        <f t="shared" ref="U88" si="249">T88*L88</f>
        <v>1939206.2144000104</v>
      </c>
      <c r="V88" s="156">
        <f t="shared" ref="V88" si="250">($C$2-L88)*(F88*N88)</f>
        <v>-182018.33519999959</v>
      </c>
      <c r="W88" s="156">
        <f t="shared" si="99"/>
        <v>1886900.1056000108</v>
      </c>
      <c r="X88" s="142">
        <f t="shared" ref="X88" si="251">F88*N88</f>
        <v>59289.36</v>
      </c>
      <c r="Y88" s="164">
        <f t="shared" si="206"/>
        <v>25222286.637600001</v>
      </c>
      <c r="Z88" s="92">
        <f>Y88/$Y$139</f>
        <v>1.1157404949691887E-2</v>
      </c>
      <c r="AA88" s="13"/>
      <c r="AC88" s="2"/>
      <c r="AD88" s="2"/>
    </row>
    <row r="89" spans="1:30" x14ac:dyDescent="0.2">
      <c r="A89" s="138" t="s">
        <v>145</v>
      </c>
      <c r="B89" s="154" t="s">
        <v>146</v>
      </c>
      <c r="C89" s="55" t="s">
        <v>2</v>
      </c>
      <c r="D89" s="155" t="s">
        <v>128</v>
      </c>
      <c r="E89" s="155" t="s">
        <v>216</v>
      </c>
      <c r="F89" s="17">
        <v>1682</v>
      </c>
      <c r="G89" s="140">
        <v>44363</v>
      </c>
      <c r="H89" s="140">
        <v>44365</v>
      </c>
      <c r="I89" s="139"/>
      <c r="J89" s="139"/>
      <c r="K89" s="139"/>
      <c r="L89" s="158">
        <v>425.63</v>
      </c>
      <c r="M89" s="158">
        <v>31.337336504161701</v>
      </c>
      <c r="N89" s="158">
        <v>32.24</v>
      </c>
      <c r="O89" s="158"/>
      <c r="P89" s="193">
        <f>ROUND(F89*0.17255,2)</f>
        <v>290.23</v>
      </c>
      <c r="Q89" s="191">
        <f t="shared" si="243"/>
        <v>123466.74</v>
      </c>
      <c r="R89" s="141"/>
      <c r="S89" s="158">
        <v>-5047.9718000000003</v>
      </c>
      <c r="T89" s="156">
        <f t="shared" ref="T89" si="252">(N89-M89)*F89</f>
        <v>1518.2800000000216</v>
      </c>
      <c r="U89" s="156">
        <f t="shared" ref="U89" si="253">T89*L89</f>
        <v>646225.51640000916</v>
      </c>
      <c r="V89" s="156">
        <f t="shared" ref="V89" si="254">($C$2-L89)*(F89*N89)</f>
        <v>-11930.089599998397</v>
      </c>
      <c r="W89" s="156">
        <f t="shared" si="99"/>
        <v>752714.19500001066</v>
      </c>
      <c r="X89" s="142">
        <f t="shared" ref="X89" si="255">F89*N89</f>
        <v>54227.68</v>
      </c>
      <c r="Y89" s="164">
        <f t="shared" si="206"/>
        <v>23068997.3488</v>
      </c>
      <c r="Z89" s="92">
        <f>Y89/$Y$139</f>
        <v>1.0204869562469686E-2</v>
      </c>
      <c r="AA89" s="13"/>
      <c r="AC89" s="2"/>
      <c r="AD89" s="2"/>
    </row>
    <row r="90" spans="1:30" s="225" customFormat="1" x14ac:dyDescent="0.2">
      <c r="A90" s="138" t="s">
        <v>145</v>
      </c>
      <c r="B90" s="154" t="s">
        <v>146</v>
      </c>
      <c r="C90" s="55" t="s">
        <v>2</v>
      </c>
      <c r="D90" s="155" t="s">
        <v>128</v>
      </c>
      <c r="E90" s="155" t="s">
        <v>216</v>
      </c>
      <c r="F90" s="17">
        <v>1487</v>
      </c>
      <c r="G90" s="140">
        <v>44393</v>
      </c>
      <c r="H90" s="140">
        <v>44397</v>
      </c>
      <c r="I90" s="139"/>
      <c r="J90" s="139"/>
      <c r="K90" s="139"/>
      <c r="L90" s="158">
        <v>426.47</v>
      </c>
      <c r="M90" s="158">
        <v>31.64899798251513</v>
      </c>
      <c r="N90" s="158">
        <v>32.24</v>
      </c>
      <c r="O90" s="158"/>
      <c r="P90" s="193">
        <v>0</v>
      </c>
      <c r="Q90" s="191">
        <f t="shared" si="243"/>
        <v>0</v>
      </c>
      <c r="R90" s="141"/>
      <c r="S90" s="158">
        <v>-4516.3172999999997</v>
      </c>
      <c r="T90" s="156">
        <f t="shared" ref="T90" si="256">(N90-M90)*F90</f>
        <v>878.82000000000437</v>
      </c>
      <c r="U90" s="156">
        <f t="shared" ref="U90" si="257">T90*L90</f>
        <v>374790.36540000187</v>
      </c>
      <c r="V90" s="156">
        <f>($C$2-L90)*(F90*N90)</f>
        <v>-50817.332800000113</v>
      </c>
      <c r="W90" s="156">
        <f t="shared" ref="W90" si="258">Q90+U90+V90+S90</f>
        <v>319456.71530000179</v>
      </c>
      <c r="X90" s="142">
        <f t="shared" ref="X90" si="259">F90*N90</f>
        <v>47940.880000000005</v>
      </c>
      <c r="Y90" s="164">
        <f t="shared" si="206"/>
        <v>20394529.7608</v>
      </c>
      <c r="Z90" s="92">
        <f>Y90/$Y$139</f>
        <v>9.0217842089134505E-3</v>
      </c>
      <c r="AA90" s="222"/>
      <c r="AB90" s="223"/>
      <c r="AC90" s="2"/>
      <c r="AD90" s="224"/>
    </row>
    <row r="91" spans="1:30" s="225" customFormat="1" x14ac:dyDescent="0.2">
      <c r="A91" s="138" t="s">
        <v>145</v>
      </c>
      <c r="B91" s="154" t="s">
        <v>146</v>
      </c>
      <c r="C91" s="55" t="s">
        <v>2</v>
      </c>
      <c r="D91" s="155" t="s">
        <v>128</v>
      </c>
      <c r="E91" s="155" t="s">
        <v>216</v>
      </c>
      <c r="F91" s="17">
        <v>600</v>
      </c>
      <c r="G91" s="140">
        <v>44399</v>
      </c>
      <c r="H91" s="140">
        <v>44403</v>
      </c>
      <c r="I91" s="139"/>
      <c r="J91" s="139"/>
      <c r="K91" s="139"/>
      <c r="L91" s="158">
        <v>425.71</v>
      </c>
      <c r="M91" s="158">
        <v>31.29</v>
      </c>
      <c r="N91" s="158">
        <v>32.24</v>
      </c>
      <c r="O91" s="158"/>
      <c r="P91" s="193">
        <v>0</v>
      </c>
      <c r="Q91" s="191">
        <f t="shared" si="243"/>
        <v>0</v>
      </c>
      <c r="R91" s="141"/>
      <c r="S91" s="158">
        <v>-3618.54</v>
      </c>
      <c r="T91" s="156">
        <f t="shared" ref="T91" si="260">(N91-M91)*F91</f>
        <v>570.00000000000171</v>
      </c>
      <c r="U91" s="156">
        <f t="shared" ref="U91" si="261">T91*L91</f>
        <v>242654.70000000071</v>
      </c>
      <c r="V91" s="156">
        <f>($C$2-L91)*(F91*N91)</f>
        <v>-5803.1999999991203</v>
      </c>
      <c r="W91" s="156">
        <f t="shared" ref="W91" si="262">Q91+U91+V91+S91</f>
        <v>233232.96000000159</v>
      </c>
      <c r="X91" s="142">
        <f t="shared" ref="X91" si="263">F91*N91</f>
        <v>19344</v>
      </c>
      <c r="Y91" s="164">
        <f t="shared" si="206"/>
        <v>8229131.04</v>
      </c>
      <c r="Z91" s="92">
        <f>Y91/$Y$139</f>
        <v>3.6402626263268797E-3</v>
      </c>
      <c r="AA91" s="222"/>
      <c r="AB91" s="223"/>
      <c r="AC91" s="2"/>
      <c r="AD91" s="224"/>
    </row>
    <row r="92" spans="1:30" s="225" customFormat="1" x14ac:dyDescent="0.2">
      <c r="A92" s="138" t="s">
        <v>145</v>
      </c>
      <c r="B92" s="154" t="s">
        <v>146</v>
      </c>
      <c r="C92" s="55" t="s">
        <v>2</v>
      </c>
      <c r="D92" s="155" t="s">
        <v>128</v>
      </c>
      <c r="E92" s="155" t="s">
        <v>216</v>
      </c>
      <c r="F92" s="17">
        <v>555</v>
      </c>
      <c r="G92" s="140">
        <v>44414</v>
      </c>
      <c r="H92" s="140">
        <v>44418</v>
      </c>
      <c r="I92" s="139"/>
      <c r="J92" s="139"/>
      <c r="K92" s="139"/>
      <c r="L92" s="158">
        <v>424.32</v>
      </c>
      <c r="M92" s="158">
        <f>17776.1/F92</f>
        <v>32.029009009009009</v>
      </c>
      <c r="N92" s="158">
        <v>32.24</v>
      </c>
      <c r="O92" s="158"/>
      <c r="P92" s="193">
        <v>0</v>
      </c>
      <c r="Q92" s="191">
        <f t="shared" si="243"/>
        <v>0</v>
      </c>
      <c r="R92" s="141"/>
      <c r="S92" s="158">
        <v>-3606.72</v>
      </c>
      <c r="T92" s="156">
        <f t="shared" ref="T92" si="264">(N92-M92)*F92</f>
        <v>117.10000000000115</v>
      </c>
      <c r="U92" s="156">
        <f t="shared" ref="U92" si="265">T92*L92</f>
        <v>49687.872000000483</v>
      </c>
      <c r="V92" s="156">
        <f>($C$2-L92)*(F92*N92)</f>
        <v>19503.588000000571</v>
      </c>
      <c r="W92" s="156">
        <f t="shared" ref="W92" si="266">Q92+U92+V92+S92</f>
        <v>65584.740000001053</v>
      </c>
      <c r="X92" s="142">
        <f t="shared" ref="X92" si="267">F92*N92</f>
        <v>17893.2</v>
      </c>
      <c r="Y92" s="164">
        <f t="shared" si="206"/>
        <v>7611946.2120000003</v>
      </c>
      <c r="Z92" s="92">
        <f>Y92/$Y$139</f>
        <v>3.3672429293523636E-3</v>
      </c>
      <c r="AA92" s="222"/>
      <c r="AB92" s="223"/>
      <c r="AC92" s="2"/>
      <c r="AD92" s="224"/>
    </row>
    <row r="93" spans="1:30" s="188" customFormat="1" x14ac:dyDescent="0.2">
      <c r="A93" s="78" t="s">
        <v>13</v>
      </c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160">
        <f>Y12+Y10</f>
        <v>1045839327.9715997</v>
      </c>
      <c r="Z93" s="79">
        <f>Y93/$Y$139</f>
        <v>0.4626405631715198</v>
      </c>
      <c r="AA93" s="185"/>
      <c r="AB93" s="186"/>
      <c r="AC93" s="187"/>
      <c r="AD93" s="187"/>
    </row>
    <row r="94" spans="1:30" x14ac:dyDescent="0.2">
      <c r="A94" s="90" t="s">
        <v>3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163">
        <f>SUM(Y95:Y109)</f>
        <v>1212777794.8443446</v>
      </c>
      <c r="Z94" s="92">
        <f>Y94/$Y$139</f>
        <v>0.53648795470037813</v>
      </c>
      <c r="AA94" s="13"/>
      <c r="AC94" s="2"/>
      <c r="AD94" s="2"/>
    </row>
    <row r="95" spans="1:30" ht="33" x14ac:dyDescent="0.2">
      <c r="A95" s="14" t="s">
        <v>125</v>
      </c>
      <c r="B95" s="15" t="s">
        <v>62</v>
      </c>
      <c r="C95" s="55" t="s">
        <v>1</v>
      </c>
      <c r="D95" s="55" t="s">
        <v>40</v>
      </c>
      <c r="E95" s="55" t="s">
        <v>217</v>
      </c>
      <c r="F95" s="17">
        <v>602330</v>
      </c>
      <c r="G95" s="56">
        <v>44281</v>
      </c>
      <c r="H95" s="56">
        <v>44285</v>
      </c>
      <c r="I95" s="56">
        <v>44463</v>
      </c>
      <c r="J95" s="114">
        <v>9.1600000000000001E-2</v>
      </c>
      <c r="K95" s="168"/>
      <c r="L95" s="27"/>
      <c r="M95" s="115">
        <v>95.724900004980597</v>
      </c>
      <c r="N95" s="116">
        <v>99.4375</v>
      </c>
      <c r="O95" s="116"/>
      <c r="P95" s="62"/>
      <c r="Q95" s="62"/>
      <c r="R95" s="142">
        <f>14148.4669230772*(B6-G95)</f>
        <v>2235457.7738461974</v>
      </c>
      <c r="S95" s="62"/>
      <c r="T95" s="156">
        <f t="shared" ref="T95:T96" si="268">(N95-M95)*F95-R95</f>
        <v>752.58115383936092</v>
      </c>
      <c r="U95" s="156"/>
      <c r="V95" s="62"/>
      <c r="W95" s="156">
        <f t="shared" ref="W95:W107" si="269">P95+T95+V95+R95</f>
        <v>2236210.3550000368</v>
      </c>
      <c r="X95" s="62">
        <f t="shared" ref="X95:X97" si="270">F95*N95</f>
        <v>59894189.375</v>
      </c>
      <c r="Y95" s="161">
        <f t="shared" ref="Y95:Y97" si="271">ROUND(F95*N95,20)</f>
        <v>59894189.375</v>
      </c>
      <c r="Z95" s="92">
        <f>Y95/$Y$139</f>
        <v>2.6494969888820361E-2</v>
      </c>
      <c r="AA95" s="13"/>
      <c r="AC95" s="2"/>
      <c r="AD95" s="2"/>
    </row>
    <row r="96" spans="1:30" ht="33" x14ac:dyDescent="0.2">
      <c r="A96" s="14" t="s">
        <v>140</v>
      </c>
      <c r="B96" s="15" t="s">
        <v>141</v>
      </c>
      <c r="C96" s="55" t="s">
        <v>1</v>
      </c>
      <c r="D96" s="55" t="s">
        <v>40</v>
      </c>
      <c r="E96" s="55" t="s">
        <v>217</v>
      </c>
      <c r="F96" s="17">
        <v>866820</v>
      </c>
      <c r="G96" s="56">
        <v>44309</v>
      </c>
      <c r="H96" s="56">
        <v>44313</v>
      </c>
      <c r="I96" s="56">
        <v>44491</v>
      </c>
      <c r="J96" s="114">
        <v>9.0999999999999998E-2</v>
      </c>
      <c r="K96" s="168"/>
      <c r="L96" s="27"/>
      <c r="M96" s="116">
        <v>95.751300000000001</v>
      </c>
      <c r="N96" s="116">
        <v>98.800299999999993</v>
      </c>
      <c r="O96" s="157"/>
      <c r="P96" s="157"/>
      <c r="Q96" s="157"/>
      <c r="R96" s="142">
        <f>(B6-G96)*20235.4842527472</f>
        <v>2630612.9528571358</v>
      </c>
      <c r="S96" s="157"/>
      <c r="T96" s="156">
        <f t="shared" si="268"/>
        <v>12321.227142857388</v>
      </c>
      <c r="U96" s="156"/>
      <c r="V96" s="157"/>
      <c r="W96" s="156">
        <f t="shared" si="269"/>
        <v>2642934.1799999932</v>
      </c>
      <c r="X96" s="157">
        <f t="shared" si="270"/>
        <v>85642076.045999989</v>
      </c>
      <c r="Y96" s="161">
        <f t="shared" si="271"/>
        <v>85642076.046000004</v>
      </c>
      <c r="Z96" s="92">
        <f>Y96/$Y$139</f>
        <v>3.7884880816200776E-2</v>
      </c>
      <c r="AA96" s="13"/>
      <c r="AC96" s="2"/>
      <c r="AD96" s="2"/>
    </row>
    <row r="97" spans="1:30" ht="33" x14ac:dyDescent="0.2">
      <c r="A97" s="14" t="s">
        <v>206</v>
      </c>
      <c r="B97" s="15" t="s">
        <v>141</v>
      </c>
      <c r="C97" s="55" t="s">
        <v>1</v>
      </c>
      <c r="D97" s="55" t="s">
        <v>40</v>
      </c>
      <c r="E97" s="55" t="s">
        <v>217</v>
      </c>
      <c r="F97" s="17">
        <v>807031</v>
      </c>
      <c r="G97" s="56">
        <v>44358</v>
      </c>
      <c r="H97" s="56">
        <v>44362</v>
      </c>
      <c r="I97" s="56">
        <v>44449</v>
      </c>
      <c r="J97" s="114">
        <v>9.0499999999999997E-2</v>
      </c>
      <c r="K97" s="168"/>
      <c r="L97" s="27"/>
      <c r="M97" s="116">
        <v>97.889399999999995</v>
      </c>
      <c r="N97" s="116">
        <v>99.756900000000002</v>
      </c>
      <c r="O97" s="157"/>
      <c r="P97" s="157"/>
      <c r="Q97" s="157"/>
      <c r="R97" s="142">
        <f>(B6-G97)*18717.7981164834</f>
        <v>1516141.6474351552</v>
      </c>
      <c r="S97" s="157">
        <v>-11138.97</v>
      </c>
      <c r="T97" s="156">
        <f t="shared" ref="T97:T101" si="272">(N97-M97)*F97-R97</f>
        <v>-9011.2549351498019</v>
      </c>
      <c r="U97" s="156"/>
      <c r="V97" s="157"/>
      <c r="W97" s="156">
        <f t="shared" ref="W97:W102" si="273">P97+T97+V97+R97+S97</f>
        <v>1495991.4225000055</v>
      </c>
      <c r="X97" s="157">
        <f t="shared" si="270"/>
        <v>80506910.763899997</v>
      </c>
      <c r="Y97" s="161">
        <f t="shared" si="271"/>
        <v>80506910.763899997</v>
      </c>
      <c r="Z97" s="92">
        <f>Y97/$Y$139</f>
        <v>3.5613273988508311E-2</v>
      </c>
      <c r="AA97" s="13"/>
      <c r="AC97" s="2"/>
      <c r="AD97" s="2"/>
    </row>
    <row r="98" spans="1:30" ht="33" x14ac:dyDescent="0.2">
      <c r="A98" s="14" t="s">
        <v>208</v>
      </c>
      <c r="B98" s="15" t="s">
        <v>141</v>
      </c>
      <c r="C98" s="55" t="s">
        <v>1</v>
      </c>
      <c r="D98" s="55" t="s">
        <v>40</v>
      </c>
      <c r="E98" s="55" t="s">
        <v>217</v>
      </c>
      <c r="F98" s="17">
        <v>1597890</v>
      </c>
      <c r="G98" s="56">
        <v>44372</v>
      </c>
      <c r="H98" s="56">
        <v>44376</v>
      </c>
      <c r="I98" s="56">
        <v>44554</v>
      </c>
      <c r="J98" s="114">
        <v>9.0999999999999998E-2</v>
      </c>
      <c r="K98" s="168"/>
      <c r="L98" s="27"/>
      <c r="M98" s="116">
        <v>95.750699998122499</v>
      </c>
      <c r="N98" s="116">
        <v>97.270399999999995</v>
      </c>
      <c r="O98" s="157"/>
      <c r="P98" s="157"/>
      <c r="Q98" s="157"/>
      <c r="R98" s="142">
        <f>(B6-G98)*37307.2196703301</f>
        <v>2499583.717912117</v>
      </c>
      <c r="S98" s="157">
        <v>-22949.86</v>
      </c>
      <c r="T98" s="156">
        <f t="shared" si="272"/>
        <v>-71270.281912085135</v>
      </c>
      <c r="U98" s="156"/>
      <c r="V98" s="157"/>
      <c r="W98" s="156">
        <f t="shared" si="273"/>
        <v>2405363.576000032</v>
      </c>
      <c r="X98" s="157">
        <f t="shared" ref="X98" si="274">F98*N98</f>
        <v>155427399.456</v>
      </c>
      <c r="Y98" s="161">
        <f>ROUND(F98*N98,20)</f>
        <v>155427399.456</v>
      </c>
      <c r="Z98" s="92">
        <f>Y98/$Y$139</f>
        <v>6.8755321867721236E-2</v>
      </c>
      <c r="AA98" s="13"/>
      <c r="AC98" s="2"/>
      <c r="AD98" s="2"/>
    </row>
    <row r="99" spans="1:30" x14ac:dyDescent="0.2">
      <c r="A99" s="14"/>
      <c r="B99" s="15"/>
      <c r="C99" s="55"/>
      <c r="D99" s="55"/>
      <c r="E99" s="55"/>
      <c r="F99" s="17"/>
      <c r="G99" s="56"/>
      <c r="H99" s="56"/>
      <c r="I99" s="56"/>
      <c r="J99" s="114"/>
      <c r="K99" s="168"/>
      <c r="L99" s="27"/>
      <c r="M99" s="116"/>
      <c r="N99" s="116"/>
      <c r="O99" s="157"/>
      <c r="P99" s="157"/>
      <c r="Q99" s="157"/>
      <c r="R99" s="142"/>
      <c r="S99" s="157"/>
      <c r="T99" s="156"/>
      <c r="U99" s="156"/>
      <c r="V99" s="157"/>
      <c r="W99" s="156"/>
      <c r="X99" s="157"/>
      <c r="Y99" s="161"/>
      <c r="Z99" s="92"/>
      <c r="AA99" s="13"/>
      <c r="AC99" s="2"/>
      <c r="AD99" s="2"/>
    </row>
    <row r="100" spans="1:30" ht="33" x14ac:dyDescent="0.2">
      <c r="A100" s="14" t="s">
        <v>213</v>
      </c>
      <c r="B100" s="15" t="s">
        <v>141</v>
      </c>
      <c r="C100" s="55" t="s">
        <v>1</v>
      </c>
      <c r="D100" s="55" t="s">
        <v>40</v>
      </c>
      <c r="E100" s="55" t="s">
        <v>217</v>
      </c>
      <c r="F100" s="17">
        <v>1186300</v>
      </c>
      <c r="G100" s="56">
        <v>44414</v>
      </c>
      <c r="H100" s="56">
        <v>44418</v>
      </c>
      <c r="I100" s="56">
        <v>44505</v>
      </c>
      <c r="J100" s="114">
        <v>9.1499999999999998E-2</v>
      </c>
      <c r="K100" s="168"/>
      <c r="L100" s="27"/>
      <c r="M100" s="116">
        <v>97.866299999999995</v>
      </c>
      <c r="N100" s="116">
        <v>98.470799999999997</v>
      </c>
      <c r="O100" s="157"/>
      <c r="P100" s="157"/>
      <c r="Q100" s="157"/>
      <c r="R100" s="142">
        <f>(B6-G100)*27815.4759340662</f>
        <v>695386.89835165499</v>
      </c>
      <c r="S100" s="157">
        <v>-16369.93</v>
      </c>
      <c r="T100" s="156">
        <f t="shared" si="272"/>
        <v>21731.451648346847</v>
      </c>
      <c r="U100" s="156"/>
      <c r="V100" s="157"/>
      <c r="W100" s="156">
        <f t="shared" si="273"/>
        <v>700748.42000000179</v>
      </c>
      <c r="X100" s="157">
        <f t="shared" ref="X100" si="275">F100*N100</f>
        <v>116815910.03999999</v>
      </c>
      <c r="Y100" s="161">
        <f>ROUND(F100*N100,20)</f>
        <v>116815910.04000001</v>
      </c>
      <c r="Z100" s="92">
        <f>Y100/$Y$139</f>
        <v>5.1675029770697989E-2</v>
      </c>
      <c r="AA100" s="13">
        <f>Y100-W100</f>
        <v>116115161.62</v>
      </c>
      <c r="AB100" s="68">
        <f>F100*M100</f>
        <v>116098791.69</v>
      </c>
      <c r="AC100" s="2">
        <f>AB100-S100</f>
        <v>116115161.62</v>
      </c>
      <c r="AD100" s="2"/>
    </row>
    <row r="101" spans="1:30" ht="33" x14ac:dyDescent="0.2">
      <c r="A101" s="14" t="s">
        <v>214</v>
      </c>
      <c r="B101" s="15" t="s">
        <v>141</v>
      </c>
      <c r="C101" s="55" t="s">
        <v>1</v>
      </c>
      <c r="D101" s="55" t="s">
        <v>40</v>
      </c>
      <c r="E101" s="55" t="s">
        <v>217</v>
      </c>
      <c r="F101" s="17">
        <v>515180</v>
      </c>
      <c r="G101" s="56">
        <v>44419</v>
      </c>
      <c r="H101" s="56">
        <v>44421</v>
      </c>
      <c r="I101" s="56">
        <v>44447</v>
      </c>
      <c r="J101" s="114">
        <v>8.9499999999999996E-2</v>
      </c>
      <c r="K101" s="168"/>
      <c r="L101" s="27"/>
      <c r="M101" s="116">
        <v>99.366500000000002</v>
      </c>
      <c r="N101" s="116">
        <v>99.804000000000002</v>
      </c>
      <c r="O101" s="157"/>
      <c r="P101" s="157"/>
      <c r="Q101" s="157"/>
      <c r="R101" s="142">
        <f>(B6-G101)*11655.9475000002</f>
        <v>233118.950000004</v>
      </c>
      <c r="S101" s="157">
        <v>-3992.95</v>
      </c>
      <c r="T101" s="156">
        <f t="shared" si="272"/>
        <v>-7727.7000000039989</v>
      </c>
      <c r="U101" s="156"/>
      <c r="V101" s="157"/>
      <c r="W101" s="156">
        <f t="shared" si="273"/>
        <v>221398.3</v>
      </c>
      <c r="X101" s="157">
        <f t="shared" ref="X101" si="276">F101*N101</f>
        <v>51417024.719999999</v>
      </c>
      <c r="Y101" s="161">
        <f>ROUND(F101*N101,20)</f>
        <v>51417024.719999999</v>
      </c>
      <c r="Z101" s="92">
        <f>Y101/$Y$139</f>
        <v>2.2744986382564798E-2</v>
      </c>
      <c r="AA101" s="13">
        <f t="shared" ref="AA101:AA103" si="277">Y101-W101</f>
        <v>51195626.420000002</v>
      </c>
      <c r="AB101" s="68">
        <f t="shared" ref="AB101:AB103" si="278">F101*M101</f>
        <v>51191633.469999999</v>
      </c>
      <c r="AC101" s="2">
        <f t="shared" ref="AC101:AC103" si="279">AB101-S101</f>
        <v>51195626.420000002</v>
      </c>
      <c r="AD101" s="2"/>
    </row>
    <row r="102" spans="1:30" ht="33" x14ac:dyDescent="0.2">
      <c r="A102" s="14" t="s">
        <v>218</v>
      </c>
      <c r="B102" s="15" t="s">
        <v>141</v>
      </c>
      <c r="C102" s="55" t="s">
        <v>1</v>
      </c>
      <c r="D102" s="55" t="s">
        <v>40</v>
      </c>
      <c r="E102" s="55" t="s">
        <v>217</v>
      </c>
      <c r="F102" s="17">
        <v>2456300</v>
      </c>
      <c r="G102" s="56">
        <v>44428</v>
      </c>
      <c r="H102" s="56">
        <v>44432</v>
      </c>
      <c r="I102" s="56">
        <v>44610</v>
      </c>
      <c r="J102" s="114">
        <v>9.2700000000000005E-2</v>
      </c>
      <c r="K102" s="168"/>
      <c r="L102" s="27"/>
      <c r="M102" s="116">
        <v>95.674800000000005</v>
      </c>
      <c r="N102" s="116">
        <v>95.867000000000004</v>
      </c>
      <c r="O102" s="157"/>
      <c r="P102" s="157"/>
      <c r="Q102" s="157"/>
      <c r="R102" s="142">
        <f>(B6-G102)*58373.56</f>
        <v>642109.15999999992</v>
      </c>
      <c r="S102" s="157">
        <v>-35250.9</v>
      </c>
      <c r="T102" s="156">
        <f>(N102-M102)*F102-R102</f>
        <v>-170008.30000000063</v>
      </c>
      <c r="U102" s="156"/>
      <c r="V102" s="157"/>
      <c r="W102" s="156">
        <f t="shared" si="273"/>
        <v>436849.95999999926</v>
      </c>
      <c r="X102" s="157">
        <f t="shared" ref="X102" si="280">F102*N102</f>
        <v>235478112.10000002</v>
      </c>
      <c r="Y102" s="161">
        <f>ROUND(F102*N102,20)</f>
        <v>235478112.09999999</v>
      </c>
      <c r="Z102" s="92">
        <f>Y102/$Y$139</f>
        <v>0.10416679071325632</v>
      </c>
      <c r="AA102" s="13">
        <f t="shared" si="277"/>
        <v>235041262.13999999</v>
      </c>
      <c r="AB102" s="68">
        <f t="shared" si="278"/>
        <v>235006011.24000001</v>
      </c>
      <c r="AC102" s="2">
        <f t="shared" si="279"/>
        <v>235041262.14000002</v>
      </c>
      <c r="AD102" s="2"/>
    </row>
    <row r="103" spans="1:30" ht="33" x14ac:dyDescent="0.2">
      <c r="A103" s="14" t="s">
        <v>219</v>
      </c>
      <c r="B103" s="15" t="s">
        <v>141</v>
      </c>
      <c r="C103" s="55" t="s">
        <v>1</v>
      </c>
      <c r="D103" s="55" t="s">
        <v>40</v>
      </c>
      <c r="E103" s="55" t="s">
        <v>217</v>
      </c>
      <c r="F103" s="17">
        <v>506190</v>
      </c>
      <c r="G103" s="56">
        <v>44433</v>
      </c>
      <c r="H103" s="56">
        <v>44435</v>
      </c>
      <c r="I103" s="56">
        <v>44461</v>
      </c>
      <c r="J103" s="114">
        <v>8.9099999999999999E-2</v>
      </c>
      <c r="K103" s="168"/>
      <c r="L103" s="27"/>
      <c r="M103" s="116">
        <v>99.369100000000003</v>
      </c>
      <c r="N103" s="116">
        <v>99.482600000000005</v>
      </c>
      <c r="O103" s="157"/>
      <c r="P103" s="157"/>
      <c r="Q103" s="157"/>
      <c r="R103" s="142">
        <f>(B6-G103)*11405.5453928573</f>
        <v>68433.272357143811</v>
      </c>
      <c r="S103" s="157">
        <v>-3923.37</v>
      </c>
      <c r="T103" s="156">
        <f>(N103-M103)*F103-R103</f>
        <v>-10980.707357142834</v>
      </c>
      <c r="U103" s="156"/>
      <c r="V103" s="157"/>
      <c r="W103" s="156">
        <f t="shared" ref="W103" si="281">P103+T103+V103+R103+S103</f>
        <v>53529.195000000975</v>
      </c>
      <c r="X103" s="157">
        <f t="shared" ref="X103" si="282">F103*N103</f>
        <v>50357097.294</v>
      </c>
      <c r="Y103" s="161">
        <f>ROUND(F103*N103,20)</f>
        <v>50357097.294</v>
      </c>
      <c r="Z103" s="92">
        <f>Y103/$Y$139</f>
        <v>2.2276113766886211E-2</v>
      </c>
      <c r="AA103" s="13">
        <f t="shared" si="277"/>
        <v>50303568.098999999</v>
      </c>
      <c r="AB103" s="68">
        <f t="shared" si="278"/>
        <v>50299644.729000002</v>
      </c>
      <c r="AC103" s="2">
        <f t="shared" si="279"/>
        <v>50303568.098999999</v>
      </c>
      <c r="AD103" s="2"/>
    </row>
    <row r="104" spans="1:30" x14ac:dyDescent="0.2">
      <c r="A104" s="14"/>
      <c r="B104" s="15"/>
      <c r="C104" s="55"/>
      <c r="D104" s="55"/>
      <c r="E104" s="55"/>
      <c r="F104" s="17"/>
      <c r="G104" s="56"/>
      <c r="H104" s="56"/>
      <c r="I104" s="56"/>
      <c r="J104" s="114"/>
      <c r="K104" s="168"/>
      <c r="L104" s="27"/>
      <c r="M104" s="116"/>
      <c r="N104" s="116"/>
      <c r="O104" s="157"/>
      <c r="P104" s="157"/>
      <c r="Q104" s="157"/>
      <c r="R104" s="142"/>
      <c r="S104" s="157"/>
      <c r="T104" s="156"/>
      <c r="U104" s="156"/>
      <c r="V104" s="157"/>
      <c r="W104" s="156"/>
      <c r="X104" s="157"/>
      <c r="Y104" s="161"/>
      <c r="Z104" s="92"/>
      <c r="AA104" s="13"/>
      <c r="AC104" s="2"/>
      <c r="AD104" s="2"/>
    </row>
    <row r="105" spans="1:30" x14ac:dyDescent="0.2">
      <c r="A105" s="14" t="s">
        <v>134</v>
      </c>
      <c r="B105" s="15" t="s">
        <v>135</v>
      </c>
      <c r="C105" s="55" t="s">
        <v>1</v>
      </c>
      <c r="D105" s="55" t="s">
        <v>36</v>
      </c>
      <c r="E105" s="55" t="s">
        <v>217</v>
      </c>
      <c r="F105" s="17">
        <v>27770</v>
      </c>
      <c r="G105" s="56">
        <v>44293</v>
      </c>
      <c r="H105" s="56">
        <v>44295</v>
      </c>
      <c r="I105" s="56">
        <v>44721</v>
      </c>
      <c r="J105" s="114"/>
      <c r="K105" s="168">
        <v>4.9299999999999997E-2</v>
      </c>
      <c r="L105" s="27"/>
      <c r="M105" s="116">
        <v>95.440399999999997</v>
      </c>
      <c r="N105" s="116">
        <v>96.598399999999998</v>
      </c>
      <c r="O105" s="157"/>
      <c r="P105" s="157">
        <f>(F105*1000*K105/360*DAYS360("09.06.2021",B6))-3802.94722222222</f>
        <v>308038.72499999998</v>
      </c>
      <c r="Q105" s="157"/>
      <c r="R105" s="142">
        <f>610310.676841577+(B6-"09.06.2021")*1796.95957029706</f>
        <v>759458.321176233</v>
      </c>
      <c r="S105" s="157"/>
      <c r="T105" s="156">
        <f>(N105%-M105%)*F105*1000-R105</f>
        <v>-437881.72117623204</v>
      </c>
      <c r="U105" s="156"/>
      <c r="V105" s="157"/>
      <c r="W105" s="156">
        <f>P105+T105+V105+R105+228176.83</f>
        <v>857792.15500000084</v>
      </c>
      <c r="X105" s="157">
        <f>N105%*F105*1000+P105+O105</f>
        <v>27133414.404999997</v>
      </c>
      <c r="Y105" s="161">
        <f>N105%*F105*1000+P105+O105</f>
        <v>27133414.404999997</v>
      </c>
      <c r="Z105" s="92">
        <f>Y105/$Y$139</f>
        <v>1.2002817053592681E-2</v>
      </c>
      <c r="AA105" s="13"/>
      <c r="AC105" s="2"/>
      <c r="AD105" s="2"/>
    </row>
    <row r="106" spans="1:30" x14ac:dyDescent="0.2">
      <c r="A106" s="14" t="s">
        <v>136</v>
      </c>
      <c r="B106" s="15" t="s">
        <v>135</v>
      </c>
      <c r="C106" s="55" t="s">
        <v>1</v>
      </c>
      <c r="D106" s="55" t="s">
        <v>36</v>
      </c>
      <c r="E106" s="55" t="s">
        <v>217</v>
      </c>
      <c r="F106" s="17">
        <v>106210</v>
      </c>
      <c r="G106" s="56">
        <v>44295</v>
      </c>
      <c r="H106" s="56">
        <v>44299</v>
      </c>
      <c r="I106" s="56">
        <v>44639</v>
      </c>
      <c r="J106" s="114"/>
      <c r="K106" s="168">
        <v>5.2999999999999999E-2</v>
      </c>
      <c r="L106" s="27"/>
      <c r="M106" s="116">
        <v>96.642700000000005</v>
      </c>
      <c r="N106" s="116">
        <v>97.814300000000003</v>
      </c>
      <c r="O106" s="157">
        <v>375275.33333333302</v>
      </c>
      <c r="P106" s="157">
        <f>(F106*1000*K106/360*DAYS360(H106,B6))-(F106*1000*K106/360)</f>
        <v>2142196.6944444445</v>
      </c>
      <c r="Q106" s="157"/>
      <c r="R106" s="142">
        <f>(B6-G106)*10365.66375</f>
        <v>1492655.58</v>
      </c>
      <c r="S106" s="157"/>
      <c r="T106" s="156">
        <f>(N106%-M106%)*F106*1000-R106</f>
        <v>-248299.22000000556</v>
      </c>
      <c r="U106" s="156"/>
      <c r="V106" s="157"/>
      <c r="W106" s="156">
        <f t="shared" si="269"/>
        <v>3386553.0544444388</v>
      </c>
      <c r="X106" s="157">
        <f t="shared" ref="X106:X108" si="283">N106%*F106*1000+P106+O106</f>
        <v>106406040.05777778</v>
      </c>
      <c r="Y106" s="161">
        <f t="shared" ref="Y106:Y107" si="284">N106%*F106*1000+P106+O106</f>
        <v>106406040.05777778</v>
      </c>
      <c r="Z106" s="92">
        <f>Y106/$Y$139</f>
        <v>4.7070089047672924E-2</v>
      </c>
      <c r="AA106" s="13"/>
      <c r="AC106" s="2"/>
      <c r="AD106" s="2"/>
    </row>
    <row r="107" spans="1:30" x14ac:dyDescent="0.2">
      <c r="A107" s="14" t="s">
        <v>138</v>
      </c>
      <c r="B107" s="15" t="s">
        <v>135</v>
      </c>
      <c r="C107" s="55" t="s">
        <v>1</v>
      </c>
      <c r="D107" s="55" t="s">
        <v>36</v>
      </c>
      <c r="E107" s="55" t="s">
        <v>217</v>
      </c>
      <c r="F107" s="17">
        <v>98080</v>
      </c>
      <c r="G107" s="56">
        <v>44309</v>
      </c>
      <c r="H107" s="56">
        <v>44309</v>
      </c>
      <c r="I107" s="56">
        <v>45321</v>
      </c>
      <c r="J107" s="114"/>
      <c r="K107" s="168">
        <v>9.5000000000000001E-2</v>
      </c>
      <c r="L107" s="27"/>
      <c r="M107" s="116">
        <v>99.760099999999994</v>
      </c>
      <c r="N107" s="116">
        <v>99.029899999999998</v>
      </c>
      <c r="O107" s="157">
        <v>2148224.4444444398</v>
      </c>
      <c r="P107" s="157">
        <f>(F107*1000*K107/360*DAYS360(H107,B6))-(F107*1000*K107/360)</f>
        <v>3287042.2222222225</v>
      </c>
      <c r="Q107" s="157"/>
      <c r="R107" s="142">
        <f>(B6-G107)*253.064912305095</f>
        <v>32898.438599662346</v>
      </c>
      <c r="S107" s="157"/>
      <c r="T107" s="156">
        <f>(N107%-M107%)*F107*1000-R107</f>
        <v>-749078.59859966533</v>
      </c>
      <c r="U107" s="156"/>
      <c r="V107" s="157"/>
      <c r="W107" s="156">
        <f t="shared" si="269"/>
        <v>2570862.0622222195</v>
      </c>
      <c r="X107" s="157">
        <f t="shared" si="283"/>
        <v>102563792.58666666</v>
      </c>
      <c r="Y107" s="161">
        <f t="shared" si="284"/>
        <v>102563792.58666666</v>
      </c>
      <c r="Z107" s="92">
        <f>Y107/$Y$139</f>
        <v>4.5370421148085704E-2</v>
      </c>
      <c r="AA107" s="13"/>
      <c r="AC107" s="2"/>
      <c r="AD107" s="2"/>
    </row>
    <row r="108" spans="1:30" x14ac:dyDescent="0.2">
      <c r="A108" s="14" t="s">
        <v>139</v>
      </c>
      <c r="B108" s="15" t="s">
        <v>135</v>
      </c>
      <c r="C108" s="55" t="s">
        <v>1</v>
      </c>
      <c r="D108" s="55" t="s">
        <v>36</v>
      </c>
      <c r="E108" s="55" t="s">
        <v>217</v>
      </c>
      <c r="F108" s="17">
        <v>100000</v>
      </c>
      <c r="G108" s="56">
        <v>44309</v>
      </c>
      <c r="H108" s="56">
        <v>44313</v>
      </c>
      <c r="I108" s="56">
        <v>45985</v>
      </c>
      <c r="J108" s="114"/>
      <c r="K108" s="168">
        <v>5.6000000000000001E-2</v>
      </c>
      <c r="L108" s="27"/>
      <c r="M108" s="116">
        <v>84.131900000000002</v>
      </c>
      <c r="N108" s="116">
        <v>85.398099999999999</v>
      </c>
      <c r="O108" s="157">
        <v>2380000</v>
      </c>
      <c r="P108" s="157">
        <f>(F108*1000*K108/360*DAYS360(H108,B6))-(F108*1000*K108/360)</f>
        <v>1913333.3333333333</v>
      </c>
      <c r="Q108" s="157"/>
      <c r="R108" s="142">
        <f>(B6-G108)*12146.9074074949</f>
        <v>1579097.9629743369</v>
      </c>
      <c r="S108" s="157"/>
      <c r="T108" s="156">
        <f>(N108%-M108%)*F108*1000-R108</f>
        <v>-312897.96297434182</v>
      </c>
      <c r="U108" s="156"/>
      <c r="V108" s="157"/>
      <c r="W108" s="156">
        <f>P108+T108+V108+R108</f>
        <v>3179533.3333333284</v>
      </c>
      <c r="X108" s="157">
        <f t="shared" si="283"/>
        <v>89691433.333333328</v>
      </c>
      <c r="Y108" s="161">
        <f>N108%*F108*1000+P108+O108</f>
        <v>89691433.333333328</v>
      </c>
      <c r="Z108" s="92">
        <f>Y108/$Y$139</f>
        <v>3.9676166423644924E-2</v>
      </c>
      <c r="AA108" s="13"/>
      <c r="AC108" s="2"/>
      <c r="AD108" s="2"/>
    </row>
    <row r="109" spans="1:30" x14ac:dyDescent="0.2">
      <c r="A109" s="14" t="s">
        <v>211</v>
      </c>
      <c r="B109" s="15" t="s">
        <v>135</v>
      </c>
      <c r="C109" s="55" t="s">
        <v>1</v>
      </c>
      <c r="D109" s="55" t="s">
        <v>36</v>
      </c>
      <c r="E109" s="55" t="s">
        <v>217</v>
      </c>
      <c r="F109" s="17">
        <v>49200</v>
      </c>
      <c r="G109" s="56">
        <v>44391</v>
      </c>
      <c r="H109" s="56">
        <v>44391</v>
      </c>
      <c r="I109" s="56">
        <v>46526</v>
      </c>
      <c r="J109" s="114"/>
      <c r="K109" s="168">
        <v>0.104</v>
      </c>
      <c r="L109" s="27"/>
      <c r="M109" s="116">
        <v>99.95</v>
      </c>
      <c r="N109" s="116">
        <v>101.64400000000001</v>
      </c>
      <c r="O109" s="157">
        <v>781733.33333333337</v>
      </c>
      <c r="P109" s="157">
        <f>(F109*1000*K109/360*DAYS360(H109,B6))-(F109*1000*K109/360)</f>
        <v>653813.33333333337</v>
      </c>
      <c r="Q109" s="157"/>
      <c r="R109" s="142">
        <f>(B6-G109)*10.2116181229773</f>
        <v>490.15766990291047</v>
      </c>
      <c r="S109" s="157">
        <v>-4995.71</v>
      </c>
      <c r="T109" s="156">
        <f>(N109%-M109%)*F109*1000-R109</f>
        <v>832957.84233009489</v>
      </c>
      <c r="U109" s="156"/>
      <c r="V109" s="157"/>
      <c r="W109" s="156">
        <f>P109+T109+V109+R109+S109</f>
        <v>1482265.6233333314</v>
      </c>
      <c r="X109" s="157">
        <f>N109%*F109*1000+P109+O109</f>
        <v>51444394.666666672</v>
      </c>
      <c r="Y109" s="161">
        <f>N109%*F109*1000+P109+O109</f>
        <v>51444394.666666672</v>
      </c>
      <c r="Z109" s="92">
        <f>Y109/$Y$139</f>
        <v>2.2757093832725811E-2</v>
      </c>
      <c r="AA109" s="13"/>
      <c r="AC109" s="2"/>
      <c r="AD109" s="2"/>
    </row>
    <row r="111" spans="1:30" x14ac:dyDescent="0.2">
      <c r="A111" s="90" t="s">
        <v>9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>
        <f>SUM(Y112:Y112)</f>
        <v>0</v>
      </c>
      <c r="Z111" s="92">
        <f t="shared" ref="Z111:Z116" si="285">Y111/$Y$139</f>
        <v>0</v>
      </c>
      <c r="AA111" s="13"/>
      <c r="AC111" s="2"/>
      <c r="AD111" s="2"/>
    </row>
    <row r="112" spans="1:30" x14ac:dyDescent="0.2">
      <c r="A112" s="14"/>
      <c r="B112" s="15"/>
      <c r="C112" s="16"/>
      <c r="D112" s="52"/>
      <c r="E112" s="55"/>
      <c r="F112" s="17"/>
      <c r="G112" s="18"/>
      <c r="H112" s="56"/>
      <c r="I112" s="18"/>
      <c r="J112" s="56"/>
      <c r="K112" s="27"/>
      <c r="L112" s="66"/>
      <c r="M112" s="62"/>
      <c r="N112" s="26"/>
      <c r="O112" s="26"/>
      <c r="P112" s="62"/>
      <c r="Q112" s="76"/>
      <c r="R112" s="76"/>
      <c r="S112" s="76"/>
      <c r="T112" s="75">
        <f>(N112-M112)*F112*10</f>
        <v>0</v>
      </c>
      <c r="U112" s="75"/>
      <c r="V112" s="75" t="e">
        <f>($C$2/L112-1)*(F112*N112*10)</f>
        <v>#DIV/0!</v>
      </c>
      <c r="W112" s="75" t="e">
        <f>P112+T112+V112</f>
        <v>#DIV/0!</v>
      </c>
      <c r="X112" s="76">
        <f>F112*N112*10</f>
        <v>0</v>
      </c>
      <c r="Y112" s="77"/>
      <c r="Z112" s="92">
        <f t="shared" si="285"/>
        <v>0</v>
      </c>
      <c r="AA112" s="13"/>
      <c r="AC112" s="2"/>
      <c r="AD112" s="2"/>
    </row>
    <row r="113" spans="1:30" x14ac:dyDescent="0.2">
      <c r="A113" s="90" t="s">
        <v>10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>
        <f>SUM(Y114:Y114)</f>
        <v>0</v>
      </c>
      <c r="Z113" s="92">
        <f t="shared" si="285"/>
        <v>0</v>
      </c>
      <c r="AA113" s="13"/>
      <c r="AC113" s="2"/>
      <c r="AD113" s="2"/>
    </row>
    <row r="114" spans="1:30" x14ac:dyDescent="0.2">
      <c r="A114" s="14"/>
      <c r="B114" s="15"/>
      <c r="C114" s="55"/>
      <c r="D114" s="55"/>
      <c r="E114" s="55"/>
      <c r="F114" s="17"/>
      <c r="G114" s="56"/>
      <c r="H114" s="56"/>
      <c r="I114" s="56"/>
      <c r="J114" s="56"/>
      <c r="K114" s="27"/>
      <c r="L114" s="66"/>
      <c r="M114" s="62"/>
      <c r="N114" s="26"/>
      <c r="O114" s="26"/>
      <c r="P114" s="62"/>
      <c r="Q114" s="62"/>
      <c r="R114" s="62"/>
      <c r="S114" s="62"/>
      <c r="T114" s="75">
        <f>(N114-M114)*F114*10</f>
        <v>0</v>
      </c>
      <c r="U114" s="75"/>
      <c r="V114" s="75" t="e">
        <f>($C$2/L114-1)*(F114*N114*10)</f>
        <v>#DIV/0!</v>
      </c>
      <c r="W114" s="75" t="e">
        <f>P114+T114+V114</f>
        <v>#DIV/0!</v>
      </c>
      <c r="X114" s="76">
        <f>F114*N114*10</f>
        <v>0</v>
      </c>
      <c r="Y114" s="26"/>
      <c r="Z114" s="92">
        <f t="shared" si="285"/>
        <v>0</v>
      </c>
      <c r="AA114" s="13"/>
      <c r="AC114" s="2"/>
      <c r="AD114" s="2"/>
    </row>
    <row r="115" spans="1:30" x14ac:dyDescent="0.2">
      <c r="A115" s="78" t="s">
        <v>18</v>
      </c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160">
        <f>Y113+Y111+Y94</f>
        <v>1212777794.8443446</v>
      </c>
      <c r="Z115" s="79">
        <f t="shared" si="285"/>
        <v>0.53648795470037813</v>
      </c>
      <c r="AA115" s="13"/>
      <c r="AC115" s="2"/>
      <c r="AD115" s="2"/>
    </row>
    <row r="116" spans="1:30" x14ac:dyDescent="0.2">
      <c r="A116" s="90" t="s">
        <v>5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>
        <f>SUM(Y117:Y117)</f>
        <v>0</v>
      </c>
      <c r="Z116" s="92">
        <f t="shared" si="285"/>
        <v>0</v>
      </c>
      <c r="AA116" s="13"/>
      <c r="AC116" s="2"/>
      <c r="AD116" s="2"/>
    </row>
    <row r="117" spans="1:30" s="49" customFormat="1" ht="15" customHeight="1" x14ac:dyDescent="0.2">
      <c r="A117" s="229" t="s">
        <v>215</v>
      </c>
      <c r="B117" s="230" t="s">
        <v>135</v>
      </c>
      <c r="C117" s="231" t="s">
        <v>1</v>
      </c>
      <c r="D117" s="231" t="s">
        <v>36</v>
      </c>
      <c r="E117" s="231" t="s">
        <v>217</v>
      </c>
      <c r="F117" s="232">
        <v>0</v>
      </c>
      <c r="G117" s="233">
        <v>44427</v>
      </c>
      <c r="H117" s="233">
        <v>44427</v>
      </c>
      <c r="I117" s="233">
        <v>44428</v>
      </c>
      <c r="J117" s="234">
        <v>8.4000000000000005E-2</v>
      </c>
      <c r="K117" s="235"/>
      <c r="L117" s="235"/>
      <c r="M117" s="236">
        <v>573.447599976476</v>
      </c>
      <c r="N117" s="236">
        <v>573.57957142437101</v>
      </c>
      <c r="O117" s="237"/>
      <c r="P117" s="76"/>
      <c r="Q117" s="76"/>
      <c r="R117" s="76"/>
      <c r="S117" s="76"/>
      <c r="T117" s="75"/>
      <c r="U117" s="75"/>
      <c r="V117" s="76"/>
      <c r="W117" s="76"/>
      <c r="X117" s="76">
        <f>M117*F117+P117</f>
        <v>0</v>
      </c>
      <c r="Y117" s="77">
        <f>M117*F117+P117</f>
        <v>0</v>
      </c>
      <c r="Z117" s="238"/>
      <c r="AA117" s="239"/>
      <c r="AB117" s="240"/>
      <c r="AC117" s="241"/>
      <c r="AD117" s="241"/>
    </row>
    <row r="118" spans="1:30" x14ac:dyDescent="0.2">
      <c r="A118" s="90" t="s">
        <v>7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1">
        <f>SUM(Y119:Y119)</f>
        <v>0</v>
      </c>
      <c r="Z118" s="92">
        <f>Y118/$Y$139</f>
        <v>0</v>
      </c>
      <c r="AA118" s="6"/>
      <c r="AC118" s="2"/>
      <c r="AD118" s="2"/>
    </row>
    <row r="119" spans="1:30" hidden="1" x14ac:dyDescent="0.2">
      <c r="A119" s="94"/>
      <c r="B119" s="95"/>
      <c r="C119" s="96"/>
      <c r="D119" s="96"/>
      <c r="E119" s="96"/>
      <c r="F119" s="97"/>
      <c r="G119" s="98"/>
      <c r="H119" s="98"/>
      <c r="I119" s="98"/>
      <c r="J119" s="98"/>
      <c r="K119" s="99"/>
      <c r="L119" s="99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1"/>
      <c r="Z119" s="92">
        <f>Y119/$Y$139</f>
        <v>0</v>
      </c>
      <c r="AA119" s="6"/>
      <c r="AC119" s="2"/>
      <c r="AD119" s="2"/>
    </row>
    <row r="120" spans="1:30" x14ac:dyDescent="0.2">
      <c r="A120" s="90" t="s">
        <v>4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1">
        <f>Y121</f>
        <v>0</v>
      </c>
      <c r="Z120" s="92">
        <f>Y120/$Y$139</f>
        <v>0</v>
      </c>
      <c r="AA120" s="6"/>
      <c r="AC120" s="2"/>
      <c r="AD120" s="2"/>
    </row>
    <row r="121" spans="1:30" x14ac:dyDescent="0.2">
      <c r="A121" s="14"/>
      <c r="B121" s="15"/>
      <c r="C121" s="16"/>
      <c r="D121" s="16"/>
      <c r="E121" s="55"/>
      <c r="F121" s="35"/>
      <c r="G121" s="18"/>
      <c r="H121" s="56"/>
      <c r="I121" s="18"/>
      <c r="J121" s="56"/>
      <c r="K121" s="19"/>
      <c r="L121" s="19"/>
      <c r="M121" s="25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26"/>
      <c r="Z121" s="92">
        <f>Y121/$Y$139</f>
        <v>0</v>
      </c>
      <c r="AA121" s="6"/>
      <c r="AC121" s="2"/>
      <c r="AD121" s="2"/>
    </row>
    <row r="122" spans="1:30" ht="39" customHeight="1" x14ac:dyDescent="0.2">
      <c r="A122" s="90" t="s">
        <v>144</v>
      </c>
      <c r="B122" s="143"/>
      <c r="C122" s="144"/>
      <c r="D122" s="144"/>
      <c r="E122" s="144"/>
      <c r="F122" s="145"/>
      <c r="G122" s="146"/>
      <c r="H122" s="146"/>
      <c r="I122" s="146"/>
      <c r="J122" s="146"/>
      <c r="K122" s="147"/>
      <c r="L122" s="147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53">
        <f>SUM(Y123:Y123)</f>
        <v>0</v>
      </c>
      <c r="Z122" s="92"/>
      <c r="AA122" s="6"/>
      <c r="AC122" s="2"/>
      <c r="AD122" s="2"/>
    </row>
    <row r="123" spans="1:30" x14ac:dyDescent="0.2">
      <c r="A123" s="138"/>
      <c r="B123" s="154"/>
      <c r="C123" s="55"/>
      <c r="D123" s="155"/>
      <c r="E123" s="155"/>
      <c r="F123" s="17"/>
      <c r="G123" s="140"/>
      <c r="H123" s="140"/>
      <c r="I123" s="139"/>
      <c r="J123" s="139"/>
      <c r="K123" s="139"/>
      <c r="L123" s="158"/>
      <c r="M123" s="158"/>
      <c r="N123" s="158"/>
      <c r="O123" s="158"/>
      <c r="P123" s="141"/>
      <c r="Q123" s="141"/>
      <c r="R123" s="141"/>
      <c r="S123" s="158"/>
      <c r="T123" s="156"/>
      <c r="U123" s="156"/>
      <c r="V123" s="156"/>
      <c r="W123" s="156"/>
      <c r="X123" s="142"/>
      <c r="Y123" s="164"/>
      <c r="Z123" s="92"/>
      <c r="AA123" s="13"/>
      <c r="AC123" s="2"/>
      <c r="AD123" s="2"/>
    </row>
    <row r="124" spans="1:30" x14ac:dyDescent="0.2">
      <c r="A124" s="78" t="s">
        <v>11</v>
      </c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80">
        <f>Y120+Y118+Y116</f>
        <v>0</v>
      </c>
      <c r="Z124" s="79">
        <f>Y124/$Y$139</f>
        <v>0</v>
      </c>
      <c r="AA124" s="6"/>
      <c r="AC124" s="2"/>
      <c r="AD124" s="2"/>
    </row>
    <row r="125" spans="1:30" s="113" customFormat="1" x14ac:dyDescent="0.2">
      <c r="A125" s="90" t="s">
        <v>28</v>
      </c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1"/>
      <c r="Z125" s="92">
        <f>Y125/$Y$139</f>
        <v>0</v>
      </c>
      <c r="AA125" s="110"/>
      <c r="AB125" s="111"/>
      <c r="AC125" s="112"/>
      <c r="AD125" s="112"/>
    </row>
    <row r="126" spans="1:30" ht="33" x14ac:dyDescent="0.2">
      <c r="A126" s="90" t="s">
        <v>83</v>
      </c>
      <c r="B126" s="109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1">
        <f>Y128+Y127+Y129</f>
        <v>1980461.3700000006</v>
      </c>
      <c r="Z126" s="92">
        <f>SUM(Z127:Z129)</f>
        <v>8.7608272040532896E-4</v>
      </c>
      <c r="AA126" s="6"/>
      <c r="AC126" s="2"/>
      <c r="AD126" s="2"/>
    </row>
    <row r="127" spans="1:30" x14ac:dyDescent="0.2">
      <c r="A127" s="14"/>
      <c r="B127" s="15" t="s">
        <v>86</v>
      </c>
      <c r="C127" s="55" t="s">
        <v>1</v>
      </c>
      <c r="D127" s="55"/>
      <c r="E127" s="55" t="s">
        <v>217</v>
      </c>
      <c r="F127" s="59"/>
      <c r="G127" s="56"/>
      <c r="H127" s="56"/>
      <c r="I127" s="56"/>
      <c r="J127" s="56"/>
      <c r="K127" s="58"/>
      <c r="L127" s="5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26">
        <v>392787.82999999996</v>
      </c>
      <c r="Z127" s="92">
        <f t="shared" ref="Z127:Z132" si="286">Y127/$Y$139</f>
        <v>1.7375478050778929E-4</v>
      </c>
      <c r="AA127" s="6"/>
      <c r="AC127" s="2"/>
      <c r="AD127" s="2"/>
    </row>
    <row r="128" spans="1:30" x14ac:dyDescent="0.2">
      <c r="A128" s="14"/>
      <c r="B128" s="15" t="s">
        <v>87</v>
      </c>
      <c r="C128" s="55" t="s">
        <v>1</v>
      </c>
      <c r="D128" s="55"/>
      <c r="E128" s="55" t="s">
        <v>217</v>
      </c>
      <c r="F128" s="59"/>
      <c r="G128" s="56"/>
      <c r="H128" s="56"/>
      <c r="I128" s="56"/>
      <c r="J128" s="56"/>
      <c r="K128" s="58"/>
      <c r="L128" s="5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26">
        <f>'доход УК'!C32+'доход УК'!C45+'доход УК'!C58+'доход УК'!C71</f>
        <v>1463893.9300000009</v>
      </c>
      <c r="Z128" s="92">
        <f t="shared" si="286"/>
        <v>6.475724273174025E-4</v>
      </c>
      <c r="AA128" s="6"/>
      <c r="AC128" s="2"/>
      <c r="AD128" s="2"/>
    </row>
    <row r="129" spans="1:34" x14ac:dyDescent="0.2">
      <c r="A129" s="14"/>
      <c r="B129" s="15" t="s">
        <v>143</v>
      </c>
      <c r="C129" s="55" t="s">
        <v>1</v>
      </c>
      <c r="D129" s="55"/>
      <c r="E129" s="55" t="s">
        <v>217</v>
      </c>
      <c r="F129" s="59"/>
      <c r="G129" s="56"/>
      <c r="H129" s="56"/>
      <c r="I129" s="56"/>
      <c r="J129" s="56"/>
      <c r="K129" s="58"/>
      <c r="L129" s="5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26">
        <f>16187.97+5070+11138.97+22949.86+4995.71+3899.95+10564.99+5804.94+3992.95+35250.9+3923.37</f>
        <v>123779.60999999999</v>
      </c>
      <c r="Z129" s="92">
        <f t="shared" si="286"/>
        <v>5.4755512580137115E-5</v>
      </c>
      <c r="AA129" s="6"/>
      <c r="AC129" s="2"/>
      <c r="AD129" s="2"/>
    </row>
    <row r="130" spans="1:34" s="152" customFormat="1" ht="33" x14ac:dyDescent="0.2">
      <c r="A130" s="90" t="s">
        <v>84</v>
      </c>
      <c r="B130" s="143"/>
      <c r="C130" s="144"/>
      <c r="D130" s="144"/>
      <c r="E130" s="144"/>
      <c r="F130" s="145"/>
      <c r="G130" s="146"/>
      <c r="H130" s="146"/>
      <c r="I130" s="146"/>
      <c r="J130" s="146"/>
      <c r="K130" s="147"/>
      <c r="L130" s="147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>
        <f>Y130/D2</f>
        <v>0</v>
      </c>
      <c r="Y130" s="153">
        <f>SUM(Y131:Y131)</f>
        <v>0</v>
      </c>
      <c r="Z130" s="92">
        <f t="shared" si="286"/>
        <v>0</v>
      </c>
      <c r="AA130" s="149"/>
      <c r="AB130" s="150"/>
      <c r="AC130" s="151"/>
      <c r="AD130" s="151"/>
    </row>
    <row r="131" spans="1:34" x14ac:dyDescent="0.2">
      <c r="A131" s="14"/>
      <c r="B131" s="15"/>
      <c r="C131" s="55"/>
      <c r="D131" s="55"/>
      <c r="E131" s="55"/>
      <c r="F131" s="17"/>
      <c r="G131" s="56"/>
      <c r="H131" s="56"/>
      <c r="I131" s="56"/>
      <c r="J131" s="114"/>
      <c r="K131" s="168"/>
      <c r="L131" s="27"/>
      <c r="M131" s="116"/>
      <c r="N131" s="116"/>
      <c r="O131" s="157"/>
      <c r="P131" s="157"/>
      <c r="Q131" s="157"/>
      <c r="R131" s="142"/>
      <c r="S131" s="157"/>
      <c r="T131" s="156"/>
      <c r="U131" s="156"/>
      <c r="V131" s="157"/>
      <c r="W131" s="156"/>
      <c r="X131" s="157"/>
      <c r="Y131" s="161"/>
      <c r="Z131" s="92"/>
      <c r="AA131" s="13"/>
      <c r="AC131" s="2"/>
      <c r="AD131" s="2"/>
    </row>
    <row r="132" spans="1:34" s="152" customFormat="1" x14ac:dyDescent="0.2">
      <c r="A132" s="90" t="s">
        <v>116</v>
      </c>
      <c r="B132" s="143"/>
      <c r="C132" s="144"/>
      <c r="D132" s="144"/>
      <c r="E132" s="144"/>
      <c r="F132" s="145"/>
      <c r="G132" s="146"/>
      <c r="H132" s="146"/>
      <c r="I132" s="146"/>
      <c r="J132" s="146"/>
      <c r="K132" s="147"/>
      <c r="L132" s="147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53">
        <f>SUM(Y133:Y133)</f>
        <v>0</v>
      </c>
      <c r="Z132" s="92">
        <f t="shared" si="286"/>
        <v>0</v>
      </c>
      <c r="AA132" s="149"/>
      <c r="AB132" s="150"/>
      <c r="AC132" s="151"/>
      <c r="AD132" s="151"/>
    </row>
    <row r="133" spans="1:34" s="113" customFormat="1" x14ac:dyDescent="0.2">
      <c r="A133" s="173"/>
      <c r="B133" s="174"/>
      <c r="C133" s="175"/>
      <c r="D133" s="176"/>
      <c r="E133" s="176"/>
      <c r="F133" s="177"/>
      <c r="G133" s="178"/>
      <c r="H133" s="178"/>
      <c r="I133" s="179"/>
      <c r="J133" s="179"/>
      <c r="K133" s="179"/>
      <c r="L133" s="180"/>
      <c r="M133" s="180"/>
      <c r="N133" s="180"/>
      <c r="O133" s="180"/>
      <c r="P133" s="181"/>
      <c r="Q133" s="181"/>
      <c r="R133" s="181"/>
      <c r="S133" s="180"/>
      <c r="T133" s="182"/>
      <c r="U133" s="182"/>
      <c r="V133" s="182"/>
      <c r="W133" s="156"/>
      <c r="X133" s="183"/>
      <c r="Y133" s="164"/>
      <c r="Z133" s="92"/>
      <c r="AA133" s="184"/>
      <c r="AB133" s="68"/>
      <c r="AC133" s="112"/>
      <c r="AD133" s="112"/>
    </row>
    <row r="134" spans="1:34" x14ac:dyDescent="0.2">
      <c r="A134" s="78" t="s">
        <v>93</v>
      </c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80">
        <f>Y130+Y126+Y125+Y132</f>
        <v>1980461.3700000006</v>
      </c>
      <c r="Z134" s="79">
        <f>Y134/$Y$139</f>
        <v>8.7608272040532874E-4</v>
      </c>
      <c r="AA134" s="6"/>
      <c r="AC134" s="2"/>
      <c r="AD134" s="2"/>
    </row>
    <row r="135" spans="1:34" x14ac:dyDescent="0.2">
      <c r="A135" s="20"/>
      <c r="B135" s="29"/>
      <c r="C135" s="30"/>
      <c r="D135" s="30"/>
      <c r="E135" s="30"/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3"/>
      <c r="Z135" s="34"/>
      <c r="AA135" s="6"/>
      <c r="AC135" s="2"/>
      <c r="AD135" s="2"/>
    </row>
    <row r="136" spans="1:34" x14ac:dyDescent="0.2">
      <c r="A136" s="102" t="s">
        <v>23</v>
      </c>
      <c r="B136" s="103"/>
      <c r="C136" s="103"/>
      <c r="D136" s="103" t="s">
        <v>41</v>
      </c>
      <c r="E136" s="227" t="s">
        <v>217</v>
      </c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91">
        <v>1969061.3300000057</v>
      </c>
      <c r="Z136" s="92">
        <f t="shared" ref="Z136:Z139" si="287">Y136/$Y$139</f>
        <v>8.7103976515903422E-4</v>
      </c>
      <c r="AA136" s="6"/>
      <c r="AC136" s="2"/>
      <c r="AD136" s="2"/>
    </row>
    <row r="137" spans="1:34" x14ac:dyDescent="0.2">
      <c r="A137" s="102" t="s">
        <v>24</v>
      </c>
      <c r="B137" s="103"/>
      <c r="C137" s="103"/>
      <c r="D137" s="103" t="s">
        <v>41</v>
      </c>
      <c r="E137" s="227" t="s">
        <v>217</v>
      </c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91">
        <v>0</v>
      </c>
      <c r="Y137" s="91">
        <f>X137*D2</f>
        <v>0</v>
      </c>
      <c r="Z137" s="92">
        <f t="shared" si="287"/>
        <v>0</v>
      </c>
      <c r="AA137" s="6"/>
      <c r="AC137" s="2"/>
      <c r="AD137" s="2"/>
    </row>
    <row r="138" spans="1:34" x14ac:dyDescent="0.2">
      <c r="A138" s="102" t="s">
        <v>25</v>
      </c>
      <c r="B138" s="103"/>
      <c r="C138" s="103"/>
      <c r="D138" s="103" t="s">
        <v>41</v>
      </c>
      <c r="E138" s="227" t="s">
        <v>217</v>
      </c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91"/>
      <c r="Y138" s="91">
        <v>1000</v>
      </c>
      <c r="Z138" s="92">
        <f t="shared" si="287"/>
        <v>4.4236294313851147E-7</v>
      </c>
      <c r="AA138" s="6"/>
      <c r="AC138" s="2"/>
      <c r="AD138" s="2"/>
    </row>
    <row r="139" spans="1:34" s="43" customFormat="1" x14ac:dyDescent="0.2">
      <c r="A139" s="81" t="s">
        <v>21</v>
      </c>
      <c r="B139" s="82"/>
      <c r="C139" s="82"/>
      <c r="D139" s="82"/>
      <c r="E139" s="22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3">
        <f>Y138+Y136+Y124+Y115+Y93+Y137+Y122</f>
        <v>2260587184.1459441</v>
      </c>
      <c r="Z139" s="79">
        <f t="shared" si="287"/>
        <v>1</v>
      </c>
      <c r="AA139" s="41"/>
      <c r="AB139" s="69">
        <f>Y139/1000000</f>
        <v>2260.5871841459443</v>
      </c>
      <c r="AC139" s="42"/>
      <c r="AD139" s="42"/>
    </row>
    <row r="140" spans="1:34" x14ac:dyDescent="0.3">
      <c r="A140" s="104" t="s">
        <v>19</v>
      </c>
      <c r="B140" s="105"/>
      <c r="C140" s="106"/>
      <c r="D140" s="106"/>
      <c r="E140" s="227" t="s">
        <v>217</v>
      </c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7">
        <f>Y134</f>
        <v>1980461.3700000006</v>
      </c>
      <c r="Z140" s="92">
        <f>Y140/$Y$139</f>
        <v>8.7608272040532874E-4</v>
      </c>
      <c r="AA140" s="13"/>
      <c r="AC140" s="2"/>
      <c r="AD140" s="2"/>
    </row>
    <row r="141" spans="1:34" s="43" customFormat="1" x14ac:dyDescent="0.2">
      <c r="A141" s="81" t="s">
        <v>20</v>
      </c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194">
        <f>Y139-Y140</f>
        <v>2258606722.7759442</v>
      </c>
      <c r="Z141" s="79">
        <f>Y141/$Y$139</f>
        <v>0.99912391727959471</v>
      </c>
      <c r="AA141" s="41"/>
      <c r="AB141" s="69">
        <f>Y141/1000000</f>
        <v>2258.606722775944</v>
      </c>
      <c r="AC141" s="42"/>
      <c r="AD141" s="42"/>
    </row>
    <row r="142" spans="1:34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B142" s="24"/>
      <c r="AC142" s="11"/>
      <c r="AH142" s="7"/>
    </row>
    <row r="143" spans="1:34" s="43" customFormat="1" x14ac:dyDescent="0.2">
      <c r="A143" s="84" t="s">
        <v>80</v>
      </c>
      <c r="B143" s="85"/>
      <c r="C143" s="86"/>
      <c r="D143" s="86"/>
      <c r="E143" s="86"/>
      <c r="F143" s="86"/>
      <c r="G143" s="86"/>
      <c r="H143" s="86"/>
      <c r="I143" s="87"/>
      <c r="J143" s="87"/>
      <c r="K143" s="86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6" t="s">
        <v>79</v>
      </c>
      <c r="W143" s="86" t="s">
        <v>77</v>
      </c>
      <c r="X143" s="86" t="s">
        <v>75</v>
      </c>
      <c r="Y143" s="86" t="s">
        <v>76</v>
      </c>
      <c r="Z143" s="87" t="s">
        <v>78</v>
      </c>
      <c r="AA143" s="41"/>
      <c r="AB143" s="69"/>
      <c r="AC143" s="42"/>
      <c r="AD143" s="42"/>
    </row>
    <row r="144" spans="1:34" s="40" customFormat="1" outlineLevel="1" x14ac:dyDescent="0.2">
      <c r="A144" s="44"/>
      <c r="B144" s="45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71"/>
      <c r="W144" s="71"/>
      <c r="X144" s="74"/>
      <c r="Y144" s="73"/>
      <c r="Z144" s="72"/>
      <c r="AA144" s="13"/>
      <c r="AB144" s="68"/>
      <c r="AC144" s="2"/>
      <c r="AD144" s="2"/>
    </row>
    <row r="145" spans="1:3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Y145" s="2"/>
      <c r="Z145" s="2"/>
      <c r="AB145" s="24"/>
      <c r="AC145" s="11"/>
      <c r="AH145" s="7"/>
    </row>
    <row r="146" spans="1:35" x14ac:dyDescent="0.2">
      <c r="A146" s="11"/>
      <c r="B146" s="88" t="s">
        <v>26</v>
      </c>
      <c r="C146" s="89"/>
      <c r="D146" s="48"/>
      <c r="E146" s="48"/>
      <c r="F146" s="8"/>
      <c r="G146" s="11"/>
      <c r="H146" s="11"/>
      <c r="I146" s="11"/>
      <c r="J146" s="11"/>
      <c r="K146" s="11"/>
      <c r="L146" s="11"/>
      <c r="M146" s="11"/>
      <c r="N146" s="60"/>
      <c r="O146" s="60"/>
      <c r="P146" s="60"/>
      <c r="Q146" s="60"/>
      <c r="R146" s="60"/>
      <c r="S146" s="60"/>
      <c r="T146" s="60"/>
      <c r="U146" s="60"/>
      <c r="V146" s="60"/>
      <c r="X146" s="53" t="s">
        <v>97</v>
      </c>
      <c r="Y146" s="53">
        <f>Y141/1000000</f>
        <v>2258.606722775944</v>
      </c>
      <c r="Z146" s="2"/>
      <c r="AA146" s="53"/>
      <c r="AB146" s="24"/>
      <c r="AC146" s="11"/>
      <c r="AI146" s="7"/>
    </row>
    <row r="147" spans="1:35" x14ac:dyDescent="0.2">
      <c r="A147" s="11"/>
      <c r="B147" s="36" t="s">
        <v>0</v>
      </c>
      <c r="C147" s="28">
        <f>SUMIF($C$11:$C$121,B147,$Z$11:$Z$121)</f>
        <v>0</v>
      </c>
      <c r="D147" s="47" t="s">
        <v>30</v>
      </c>
      <c r="E147" s="47"/>
      <c r="F147" s="46"/>
      <c r="G147" s="11"/>
      <c r="H147" s="11"/>
      <c r="I147" s="11"/>
      <c r="J147" s="11"/>
      <c r="K147" s="11"/>
      <c r="M147" s="4"/>
      <c r="N147" s="61"/>
      <c r="O147" s="61"/>
      <c r="P147" s="61"/>
      <c r="Q147" s="61"/>
      <c r="R147" s="61"/>
      <c r="S147" s="61"/>
      <c r="T147" s="61"/>
      <c r="U147" s="61"/>
      <c r="V147" s="61"/>
      <c r="X147" s="53"/>
      <c r="Y147" s="53">
        <f>Y139/1000000</f>
        <v>2260.5871841459443</v>
      </c>
      <c r="Z147" s="2"/>
      <c r="AA147" s="53"/>
      <c r="AB147" s="24"/>
      <c r="AC147" s="11"/>
      <c r="AI147" s="7"/>
    </row>
    <row r="148" spans="1:35" x14ac:dyDescent="0.2">
      <c r="A148" s="11"/>
      <c r="B148" s="36" t="s">
        <v>2</v>
      </c>
      <c r="C148" s="28">
        <f>SUMIF($C$11:$C$129,B148,$Z$11:$Z$129)+Z137-Z140+Z132+Z130</f>
        <v>0.46176448045111451</v>
      </c>
      <c r="D148" s="47" t="s">
        <v>31</v>
      </c>
      <c r="E148" s="47"/>
      <c r="F148" s="46"/>
      <c r="G148" s="11"/>
      <c r="H148" s="11"/>
      <c r="I148" s="11"/>
      <c r="J148" s="11"/>
      <c r="K148" s="11"/>
      <c r="M148" s="4"/>
      <c r="T148" s="60"/>
      <c r="X148" s="53"/>
      <c r="Y148" s="53"/>
      <c r="Z148" s="2"/>
      <c r="AA148" s="53"/>
      <c r="AB148" s="24"/>
      <c r="AC148" s="11"/>
      <c r="AI148" s="7"/>
    </row>
    <row r="149" spans="1:35" x14ac:dyDescent="0.2">
      <c r="A149" s="11"/>
      <c r="B149" s="36" t="s">
        <v>64</v>
      </c>
      <c r="C149" s="28">
        <f>SUMIF($C$11:$C$121,B149,$Z$11:$Z$121)</f>
        <v>0</v>
      </c>
      <c r="D149" s="47"/>
      <c r="E149" s="47"/>
      <c r="F149" s="46"/>
      <c r="G149" s="11"/>
      <c r="H149" s="11"/>
      <c r="I149" s="11"/>
      <c r="J149" s="11"/>
      <c r="K149" s="11"/>
      <c r="M149" s="4"/>
      <c r="X149" s="53" t="s">
        <v>6</v>
      </c>
      <c r="Y149" s="53">
        <f>Y93/1000000</f>
        <v>1045.8393279715997</v>
      </c>
      <c r="Z149" s="286">
        <f>Y149/$Y$147</f>
        <v>0.46264056317151975</v>
      </c>
      <c r="AA149" s="53"/>
      <c r="AB149" s="24"/>
      <c r="AC149" s="11"/>
      <c r="AI149" s="7"/>
    </row>
    <row r="150" spans="1:35" x14ac:dyDescent="0.2">
      <c r="A150" s="11"/>
      <c r="B150" s="36" t="s">
        <v>1</v>
      </c>
      <c r="C150" s="28">
        <f>SUMIF($C$11:$C$131,B150,$Z$11:$Z$131)+Z136-Z131</f>
        <v>0.53823507718594243</v>
      </c>
      <c r="D150" s="189"/>
      <c r="E150" s="189"/>
      <c r="F150" s="46"/>
      <c r="G150" s="11"/>
      <c r="H150" s="11"/>
      <c r="I150" s="11"/>
      <c r="J150" s="11"/>
      <c r="K150" s="11"/>
      <c r="M150" s="4"/>
      <c r="X150" s="53" t="s">
        <v>9</v>
      </c>
      <c r="Y150" s="53">
        <f>Y115/1000000</f>
        <v>1212.7777948443447</v>
      </c>
      <c r="Z150" s="286">
        <f t="shared" ref="Z150:Z151" si="288">Y150/$Y$147</f>
        <v>0.53648795470037813</v>
      </c>
      <c r="AA150" s="53"/>
      <c r="AB150" s="24"/>
      <c r="AC150" s="11"/>
      <c r="AI150" s="7"/>
    </row>
    <row r="151" spans="1:35" x14ac:dyDescent="0.2">
      <c r="A151" s="11"/>
      <c r="B151" s="37" t="s">
        <v>27</v>
      </c>
      <c r="C151" s="38">
        <f>SUM(C147:C150)</f>
        <v>0.99999955763705695</v>
      </c>
      <c r="D151" s="192"/>
      <c r="E151" s="192"/>
      <c r="F151" s="8"/>
      <c r="G151" s="11"/>
      <c r="H151" s="11"/>
      <c r="I151" s="11"/>
      <c r="J151" s="11"/>
      <c r="K151" s="11"/>
      <c r="M151" s="4"/>
      <c r="X151" s="53" t="s">
        <v>317</v>
      </c>
      <c r="Y151" s="53">
        <f>(Y136+Y138)/1000000</f>
        <v>1.9700613300000056</v>
      </c>
      <c r="Z151" s="286">
        <f t="shared" si="288"/>
        <v>8.7148212810217267E-4</v>
      </c>
      <c r="AA151" s="53"/>
      <c r="AB151" s="24"/>
      <c r="AC151" s="11"/>
      <c r="AI151" s="7"/>
    </row>
    <row r="152" spans="1:35" x14ac:dyDescent="0.2">
      <c r="A152" s="11"/>
      <c r="B152" s="11"/>
      <c r="C152" s="11"/>
      <c r="D152" s="49"/>
      <c r="E152" s="49"/>
      <c r="F152" s="11"/>
      <c r="G152" s="11"/>
      <c r="H152" s="11"/>
      <c r="I152" s="11"/>
      <c r="J152" s="11"/>
      <c r="K152" s="11"/>
      <c r="M152" s="4"/>
      <c r="X152" s="53"/>
      <c r="Y152" s="53"/>
      <c r="Z152" s="287"/>
      <c r="AA152" s="53"/>
      <c r="AB152" s="24"/>
      <c r="AC152" s="11"/>
      <c r="AI152" s="7"/>
    </row>
    <row r="153" spans="1:35" x14ac:dyDescent="0.2">
      <c r="A153" s="11"/>
      <c r="B153" s="11"/>
      <c r="C153" s="11"/>
      <c r="D153" s="49"/>
      <c r="E153" s="49"/>
      <c r="F153" s="11"/>
      <c r="G153" s="11"/>
      <c r="H153" s="11"/>
      <c r="I153" s="11"/>
      <c r="J153" s="11"/>
      <c r="K153" s="11"/>
      <c r="M153" s="4"/>
      <c r="X153" s="53"/>
      <c r="Y153" s="53"/>
      <c r="Z153" s="53"/>
      <c r="AA153" s="53"/>
      <c r="AB153" s="24"/>
      <c r="AC153" s="11"/>
      <c r="AI153" s="7"/>
    </row>
    <row r="154" spans="1:35" x14ac:dyDescent="0.2">
      <c r="A154" s="11"/>
      <c r="B154" s="88" t="s">
        <v>32</v>
      </c>
      <c r="C154" s="89"/>
      <c r="D154" s="50" t="s">
        <v>42</v>
      </c>
      <c r="E154" s="50"/>
      <c r="F154" s="8"/>
      <c r="G154" s="11"/>
      <c r="H154" s="11"/>
      <c r="I154" s="11"/>
      <c r="J154" s="11"/>
      <c r="K154" s="11"/>
      <c r="M154" s="4"/>
      <c r="X154" s="53"/>
      <c r="Y154" s="53"/>
      <c r="Z154" s="53"/>
      <c r="AA154" s="53"/>
      <c r="AB154" s="24"/>
      <c r="AC154" s="11"/>
      <c r="AI154" s="7"/>
    </row>
    <row r="155" spans="1:35" x14ac:dyDescent="0.2">
      <c r="A155" s="11"/>
      <c r="B155" s="36" t="s">
        <v>33</v>
      </c>
      <c r="C155" s="28">
        <f>SUMIF($D$11:$D$124,B155,$Z$11:$Z$124)</f>
        <v>0</v>
      </c>
      <c r="D155" s="47" t="s">
        <v>43</v>
      </c>
      <c r="E155" s="47"/>
      <c r="F155" s="46"/>
      <c r="G155" s="11"/>
      <c r="H155" s="11"/>
      <c r="I155" s="11"/>
      <c r="J155" s="11"/>
      <c r="K155" s="11"/>
      <c r="M155" s="4"/>
      <c r="X155" s="53"/>
      <c r="Y155" s="53"/>
      <c r="Z155" s="53"/>
      <c r="AA155" s="53"/>
      <c r="AB155" s="24"/>
      <c r="AC155" s="11"/>
      <c r="AI155" s="7"/>
    </row>
    <row r="156" spans="1:35" x14ac:dyDescent="0.2">
      <c r="A156" s="11"/>
      <c r="B156" s="36" t="s">
        <v>34</v>
      </c>
      <c r="C156" s="28">
        <f>SUMIF($D$11:$D$124,"AA+",$Z$11:$Z$124)+SUMIF($D$11:$D$124,"AA",$Z$11:$Z$124)+SUMIF($D$11:$D$124,"AA-",$Z$11:$Z$124)</f>
        <v>0</v>
      </c>
      <c r="D156" s="47" t="s">
        <v>44</v>
      </c>
      <c r="E156" s="47"/>
      <c r="F156" s="46"/>
      <c r="G156" s="11"/>
      <c r="H156" s="11"/>
      <c r="I156" s="11"/>
      <c r="J156" s="11"/>
      <c r="K156" s="11"/>
      <c r="M156" s="4"/>
      <c r="X156" s="53"/>
      <c r="Y156" s="53"/>
      <c r="Z156" s="53"/>
      <c r="AA156" s="53"/>
      <c r="AB156" s="24"/>
      <c r="AC156" s="11"/>
      <c r="AI156" s="7"/>
    </row>
    <row r="157" spans="1:35" x14ac:dyDescent="0.2">
      <c r="A157" s="11"/>
      <c r="B157" s="36" t="s">
        <v>35</v>
      </c>
      <c r="C157" s="28">
        <f>SUMIF($D$11:$D$124,"A+",$Z$11:$Z$124)+SUMIF($D$11:$D$124,"A",$Z$11:$Z$124)+SUMIF($D$11:$D$124,"A-",$Z$11:$Z$124)</f>
        <v>0</v>
      </c>
      <c r="D157" s="47" t="s">
        <v>45</v>
      </c>
      <c r="E157" s="47"/>
      <c r="F157" s="46"/>
      <c r="G157" s="11"/>
      <c r="H157" s="11"/>
      <c r="I157" s="11"/>
      <c r="J157" s="11"/>
      <c r="K157" s="11"/>
      <c r="M157" s="4"/>
      <c r="X157" s="53"/>
      <c r="Y157" s="53"/>
      <c r="Z157" s="9"/>
      <c r="AA157" s="53"/>
      <c r="AB157" s="24"/>
      <c r="AC157" s="11"/>
      <c r="AI157" s="7"/>
    </row>
    <row r="158" spans="1:35" x14ac:dyDescent="0.2">
      <c r="A158" s="11"/>
      <c r="B158" s="36" t="s">
        <v>36</v>
      </c>
      <c r="C158" s="28">
        <f ca="1">SUMIF($D$11:$D$127,"BBB+",$Z$11:$Z$124)+SUMIF($D$11:$D$124,"BBB",$Z$11:$Z$124)+SUMIF($D$11:$D$124,"BBB-",$Z$11:$Z$124)-Z127</f>
        <v>0.53631419991987028</v>
      </c>
      <c r="D158" s="47" t="s">
        <v>46</v>
      </c>
      <c r="E158" s="47"/>
      <c r="F158" s="46"/>
      <c r="G158" s="11"/>
      <c r="H158" s="11"/>
      <c r="I158" s="11"/>
      <c r="J158" s="11"/>
      <c r="K158" s="11"/>
      <c r="M158" s="4"/>
      <c r="Y158" s="9"/>
      <c r="Z158" s="9"/>
      <c r="AA158" s="9"/>
      <c r="AB158" s="24"/>
      <c r="AC158" s="11"/>
      <c r="AI158" s="7"/>
    </row>
    <row r="159" spans="1:35" x14ac:dyDescent="0.2">
      <c r="A159" s="11"/>
      <c r="B159" s="36" t="s">
        <v>37</v>
      </c>
      <c r="C159" s="28">
        <f>SUMIF($D$11:$D$124,"BB+",$Z$11:$Z$124)+SUMIF($D$11:$D$124,"BB",$Z$11:$Z$124)+SUMIF($D$11:$D$124,"BB-",$Z$11:$Z$124)</f>
        <v>0</v>
      </c>
      <c r="D159" s="47" t="s">
        <v>47</v>
      </c>
      <c r="E159" s="47"/>
      <c r="F159" s="46"/>
      <c r="G159" s="11"/>
      <c r="H159" s="11"/>
      <c r="I159" s="11"/>
      <c r="J159" s="11"/>
      <c r="K159" s="11"/>
      <c r="M159" s="4"/>
      <c r="Y159" s="9"/>
      <c r="Z159" s="9"/>
      <c r="AA159" s="9"/>
      <c r="AB159" s="24"/>
      <c r="AC159" s="11"/>
      <c r="AI159" s="7"/>
    </row>
    <row r="160" spans="1:35" x14ac:dyDescent="0.2">
      <c r="A160" s="11"/>
      <c r="B160" s="36" t="s">
        <v>38</v>
      </c>
      <c r="C160" s="28">
        <f>SUMIF($D$11:$D$124,"B+",$Z$11:$Z$124)+SUMIF($D$11:$D$124,"B",$Z$11:$Z$124)+SUMIF($D$11:$D$124,"B-",$Z$11:$Z$124)</f>
        <v>0</v>
      </c>
      <c r="D160" s="47" t="s">
        <v>48</v>
      </c>
      <c r="E160" s="47"/>
      <c r="F160" s="46"/>
      <c r="G160" s="11"/>
      <c r="H160" s="11"/>
      <c r="I160" s="11"/>
      <c r="J160" s="11"/>
      <c r="K160" s="11"/>
      <c r="M160" s="4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9"/>
      <c r="Z160" s="9"/>
      <c r="AA160" s="9"/>
      <c r="AB160" s="24"/>
      <c r="AC160" s="11"/>
      <c r="AI160" s="7"/>
    </row>
    <row r="161" spans="1:35" x14ac:dyDescent="0.2">
      <c r="A161" s="11"/>
      <c r="B161" s="36" t="s">
        <v>41</v>
      </c>
      <c r="C161" s="28">
        <f ca="1">1-SUM(C155:C160)</f>
        <v>0.46368580008012972</v>
      </c>
      <c r="D161" s="47" t="s">
        <v>49</v>
      </c>
      <c r="E161" s="47"/>
      <c r="F161" s="46"/>
      <c r="G161" s="11"/>
      <c r="H161" s="11"/>
      <c r="I161" s="11"/>
      <c r="J161" s="11"/>
      <c r="K161" s="11"/>
      <c r="M161" s="4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9"/>
      <c r="Z161" s="9"/>
      <c r="AA161" s="9"/>
      <c r="AB161" s="24"/>
      <c r="AC161" s="11"/>
      <c r="AI161" s="7"/>
    </row>
    <row r="162" spans="1:35" x14ac:dyDescent="0.2">
      <c r="A162" s="11"/>
      <c r="B162" s="37" t="s">
        <v>27</v>
      </c>
      <c r="C162" s="38">
        <f ca="1">SUM(C155:C161)</f>
        <v>1</v>
      </c>
      <c r="D162" s="48"/>
      <c r="E162" s="48"/>
      <c r="F162" s="8"/>
      <c r="G162" s="11"/>
      <c r="H162" s="11"/>
      <c r="I162" s="11"/>
      <c r="J162" s="11"/>
      <c r="K162" s="11"/>
      <c r="M162" s="4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9"/>
      <c r="Z162" s="9"/>
      <c r="AA162" s="22"/>
      <c r="AB162" s="24"/>
      <c r="AC162" s="11"/>
      <c r="AI162" s="7"/>
    </row>
    <row r="163" spans="1:35" x14ac:dyDescent="0.2">
      <c r="A163" s="11"/>
      <c r="B163" s="11"/>
      <c r="C163" s="11"/>
      <c r="D163" s="49"/>
      <c r="E163" s="49"/>
      <c r="F163" s="11"/>
      <c r="G163" s="11"/>
      <c r="H163" s="11"/>
      <c r="I163" s="11"/>
      <c r="J163" s="11"/>
      <c r="K163" s="11"/>
      <c r="L163" s="11"/>
      <c r="M163" s="11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9"/>
      <c r="Z163" s="9"/>
      <c r="AA163" s="22"/>
      <c r="AB163" s="24"/>
      <c r="AC163" s="11"/>
      <c r="AI163" s="7"/>
    </row>
    <row r="164" spans="1:35" x14ac:dyDescent="0.2">
      <c r="A164" s="11"/>
      <c r="B164" s="11"/>
      <c r="C164" s="11"/>
      <c r="D164" s="49"/>
      <c r="E164" s="49"/>
      <c r="F164" s="11"/>
      <c r="G164" s="11"/>
      <c r="H164" s="11"/>
      <c r="I164" s="11"/>
      <c r="J164" s="11"/>
      <c r="K164" s="11"/>
      <c r="L164" s="11"/>
      <c r="M164" s="11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1"/>
      <c r="Z164" s="22"/>
      <c r="AA164" s="22"/>
      <c r="AB164" s="24"/>
      <c r="AC164" s="11"/>
      <c r="AI164" s="7"/>
    </row>
    <row r="165" spans="1:35" ht="16.5" customHeight="1" x14ac:dyDescent="0.2">
      <c r="A165" s="11"/>
      <c r="B165" s="88" t="s">
        <v>61</v>
      </c>
      <c r="C165" s="89"/>
      <c r="D165" s="50" t="s">
        <v>50</v>
      </c>
      <c r="E165" s="50"/>
      <c r="F165" s="11"/>
      <c r="G165" s="11"/>
      <c r="H165" s="11"/>
      <c r="I165" s="11"/>
      <c r="J165" s="11"/>
      <c r="K165" s="11"/>
      <c r="L165" s="11"/>
      <c r="M165" s="11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1"/>
      <c r="Z165" s="22"/>
      <c r="AA165" s="23"/>
      <c r="AB165" s="24"/>
      <c r="AC165" s="11"/>
      <c r="AI165" s="7"/>
    </row>
    <row r="166" spans="1:35" x14ac:dyDescent="0.2">
      <c r="A166" s="11"/>
      <c r="B166" s="36" t="s">
        <v>51</v>
      </c>
      <c r="C166" s="28">
        <f>Z93</f>
        <v>0.4626405631715198</v>
      </c>
      <c r="D166" s="49" t="s">
        <v>55</v>
      </c>
      <c r="E166" s="49"/>
      <c r="F166" s="11"/>
      <c r="G166" s="11"/>
      <c r="H166" s="11"/>
      <c r="I166" s="11"/>
      <c r="J166" s="11"/>
      <c r="K166" s="11"/>
      <c r="L166" s="11"/>
      <c r="M166" s="11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22"/>
      <c r="AA166" s="23"/>
      <c r="AB166" s="24"/>
      <c r="AC166" s="11"/>
      <c r="AI166" s="7"/>
    </row>
    <row r="167" spans="1:35" x14ac:dyDescent="0.2">
      <c r="A167" s="11"/>
      <c r="B167" s="36" t="s">
        <v>52</v>
      </c>
      <c r="C167" s="28">
        <f>Z115</f>
        <v>0.53648795470037813</v>
      </c>
      <c r="D167" s="49" t="s">
        <v>56</v>
      </c>
      <c r="E167" s="49"/>
      <c r="F167" s="11"/>
      <c r="G167" s="11"/>
      <c r="H167" s="11"/>
      <c r="I167" s="11"/>
      <c r="J167" s="11"/>
      <c r="K167" s="11"/>
      <c r="L167" s="11"/>
      <c r="M167" s="11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22"/>
      <c r="AA167" s="23"/>
      <c r="AB167" s="24"/>
      <c r="AC167" s="11"/>
      <c r="AI167" s="7"/>
    </row>
    <row r="168" spans="1:35" x14ac:dyDescent="0.2">
      <c r="A168" s="11"/>
      <c r="B168" s="36" t="s">
        <v>53</v>
      </c>
      <c r="C168" s="28">
        <f>Z124</f>
        <v>0</v>
      </c>
      <c r="D168" s="49" t="s">
        <v>57</v>
      </c>
      <c r="E168" s="49"/>
      <c r="F168" s="11"/>
      <c r="G168" s="11"/>
      <c r="H168" s="11"/>
      <c r="I168" s="11"/>
      <c r="J168" s="11"/>
      <c r="K168" s="11"/>
      <c r="L168" s="11"/>
      <c r="M168" s="11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22"/>
      <c r="AA168" s="23"/>
      <c r="AB168" s="24"/>
      <c r="AC168" s="11"/>
      <c r="AI168" s="7"/>
    </row>
    <row r="169" spans="1:35" x14ac:dyDescent="0.2">
      <c r="A169" s="11"/>
      <c r="B169" s="36" t="s">
        <v>54</v>
      </c>
      <c r="C169" s="28">
        <f>Z136+Z137+Z138</f>
        <v>8.7148212810217278E-4</v>
      </c>
      <c r="D169" s="49" t="s">
        <v>58</v>
      </c>
      <c r="E169" s="49"/>
      <c r="F169" s="11"/>
      <c r="G169" s="11"/>
      <c r="H169" s="11"/>
      <c r="I169" s="11"/>
      <c r="J169" s="11"/>
      <c r="K169" s="11"/>
      <c r="L169" s="11"/>
      <c r="M169" s="11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22"/>
      <c r="AA169" s="23"/>
      <c r="AB169" s="24"/>
      <c r="AC169" s="11"/>
      <c r="AI169" s="7"/>
    </row>
    <row r="170" spans="1:35" x14ac:dyDescent="0.2">
      <c r="A170" s="11"/>
      <c r="B170" s="36" t="s">
        <v>63</v>
      </c>
      <c r="C170" s="28">
        <f>Z140</f>
        <v>8.7608272040532874E-4</v>
      </c>
      <c r="D170" s="49"/>
      <c r="E170" s="49"/>
      <c r="F170" s="11"/>
      <c r="G170" s="11"/>
      <c r="H170" s="11"/>
      <c r="I170" s="11"/>
      <c r="J170" s="11"/>
      <c r="K170" s="11"/>
      <c r="L170" s="11"/>
      <c r="M170" s="11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22"/>
      <c r="AA170" s="23"/>
      <c r="AB170" s="24"/>
      <c r="AC170" s="11"/>
      <c r="AI170" s="7"/>
    </row>
    <row r="171" spans="1:35" x14ac:dyDescent="0.2">
      <c r="A171" s="11"/>
      <c r="B171" s="37" t="s">
        <v>27</v>
      </c>
      <c r="C171" s="38">
        <f>SUM(C166:C169)</f>
        <v>1</v>
      </c>
      <c r="D171" s="51"/>
      <c r="E171" s="5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21"/>
      <c r="Z171" s="22"/>
      <c r="AA171" s="23"/>
      <c r="AB171" s="24"/>
      <c r="AC171" s="11"/>
      <c r="AI171" s="7"/>
    </row>
    <row r="172" spans="1:35" x14ac:dyDescent="0.2">
      <c r="A172" s="11"/>
      <c r="B172" s="11"/>
      <c r="C172" s="11"/>
      <c r="D172" s="49"/>
      <c r="E172" s="4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21"/>
      <c r="Z172" s="22"/>
      <c r="AA172" s="23"/>
      <c r="AB172" s="24"/>
      <c r="AC172" s="11"/>
      <c r="AI172" s="7"/>
    </row>
    <row r="173" spans="1:35" x14ac:dyDescent="0.2">
      <c r="A173" s="11"/>
      <c r="B173" s="11"/>
      <c r="C173" s="11"/>
      <c r="D173" s="49"/>
      <c r="E173" s="4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21"/>
      <c r="Z173" s="22"/>
      <c r="AA173" s="23"/>
      <c r="AB173" s="24"/>
      <c r="AC173" s="11"/>
      <c r="AI173" s="7"/>
    </row>
    <row r="174" spans="1:35" ht="16.5" customHeight="1" x14ac:dyDescent="0.2">
      <c r="A174" s="11"/>
      <c r="B174" s="88" t="s">
        <v>60</v>
      </c>
      <c r="C174" s="89"/>
      <c r="D174" s="50" t="s">
        <v>59</v>
      </c>
      <c r="E174" s="5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21"/>
      <c r="Z174" s="22"/>
      <c r="AA174" s="23"/>
      <c r="AB174" s="24"/>
      <c r="AC174" s="11"/>
      <c r="AI174" s="7"/>
    </row>
    <row r="175" spans="1:35" ht="33" x14ac:dyDescent="0.2">
      <c r="A175" s="11"/>
      <c r="B175" s="15" t="s">
        <v>62</v>
      </c>
      <c r="C175" s="28">
        <f>Z95+Z96+Z97+Z98+Z100+Z101+Z102+Z103</f>
        <v>0.36961136719465604</v>
      </c>
      <c r="D175" s="49"/>
      <c r="E175" s="4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21"/>
      <c r="Z175" s="22"/>
      <c r="AA175" s="23"/>
      <c r="AB175" s="24"/>
      <c r="AC175" s="11"/>
      <c r="AI175" s="7"/>
    </row>
    <row r="176" spans="1:35" x14ac:dyDescent="0.2">
      <c r="A176" s="11"/>
      <c r="B176" s="15" t="s">
        <v>135</v>
      </c>
      <c r="C176" s="28">
        <f>Z105+Z106+Z107+Z108+Z109+Z117</f>
        <v>0.16687658750572204</v>
      </c>
      <c r="D176" s="49"/>
      <c r="E176" s="4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21"/>
      <c r="Z176" s="22"/>
      <c r="AA176" s="23"/>
      <c r="AB176" s="24"/>
      <c r="AC176" s="11"/>
      <c r="AI176" s="7"/>
    </row>
    <row r="177" spans="1:35" x14ac:dyDescent="0.2">
      <c r="A177" s="11"/>
      <c r="B177" s="138" t="s">
        <v>107</v>
      </c>
      <c r="C177" s="28">
        <f>SUMIF($A$13:$A$90,B177,$Z$13:$Z$90)</f>
        <v>6.2397326916763349E-2</v>
      </c>
      <c r="D177" s="49"/>
      <c r="E177" s="4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21"/>
      <c r="Z177" s="22"/>
      <c r="AA177" s="23"/>
      <c r="AB177" s="24"/>
      <c r="AC177" s="11"/>
      <c r="AI177" s="7"/>
    </row>
    <row r="178" spans="1:35" x14ac:dyDescent="0.2">
      <c r="A178" s="11"/>
      <c r="B178" s="138" t="s">
        <v>108</v>
      </c>
      <c r="C178" s="28">
        <f t="shared" ref="C178:C184" si="289">SUMIF($A$13:$A$88,B178,$Z$13:$Z$88)</f>
        <v>1.7042323064816938E-2</v>
      </c>
      <c r="D178" s="49"/>
      <c r="E178" s="4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21"/>
      <c r="Z178" s="22"/>
      <c r="AA178" s="23"/>
      <c r="AB178" s="24"/>
      <c r="AC178" s="11"/>
      <c r="AI178" s="7"/>
    </row>
    <row r="179" spans="1:35" x14ac:dyDescent="0.2">
      <c r="A179" s="11"/>
      <c r="B179" s="138" t="s">
        <v>109</v>
      </c>
      <c r="C179" s="28">
        <f t="shared" si="289"/>
        <v>7.2088171222897263E-3</v>
      </c>
      <c r="D179" s="49"/>
      <c r="E179" s="4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21"/>
      <c r="Z179" s="22"/>
      <c r="AA179" s="23"/>
      <c r="AB179" s="24"/>
      <c r="AC179" s="11"/>
      <c r="AI179" s="7"/>
    </row>
    <row r="180" spans="1:35" x14ac:dyDescent="0.2">
      <c r="A180" s="11"/>
      <c r="B180" s="138" t="s">
        <v>110</v>
      </c>
      <c r="C180" s="28">
        <f t="shared" si="289"/>
        <v>6.7391556848561074E-2</v>
      </c>
      <c r="D180" s="49"/>
      <c r="E180" s="4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21"/>
      <c r="Z180" s="22"/>
      <c r="AA180" s="23"/>
      <c r="AB180" s="24"/>
      <c r="AC180" s="11"/>
      <c r="AI180" s="7"/>
    </row>
    <row r="181" spans="1:35" x14ac:dyDescent="0.2">
      <c r="A181" s="11"/>
      <c r="B181" s="138" t="s">
        <v>111</v>
      </c>
      <c r="C181" s="28">
        <f t="shared" si="289"/>
        <v>6.6046951777667354E-2</v>
      </c>
      <c r="D181" s="49"/>
      <c r="E181" s="4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21"/>
      <c r="Z181" s="22"/>
      <c r="AA181" s="23"/>
      <c r="AB181" s="24"/>
      <c r="AC181" s="11"/>
      <c r="AI181" s="7"/>
    </row>
    <row r="182" spans="1:35" x14ac:dyDescent="0.2">
      <c r="A182" s="11"/>
      <c r="B182" s="138" t="s">
        <v>112</v>
      </c>
      <c r="C182" s="28">
        <f t="shared" si="289"/>
        <v>1.8136428611838534E-2</v>
      </c>
      <c r="D182" s="49"/>
      <c r="E182" s="4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21"/>
      <c r="Z182" s="22"/>
      <c r="AA182" s="23"/>
      <c r="AB182" s="24"/>
      <c r="AC182" s="11"/>
      <c r="AI182" s="7"/>
    </row>
    <row r="183" spans="1:35" x14ac:dyDescent="0.2">
      <c r="A183" s="11"/>
      <c r="B183" s="138" t="s">
        <v>113</v>
      </c>
      <c r="C183" s="28">
        <f t="shared" si="289"/>
        <v>7.2314210379928509E-2</v>
      </c>
      <c r="D183" s="49"/>
      <c r="E183" s="4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21"/>
      <c r="Z183" s="22"/>
      <c r="AA183" s="23"/>
      <c r="AB183" s="24"/>
      <c r="AC183" s="11"/>
      <c r="AI183" s="7"/>
    </row>
    <row r="184" spans="1:35" x14ac:dyDescent="0.2">
      <c r="A184" s="11"/>
      <c r="B184" s="138" t="s">
        <v>114</v>
      </c>
      <c r="C184" s="28">
        <f t="shared" si="289"/>
        <v>8.9739182556297772E-2</v>
      </c>
      <c r="D184" s="49"/>
      <c r="E184" s="4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21"/>
      <c r="Z184" s="22"/>
      <c r="AA184" s="23"/>
      <c r="AB184" s="24"/>
      <c r="AC184" s="11"/>
      <c r="AI184" s="7"/>
    </row>
    <row r="185" spans="1:35" x14ac:dyDescent="0.2">
      <c r="A185" s="11"/>
      <c r="B185" s="138" t="s">
        <v>145</v>
      </c>
      <c r="C185" s="28">
        <f>SUMIF($A$13:$A$92,B185,$Z$13:$Z$92)</f>
        <v>6.2363765893356661E-2</v>
      </c>
      <c r="D185" s="49"/>
      <c r="E185" s="4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21"/>
      <c r="Z185" s="22"/>
      <c r="AA185" s="23"/>
      <c r="AB185" s="24"/>
      <c r="AC185" s="11"/>
      <c r="AI185" s="7"/>
    </row>
    <row r="186" spans="1:35" x14ac:dyDescent="0.2">
      <c r="A186" s="11"/>
      <c r="B186" s="138" t="s">
        <v>54</v>
      </c>
      <c r="C186" s="28">
        <f>Z136+Z137+Z138</f>
        <v>8.7148212810217278E-4</v>
      </c>
      <c r="D186" s="49"/>
      <c r="E186" s="4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21"/>
      <c r="Z186" s="22"/>
      <c r="AA186" s="23"/>
      <c r="AB186" s="24"/>
      <c r="AC186" s="11"/>
      <c r="AI186" s="7"/>
    </row>
    <row r="187" spans="1:35" x14ac:dyDescent="0.2">
      <c r="A187" s="11"/>
      <c r="B187" s="37" t="s">
        <v>27</v>
      </c>
      <c r="C187" s="38">
        <f>SUM(C175:C186)</f>
        <v>1</v>
      </c>
      <c r="D187" s="49"/>
      <c r="E187" s="4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21"/>
      <c r="Z187" s="22"/>
      <c r="AA187" s="23"/>
      <c r="AB187" s="24"/>
      <c r="AC187" s="11"/>
      <c r="AI187" s="7"/>
    </row>
    <row r="188" spans="1:35" x14ac:dyDescent="0.2">
      <c r="A188" s="11"/>
      <c r="B188" s="11"/>
      <c r="C188" s="11"/>
      <c r="D188" s="190"/>
      <c r="E188" s="190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21"/>
      <c r="Z188" s="22"/>
      <c r="AA188" s="23"/>
      <c r="AB188" s="24"/>
      <c r="AC188" s="11"/>
      <c r="AI188" s="7"/>
    </row>
    <row r="189" spans="1:35" x14ac:dyDescent="0.2">
      <c r="A189" s="11"/>
      <c r="B189" s="11"/>
      <c r="C189" s="2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21"/>
      <c r="Z189" s="22"/>
      <c r="AA189" s="23"/>
      <c r="AB189" s="24"/>
      <c r="AC189" s="11"/>
      <c r="AI189" s="7"/>
    </row>
    <row r="190" spans="1:35" x14ac:dyDescent="0.2">
      <c r="A190" s="11"/>
      <c r="B190" s="11"/>
      <c r="C190" s="24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21"/>
      <c r="Z190" s="22"/>
      <c r="AA190" s="23"/>
      <c r="AB190" s="24"/>
      <c r="AC190" s="11"/>
      <c r="AI190" s="7"/>
    </row>
    <row r="191" spans="1:3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21"/>
      <c r="Z191" s="22"/>
      <c r="AA191" s="23"/>
      <c r="AB191" s="24"/>
      <c r="AC191" s="11"/>
      <c r="AI191" s="7"/>
    </row>
    <row r="192" spans="1:3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21"/>
      <c r="Z192" s="22"/>
      <c r="AA192" s="23"/>
      <c r="AB192" s="24"/>
      <c r="AC192" s="11"/>
      <c r="AI192" s="7"/>
    </row>
    <row r="193" spans="1:3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21"/>
      <c r="Z193" s="22"/>
      <c r="AA193" s="23"/>
      <c r="AB193" s="24"/>
      <c r="AC193" s="11"/>
      <c r="AI193" s="7"/>
    </row>
    <row r="194" spans="1:3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B194" s="24"/>
      <c r="AC194" s="11"/>
      <c r="AH194" s="7"/>
    </row>
    <row r="195" spans="1:3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B195" s="24"/>
      <c r="AC195" s="11"/>
      <c r="AH195" s="7"/>
    </row>
    <row r="196" spans="1:3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B196" s="24"/>
      <c r="AC196" s="11"/>
      <c r="AH196" s="7"/>
    </row>
    <row r="197" spans="1:3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B197" s="24"/>
      <c r="AC197" s="11"/>
      <c r="AH197" s="7"/>
    </row>
    <row r="198" spans="1:3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B198" s="24"/>
      <c r="AC198" s="11"/>
      <c r="AH198" s="7"/>
    </row>
    <row r="199" spans="1:3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B199" s="24"/>
      <c r="AC199" s="11"/>
      <c r="AH199" s="7"/>
    </row>
    <row r="200" spans="1:3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B200" s="24"/>
      <c r="AC200" s="11"/>
      <c r="AH200" s="7"/>
    </row>
    <row r="201" spans="1:3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B201" s="24"/>
      <c r="AC201" s="11"/>
      <c r="AH201" s="7"/>
    </row>
    <row r="202" spans="1:3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B202" s="24"/>
      <c r="AC202" s="11"/>
      <c r="AH202" s="7"/>
    </row>
    <row r="203" spans="1:3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B203" s="24"/>
      <c r="AC203" s="11"/>
      <c r="AH203" s="7"/>
    </row>
    <row r="204" spans="1:3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B204" s="24"/>
      <c r="AC204" s="11"/>
      <c r="AH204" s="7"/>
    </row>
    <row r="205" spans="1:3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B205" s="24"/>
      <c r="AC205" s="11"/>
      <c r="AH205" s="7"/>
    </row>
    <row r="206" spans="1:3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B206" s="24"/>
      <c r="AC206" s="11"/>
      <c r="AH206" s="7"/>
    </row>
    <row r="207" spans="1:3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B207" s="24"/>
      <c r="AC207" s="11"/>
      <c r="AH207" s="7"/>
    </row>
    <row r="208" spans="1:3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B208" s="24"/>
      <c r="AC208" s="11"/>
      <c r="AH208" s="7"/>
    </row>
    <row r="209" spans="1:34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B209" s="24"/>
      <c r="AC209" s="11"/>
      <c r="AH209" s="7"/>
    </row>
    <row r="210" spans="1:34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B210" s="24"/>
      <c r="AC210" s="11"/>
      <c r="AH210" s="7"/>
    </row>
    <row r="211" spans="1:34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B211" s="24"/>
      <c r="AC211" s="11"/>
      <c r="AH211" s="7"/>
    </row>
    <row r="212" spans="1:34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B212" s="24"/>
      <c r="AC212" s="11"/>
      <c r="AH212" s="7"/>
    </row>
    <row r="213" spans="1:34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B213" s="24"/>
      <c r="AC213" s="11"/>
      <c r="AH213" s="7"/>
    </row>
    <row r="214" spans="1:34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AB214" s="24"/>
      <c r="AC214" s="11"/>
      <c r="AH214" s="7"/>
    </row>
    <row r="215" spans="1:34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6"/>
      <c r="L215" s="6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AB215" s="70"/>
      <c r="AC215" s="11"/>
    </row>
    <row r="216" spans="1:34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6"/>
      <c r="L216" s="6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AB216" s="70"/>
      <c r="AC216" s="11"/>
    </row>
    <row r="217" spans="1:34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6"/>
      <c r="L217" s="6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AB217" s="70"/>
      <c r="AC217" s="11"/>
    </row>
    <row r="218" spans="1:34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6"/>
      <c r="L218" s="6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AB218" s="70"/>
      <c r="AC218" s="11"/>
    </row>
    <row r="219" spans="1:34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6"/>
      <c r="L219" s="6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AB219" s="70"/>
      <c r="AC219" s="11"/>
    </row>
    <row r="220" spans="1:34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6"/>
      <c r="L220" s="6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AB220" s="70"/>
      <c r="AC220" s="11"/>
    </row>
    <row r="221" spans="1:34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6"/>
      <c r="L221" s="6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AB221" s="70"/>
      <c r="AC221" s="11"/>
    </row>
    <row r="222" spans="1:34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6"/>
      <c r="L222" s="6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AB222" s="70"/>
      <c r="AC222" s="11"/>
    </row>
    <row r="223" spans="1:34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6"/>
      <c r="L223" s="6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AB223" s="70"/>
      <c r="AC223" s="11"/>
    </row>
    <row r="224" spans="1:34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6"/>
      <c r="L224" s="6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AB224" s="70"/>
      <c r="AC224" s="11"/>
    </row>
    <row r="225" spans="1:29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6"/>
      <c r="L225" s="6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AB225" s="70"/>
      <c r="AC225" s="11"/>
    </row>
    <row r="226" spans="1:29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6"/>
      <c r="L226" s="6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AB226" s="70"/>
      <c r="AC226" s="11"/>
    </row>
    <row r="227" spans="1:29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6"/>
      <c r="L227" s="6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AB227" s="70"/>
      <c r="AC227" s="11"/>
    </row>
    <row r="228" spans="1:29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6"/>
      <c r="L228" s="6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AB228" s="70"/>
      <c r="AC228" s="11"/>
    </row>
    <row r="229" spans="1:29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6"/>
      <c r="L229" s="6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AB229" s="70"/>
      <c r="AC229" s="11"/>
    </row>
    <row r="230" spans="1:29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6"/>
      <c r="L230" s="6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AB230" s="70"/>
      <c r="AC230" s="11"/>
    </row>
    <row r="231" spans="1:29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6"/>
      <c r="L231" s="6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AB231" s="70"/>
      <c r="AC231" s="11"/>
    </row>
    <row r="232" spans="1:29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6"/>
      <c r="L232" s="6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AB232" s="70"/>
      <c r="AC232" s="11"/>
    </row>
    <row r="233" spans="1:29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6"/>
      <c r="L233" s="6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AB233" s="70"/>
      <c r="AC233" s="11"/>
    </row>
    <row r="234" spans="1:29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6"/>
      <c r="L234" s="6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AB234" s="70"/>
      <c r="AC234" s="11"/>
    </row>
    <row r="235" spans="1:29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6"/>
      <c r="L235" s="6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AB235" s="70"/>
      <c r="AC235" s="11"/>
    </row>
    <row r="236" spans="1:29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6"/>
      <c r="L236" s="6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AB236" s="70"/>
      <c r="AC236" s="11"/>
    </row>
    <row r="237" spans="1:29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6"/>
      <c r="L237" s="6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AB237" s="70"/>
      <c r="AC237" s="11"/>
    </row>
    <row r="238" spans="1:29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6"/>
      <c r="L238" s="6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AB238" s="70"/>
      <c r="AC238" s="11"/>
    </row>
    <row r="239" spans="1:29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6"/>
      <c r="L239" s="6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AB239" s="70"/>
      <c r="AC239" s="11"/>
    </row>
    <row r="240" spans="1:29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6"/>
      <c r="L240" s="6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AB240" s="70"/>
      <c r="AC240" s="11"/>
    </row>
    <row r="241" spans="1:29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6"/>
      <c r="L241" s="6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AB241" s="70"/>
      <c r="AC241" s="11"/>
    </row>
    <row r="242" spans="1:29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6"/>
      <c r="L242" s="6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AB242" s="70"/>
      <c r="AC242" s="11"/>
    </row>
    <row r="243" spans="1:29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6"/>
      <c r="L243" s="6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AB243" s="70"/>
      <c r="AC243" s="11"/>
    </row>
    <row r="244" spans="1:29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6"/>
      <c r="L244" s="6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AB244" s="70"/>
      <c r="AC244" s="11"/>
    </row>
    <row r="245" spans="1:29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6"/>
      <c r="L245" s="6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AB245" s="70"/>
      <c r="AC245" s="11"/>
    </row>
    <row r="246" spans="1:29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6"/>
      <c r="L246" s="6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AB246" s="70"/>
      <c r="AC246" s="11"/>
    </row>
    <row r="247" spans="1:29" x14ac:dyDescent="0.2">
      <c r="A247" s="11"/>
      <c r="B247" s="11"/>
      <c r="C247" s="11"/>
      <c r="D247" s="11"/>
      <c r="E247" s="11"/>
      <c r="F247" s="7"/>
      <c r="G247" s="7"/>
      <c r="H247" s="7"/>
      <c r="I247" s="7"/>
      <c r="J247" s="7"/>
      <c r="K247" s="6"/>
      <c r="L247" s="6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AB247" s="70"/>
      <c r="AC247" s="11"/>
    </row>
    <row r="248" spans="1:29" x14ac:dyDescent="0.2">
      <c r="A248" s="11"/>
      <c r="B248" s="11"/>
      <c r="C248" s="11"/>
      <c r="D248" s="11"/>
      <c r="E248" s="11"/>
      <c r="F248" s="7"/>
      <c r="G248" s="7"/>
      <c r="H248" s="7"/>
      <c r="I248" s="7"/>
      <c r="J248" s="7"/>
      <c r="K248" s="6"/>
      <c r="L248" s="6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AB248" s="70"/>
      <c r="AC248" s="11"/>
    </row>
    <row r="249" spans="1:29" x14ac:dyDescent="0.2">
      <c r="A249" s="11"/>
      <c r="B249" s="11"/>
      <c r="C249" s="11"/>
      <c r="D249" s="11"/>
      <c r="E249" s="11"/>
      <c r="F249" s="7"/>
      <c r="G249" s="7"/>
      <c r="H249" s="7"/>
      <c r="I249" s="7"/>
      <c r="J249" s="7"/>
      <c r="K249" s="6"/>
      <c r="L249" s="6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AB249" s="70"/>
      <c r="AC249" s="11"/>
    </row>
    <row r="250" spans="1:29" x14ac:dyDescent="0.2">
      <c r="A250" s="11"/>
      <c r="B250" s="11"/>
      <c r="C250" s="11"/>
      <c r="D250" s="11"/>
      <c r="E250" s="11"/>
      <c r="F250" s="7"/>
      <c r="G250" s="7"/>
      <c r="H250" s="7"/>
      <c r="I250" s="7"/>
      <c r="J250" s="7"/>
      <c r="K250" s="6"/>
      <c r="L250" s="6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AB250" s="70"/>
      <c r="AC250" s="11"/>
    </row>
    <row r="251" spans="1:29" x14ac:dyDescent="0.2">
      <c r="A251" s="11"/>
      <c r="B251" s="11"/>
      <c r="C251" s="11"/>
      <c r="D251" s="11"/>
      <c r="E251" s="11"/>
      <c r="F251" s="7"/>
      <c r="G251" s="7"/>
      <c r="H251" s="7"/>
      <c r="I251" s="7"/>
      <c r="J251" s="7"/>
      <c r="K251" s="6"/>
      <c r="L251" s="6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AB251" s="70"/>
      <c r="AC251" s="11"/>
    </row>
    <row r="252" spans="1:29" x14ac:dyDescent="0.2">
      <c r="A252" s="11"/>
      <c r="B252" s="11"/>
      <c r="C252" s="11"/>
      <c r="D252" s="11"/>
      <c r="E252" s="11"/>
      <c r="F252" s="7"/>
      <c r="G252" s="7"/>
      <c r="H252" s="7"/>
      <c r="I252" s="7"/>
      <c r="J252" s="7"/>
      <c r="K252" s="6"/>
      <c r="L252" s="6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AB252" s="70"/>
      <c r="AC252" s="11"/>
    </row>
    <row r="253" spans="1:29" x14ac:dyDescent="0.2">
      <c r="A253" s="11"/>
      <c r="B253" s="11"/>
      <c r="C253" s="11"/>
      <c r="D253" s="11"/>
      <c r="E253" s="11"/>
      <c r="F253" s="7"/>
      <c r="G253" s="7"/>
      <c r="H253" s="7"/>
      <c r="I253" s="7"/>
      <c r="J253" s="7"/>
      <c r="K253" s="6"/>
      <c r="L253" s="6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AB253" s="70"/>
      <c r="AC253" s="11"/>
    </row>
    <row r="254" spans="1:29" x14ac:dyDescent="0.2">
      <c r="A254" s="11"/>
      <c r="B254" s="11"/>
      <c r="C254" s="11"/>
      <c r="D254" s="11"/>
      <c r="E254" s="11"/>
      <c r="F254" s="7"/>
      <c r="G254" s="7"/>
      <c r="H254" s="7"/>
      <c r="I254" s="7"/>
      <c r="J254" s="7"/>
      <c r="K254" s="6"/>
      <c r="L254" s="6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AB254" s="70"/>
      <c r="AC254" s="11"/>
    </row>
    <row r="255" spans="1:29" x14ac:dyDescent="0.2">
      <c r="A255" s="11"/>
      <c r="B255" s="11"/>
      <c r="C255" s="11"/>
      <c r="D255" s="11"/>
      <c r="E255" s="11"/>
      <c r="F255" s="7"/>
      <c r="G255" s="7"/>
      <c r="H255" s="7"/>
      <c r="I255" s="7"/>
      <c r="J255" s="7"/>
      <c r="K255" s="6"/>
      <c r="L255" s="6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AB255" s="70"/>
      <c r="AC255" s="11"/>
    </row>
    <row r="256" spans="1:29" x14ac:dyDescent="0.2">
      <c r="A256" s="11"/>
      <c r="B256" s="11"/>
      <c r="C256" s="11"/>
      <c r="D256" s="11"/>
      <c r="E256" s="11"/>
      <c r="F256" s="7"/>
      <c r="G256" s="7"/>
      <c r="H256" s="7"/>
      <c r="I256" s="7"/>
      <c r="J256" s="7"/>
      <c r="K256" s="6"/>
      <c r="L256" s="6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AB256" s="70"/>
      <c r="AC256" s="11"/>
    </row>
    <row r="257" spans="1:29" x14ac:dyDescent="0.2">
      <c r="A257" s="11"/>
      <c r="B257" s="11"/>
      <c r="C257" s="11"/>
      <c r="D257" s="11"/>
      <c r="E257" s="11"/>
      <c r="F257" s="7"/>
      <c r="G257" s="7"/>
      <c r="H257" s="7"/>
      <c r="I257" s="7"/>
      <c r="J257" s="7"/>
      <c r="K257" s="6"/>
      <c r="L257" s="6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AB257" s="70"/>
      <c r="AC257" s="11"/>
    </row>
    <row r="258" spans="1:29" x14ac:dyDescent="0.2">
      <c r="A258" s="11"/>
      <c r="B258" s="11"/>
      <c r="C258" s="11"/>
      <c r="D258" s="11"/>
      <c r="E258" s="11"/>
      <c r="F258" s="7"/>
      <c r="G258" s="7"/>
      <c r="H258" s="7"/>
      <c r="I258" s="7"/>
      <c r="J258" s="7"/>
      <c r="K258" s="6"/>
      <c r="L258" s="6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AB258" s="70"/>
      <c r="AC258" s="11"/>
    </row>
    <row r="259" spans="1:29" x14ac:dyDescent="0.2">
      <c r="A259" s="11"/>
      <c r="B259" s="11"/>
      <c r="C259" s="11"/>
      <c r="D259" s="11"/>
      <c r="E259" s="11"/>
      <c r="F259" s="7"/>
      <c r="G259" s="7"/>
      <c r="H259" s="7"/>
      <c r="I259" s="7"/>
      <c r="J259" s="7"/>
      <c r="K259" s="6"/>
      <c r="L259" s="6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AB259" s="70"/>
      <c r="AC259" s="11"/>
    </row>
    <row r="260" spans="1:29" x14ac:dyDescent="0.2">
      <c r="A260" s="11"/>
      <c r="B260" s="11"/>
      <c r="C260" s="11"/>
      <c r="D260" s="11"/>
      <c r="E260" s="11"/>
      <c r="F260" s="7"/>
      <c r="G260" s="7"/>
      <c r="H260" s="7"/>
      <c r="I260" s="7"/>
      <c r="J260" s="7"/>
      <c r="K260" s="6"/>
      <c r="L260" s="6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AB260" s="70"/>
      <c r="AC260" s="11"/>
    </row>
    <row r="261" spans="1:29" x14ac:dyDescent="0.2">
      <c r="A261" s="11"/>
      <c r="B261" s="11"/>
      <c r="C261" s="11"/>
      <c r="D261" s="11"/>
      <c r="E261" s="11"/>
      <c r="F261" s="7"/>
      <c r="G261" s="7"/>
      <c r="H261" s="7"/>
      <c r="I261" s="7"/>
      <c r="J261" s="7"/>
      <c r="K261" s="6"/>
      <c r="L261" s="6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AB261" s="70"/>
      <c r="AC261" s="11"/>
    </row>
    <row r="262" spans="1:29" x14ac:dyDescent="0.2">
      <c r="A262" s="11"/>
      <c r="B262" s="11"/>
      <c r="C262" s="11"/>
      <c r="D262" s="11"/>
      <c r="E262" s="11"/>
      <c r="F262" s="7"/>
      <c r="G262" s="7"/>
      <c r="H262" s="7"/>
      <c r="I262" s="7"/>
      <c r="J262" s="7"/>
      <c r="K262" s="6"/>
      <c r="L262" s="6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AB262" s="70"/>
      <c r="AC262" s="11"/>
    </row>
    <row r="263" spans="1:29" x14ac:dyDescent="0.2">
      <c r="A263" s="11"/>
      <c r="B263" s="11"/>
      <c r="C263" s="11"/>
      <c r="D263" s="11"/>
      <c r="E263" s="11"/>
      <c r="F263" s="7"/>
      <c r="G263" s="7"/>
      <c r="H263" s="7"/>
      <c r="I263" s="7"/>
      <c r="J263" s="7"/>
      <c r="K263" s="6"/>
      <c r="L263" s="6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AB263" s="70"/>
      <c r="AC263" s="11"/>
    </row>
    <row r="264" spans="1:29" x14ac:dyDescent="0.2">
      <c r="A264" s="11"/>
      <c r="B264" s="11"/>
      <c r="C264" s="11"/>
      <c r="D264" s="11"/>
      <c r="E264" s="11"/>
      <c r="F264" s="7"/>
      <c r="G264" s="7"/>
      <c r="H264" s="7"/>
      <c r="I264" s="7"/>
      <c r="J264" s="7"/>
      <c r="K264" s="6"/>
      <c r="L264" s="6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AB264" s="70"/>
      <c r="AC264" s="11"/>
    </row>
    <row r="265" spans="1:29" x14ac:dyDescent="0.2">
      <c r="A265" s="11"/>
      <c r="B265" s="11"/>
      <c r="C265" s="11"/>
      <c r="D265" s="11"/>
      <c r="E265" s="11"/>
      <c r="F265" s="7"/>
      <c r="G265" s="7"/>
      <c r="H265" s="7"/>
      <c r="I265" s="7"/>
      <c r="J265" s="7"/>
      <c r="K265" s="6"/>
      <c r="L265" s="6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AB265" s="70"/>
      <c r="AC265" s="11"/>
    </row>
    <row r="266" spans="1:29" x14ac:dyDescent="0.2">
      <c r="A266" s="11"/>
      <c r="B266" s="11"/>
      <c r="C266" s="11"/>
      <c r="D266" s="11"/>
      <c r="E266" s="11"/>
      <c r="F266" s="7"/>
      <c r="G266" s="7"/>
      <c r="H266" s="7"/>
      <c r="I266" s="7"/>
      <c r="J266" s="7"/>
      <c r="K266" s="6"/>
      <c r="L266" s="6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AB266" s="70"/>
      <c r="AC266" s="11"/>
    </row>
    <row r="267" spans="1:29" x14ac:dyDescent="0.2">
      <c r="A267" s="11"/>
      <c r="B267" s="11"/>
      <c r="C267" s="11"/>
      <c r="D267" s="11"/>
      <c r="E267" s="11"/>
      <c r="F267" s="7"/>
      <c r="G267" s="7"/>
      <c r="H267" s="7"/>
      <c r="I267" s="7"/>
      <c r="J267" s="7"/>
      <c r="K267" s="6"/>
      <c r="L267" s="6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AB267" s="70"/>
      <c r="AC267" s="11"/>
    </row>
    <row r="268" spans="1:29" x14ac:dyDescent="0.2">
      <c r="A268" s="11"/>
      <c r="B268" s="11"/>
      <c r="C268" s="11"/>
      <c r="D268" s="11"/>
      <c r="E268" s="11"/>
      <c r="F268" s="7"/>
      <c r="G268" s="7"/>
      <c r="H268" s="7"/>
      <c r="I268" s="7"/>
      <c r="J268" s="7"/>
      <c r="K268" s="6"/>
      <c r="L268" s="6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AB268" s="70"/>
      <c r="AC268" s="11"/>
    </row>
    <row r="269" spans="1:29" x14ac:dyDescent="0.2">
      <c r="A269" s="11"/>
      <c r="B269" s="11"/>
      <c r="C269" s="11"/>
      <c r="D269" s="11"/>
      <c r="E269" s="11"/>
      <c r="F269" s="7"/>
      <c r="G269" s="7"/>
      <c r="H269" s="7"/>
      <c r="I269" s="7"/>
      <c r="J269" s="7"/>
      <c r="K269" s="6"/>
      <c r="L269" s="6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AB269" s="70"/>
      <c r="AC269" s="11"/>
    </row>
    <row r="270" spans="1:29" x14ac:dyDescent="0.2">
      <c r="A270" s="11"/>
      <c r="B270" s="11"/>
      <c r="C270" s="11"/>
      <c r="D270" s="11"/>
      <c r="E270" s="11"/>
      <c r="F270" s="7"/>
      <c r="G270" s="7"/>
      <c r="H270" s="7"/>
      <c r="I270" s="7"/>
      <c r="J270" s="7"/>
      <c r="K270" s="6"/>
      <c r="L270" s="6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AB270" s="70"/>
      <c r="AC270" s="11"/>
    </row>
    <row r="271" spans="1:29" x14ac:dyDescent="0.2">
      <c r="A271" s="11"/>
      <c r="B271" s="11"/>
      <c r="C271" s="11"/>
      <c r="D271" s="11"/>
      <c r="E271" s="11"/>
      <c r="F271" s="7"/>
      <c r="G271" s="7"/>
      <c r="H271" s="7"/>
      <c r="I271" s="7"/>
      <c r="J271" s="7"/>
      <c r="K271" s="6"/>
      <c r="L271" s="6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AB271" s="70"/>
      <c r="AC271" s="11"/>
    </row>
    <row r="272" spans="1:29" x14ac:dyDescent="0.2">
      <c r="A272" s="11"/>
      <c r="B272" s="11"/>
      <c r="C272" s="11"/>
      <c r="D272" s="11"/>
      <c r="E272" s="11"/>
      <c r="F272" s="7"/>
      <c r="G272" s="7"/>
      <c r="H272" s="7"/>
      <c r="I272" s="7"/>
      <c r="J272" s="7"/>
      <c r="K272" s="6"/>
      <c r="L272" s="6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AB272" s="70"/>
      <c r="AC272" s="11"/>
    </row>
    <row r="273" spans="1:29" x14ac:dyDescent="0.2">
      <c r="A273" s="11"/>
      <c r="B273" s="11"/>
      <c r="C273" s="11"/>
      <c r="D273" s="11"/>
      <c r="E273" s="11"/>
      <c r="F273" s="7"/>
      <c r="G273" s="7"/>
      <c r="H273" s="7"/>
      <c r="I273" s="7"/>
      <c r="J273" s="7"/>
      <c r="K273" s="6"/>
      <c r="L273" s="6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AB273" s="70"/>
      <c r="AC273" s="11"/>
    </row>
    <row r="274" spans="1:29" x14ac:dyDescent="0.2">
      <c r="A274" s="11"/>
      <c r="B274" s="11"/>
      <c r="C274" s="11"/>
      <c r="D274" s="11"/>
      <c r="E274" s="11"/>
      <c r="F274" s="7"/>
      <c r="G274" s="7"/>
      <c r="H274" s="7"/>
      <c r="I274" s="7"/>
      <c r="J274" s="7"/>
      <c r="K274" s="6"/>
      <c r="L274" s="6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AB274" s="70"/>
      <c r="AC274" s="11"/>
    </row>
    <row r="275" spans="1:29" x14ac:dyDescent="0.2">
      <c r="A275" s="11"/>
      <c r="B275" s="11"/>
      <c r="C275" s="11"/>
      <c r="D275" s="11"/>
      <c r="E275" s="11"/>
      <c r="F275" s="7"/>
      <c r="G275" s="7"/>
      <c r="H275" s="7"/>
      <c r="I275" s="7"/>
      <c r="J275" s="7"/>
      <c r="K275" s="6"/>
      <c r="L275" s="6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AB275" s="70"/>
      <c r="AC275" s="11"/>
    </row>
    <row r="276" spans="1:29" x14ac:dyDescent="0.2">
      <c r="A276" s="11"/>
      <c r="B276" s="11"/>
      <c r="C276" s="11"/>
      <c r="D276" s="11"/>
      <c r="E276" s="11"/>
      <c r="F276" s="7"/>
      <c r="G276" s="7"/>
      <c r="H276" s="7"/>
      <c r="I276" s="7"/>
      <c r="J276" s="7"/>
      <c r="K276" s="6"/>
      <c r="L276" s="6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AB276" s="70"/>
      <c r="AC276" s="11"/>
    </row>
    <row r="277" spans="1:29" x14ac:dyDescent="0.2">
      <c r="A277" s="11"/>
      <c r="B277" s="11"/>
      <c r="C277" s="11"/>
      <c r="D277" s="11"/>
      <c r="E277" s="11"/>
      <c r="F277" s="7"/>
      <c r="G277" s="7"/>
      <c r="H277" s="7"/>
      <c r="I277" s="7"/>
      <c r="J277" s="7"/>
      <c r="K277" s="6"/>
      <c r="L277" s="6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AB277" s="70"/>
      <c r="AC277" s="11"/>
    </row>
    <row r="278" spans="1:29" x14ac:dyDescent="0.2">
      <c r="A278" s="11"/>
      <c r="B278" s="11"/>
      <c r="C278" s="11"/>
      <c r="D278" s="11"/>
      <c r="E278" s="11"/>
      <c r="F278" s="7"/>
      <c r="G278" s="7"/>
      <c r="H278" s="7"/>
      <c r="I278" s="7"/>
      <c r="J278" s="7"/>
      <c r="K278" s="6"/>
      <c r="L278" s="6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AB278" s="70"/>
      <c r="AC278" s="11"/>
    </row>
    <row r="279" spans="1:29" x14ac:dyDescent="0.2">
      <c r="A279" s="11"/>
      <c r="B279" s="11"/>
      <c r="C279" s="11"/>
      <c r="D279" s="11"/>
      <c r="E279" s="11"/>
      <c r="F279" s="7"/>
      <c r="G279" s="7"/>
      <c r="H279" s="7"/>
      <c r="I279" s="7"/>
      <c r="J279" s="7"/>
      <c r="K279" s="6"/>
      <c r="L279" s="6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AB279" s="70"/>
      <c r="AC279" s="11"/>
    </row>
    <row r="280" spans="1:29" x14ac:dyDescent="0.2">
      <c r="A280" s="11"/>
      <c r="B280" s="11"/>
      <c r="C280" s="11"/>
      <c r="D280" s="11"/>
      <c r="E280" s="11"/>
      <c r="F280" s="7"/>
      <c r="G280" s="7"/>
      <c r="H280" s="7"/>
      <c r="I280" s="7"/>
      <c r="J280" s="7"/>
      <c r="K280" s="6"/>
      <c r="L280" s="6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AB280" s="70"/>
      <c r="AC280" s="11"/>
    </row>
    <row r="281" spans="1:29" x14ac:dyDescent="0.2">
      <c r="A281" s="11"/>
      <c r="B281" s="11"/>
      <c r="C281" s="11"/>
      <c r="D281" s="11"/>
      <c r="E281" s="11"/>
      <c r="F281" s="7"/>
      <c r="G281" s="7"/>
      <c r="H281" s="7"/>
      <c r="I281" s="7"/>
      <c r="J281" s="7"/>
      <c r="K281" s="6"/>
      <c r="L281" s="6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AB281" s="70"/>
      <c r="AC281" s="11"/>
    </row>
    <row r="282" spans="1:29" x14ac:dyDescent="0.2">
      <c r="A282" s="11"/>
      <c r="B282" s="11"/>
      <c r="C282" s="11"/>
      <c r="D282" s="11"/>
      <c r="E282" s="11"/>
      <c r="F282" s="7"/>
      <c r="G282" s="7"/>
      <c r="H282" s="7"/>
      <c r="I282" s="7"/>
      <c r="J282" s="7"/>
      <c r="K282" s="6"/>
      <c r="L282" s="6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AB282" s="70"/>
      <c r="AC282" s="11"/>
    </row>
    <row r="283" spans="1:29" x14ac:dyDescent="0.2">
      <c r="A283" s="11"/>
      <c r="B283" s="11"/>
      <c r="C283" s="11"/>
      <c r="D283" s="11"/>
      <c r="E283" s="11"/>
      <c r="F283" s="7"/>
      <c r="G283" s="7"/>
      <c r="H283" s="7"/>
      <c r="I283" s="7"/>
      <c r="J283" s="7"/>
      <c r="K283" s="6"/>
      <c r="L283" s="6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AB283" s="70"/>
      <c r="AC283" s="11"/>
    </row>
    <row r="284" spans="1:29" x14ac:dyDescent="0.2">
      <c r="A284" s="11"/>
      <c r="B284" s="11"/>
      <c r="C284" s="11"/>
      <c r="D284" s="11"/>
      <c r="E284" s="11"/>
      <c r="F284" s="7"/>
      <c r="G284" s="7"/>
      <c r="H284" s="7"/>
      <c r="I284" s="7"/>
      <c r="J284" s="7"/>
      <c r="K284" s="6"/>
      <c r="L284" s="6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AB284" s="70"/>
      <c r="AC284" s="11"/>
    </row>
    <row r="285" spans="1:29" x14ac:dyDescent="0.2">
      <c r="A285" s="11"/>
      <c r="B285" s="11"/>
      <c r="C285" s="11"/>
      <c r="D285" s="11"/>
      <c r="E285" s="11"/>
      <c r="F285" s="7"/>
      <c r="G285" s="7"/>
      <c r="H285" s="7"/>
      <c r="I285" s="7"/>
      <c r="J285" s="7"/>
      <c r="K285" s="6"/>
      <c r="L285" s="6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AB285" s="70"/>
      <c r="AC285" s="11"/>
    </row>
    <row r="286" spans="1:29" x14ac:dyDescent="0.2">
      <c r="A286" s="11"/>
      <c r="B286" s="11"/>
      <c r="C286" s="11"/>
      <c r="D286" s="11"/>
      <c r="E286" s="11"/>
      <c r="F286" s="7"/>
      <c r="G286" s="7"/>
      <c r="H286" s="7"/>
      <c r="I286" s="7"/>
      <c r="J286" s="7"/>
      <c r="K286" s="6"/>
      <c r="L286" s="6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AB286" s="70"/>
      <c r="AC286" s="11"/>
    </row>
    <row r="287" spans="1:29" x14ac:dyDescent="0.2">
      <c r="A287" s="11"/>
      <c r="B287" s="11"/>
      <c r="C287" s="11"/>
      <c r="D287" s="11"/>
      <c r="E287" s="11"/>
      <c r="F287" s="7"/>
      <c r="G287" s="7"/>
      <c r="H287" s="7"/>
      <c r="I287" s="7"/>
      <c r="J287" s="7"/>
      <c r="K287" s="6"/>
      <c r="L287" s="6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AB287" s="70"/>
      <c r="AC287" s="11"/>
    </row>
    <row r="288" spans="1:29" x14ac:dyDescent="0.2">
      <c r="A288" s="11"/>
      <c r="B288" s="11"/>
      <c r="C288" s="11"/>
      <c r="D288" s="11"/>
      <c r="E288" s="11"/>
      <c r="F288" s="7"/>
      <c r="G288" s="7"/>
      <c r="H288" s="7"/>
      <c r="I288" s="7"/>
      <c r="J288" s="7"/>
      <c r="K288" s="6"/>
      <c r="L288" s="6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AB288" s="70"/>
      <c r="AC288" s="11"/>
    </row>
    <row r="289" spans="1:29" x14ac:dyDescent="0.2">
      <c r="A289" s="11"/>
      <c r="B289" s="11"/>
      <c r="C289" s="11"/>
      <c r="D289" s="11"/>
      <c r="E289" s="11"/>
      <c r="F289" s="7"/>
      <c r="G289" s="7"/>
      <c r="H289" s="7"/>
      <c r="I289" s="7"/>
      <c r="J289" s="7"/>
      <c r="K289" s="6"/>
      <c r="L289" s="6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AB289" s="70"/>
      <c r="AC289" s="11"/>
    </row>
    <row r="290" spans="1:29" x14ac:dyDescent="0.2">
      <c r="A290" s="11"/>
      <c r="B290" s="11"/>
      <c r="C290" s="11"/>
      <c r="D290" s="11"/>
      <c r="E290" s="11"/>
      <c r="F290" s="7"/>
      <c r="G290" s="7"/>
      <c r="H290" s="7"/>
      <c r="I290" s="7"/>
      <c r="J290" s="7"/>
      <c r="K290" s="6"/>
      <c r="L290" s="6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AB290" s="70"/>
      <c r="AC290" s="11"/>
    </row>
    <row r="291" spans="1:29" x14ac:dyDescent="0.2">
      <c r="A291" s="11"/>
      <c r="B291" s="11"/>
      <c r="C291" s="11"/>
      <c r="D291" s="11"/>
      <c r="E291" s="11"/>
      <c r="F291" s="7"/>
      <c r="G291" s="7"/>
      <c r="H291" s="7"/>
      <c r="I291" s="7"/>
      <c r="J291" s="7"/>
      <c r="K291" s="6"/>
      <c r="L291" s="6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AB291" s="70"/>
      <c r="AC291" s="11"/>
    </row>
    <row r="292" spans="1:29" x14ac:dyDescent="0.2">
      <c r="A292" s="11"/>
      <c r="B292" s="11"/>
      <c r="C292" s="11"/>
      <c r="D292" s="11"/>
      <c r="E292" s="11"/>
      <c r="F292" s="7"/>
      <c r="G292" s="7"/>
      <c r="H292" s="7"/>
      <c r="I292" s="7"/>
      <c r="J292" s="7"/>
      <c r="K292" s="6"/>
      <c r="L292" s="6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AB292" s="70"/>
      <c r="AC292" s="11"/>
    </row>
    <row r="293" spans="1:29" x14ac:dyDescent="0.2">
      <c r="A293" s="11"/>
      <c r="B293" s="11"/>
      <c r="C293" s="11"/>
      <c r="D293" s="11"/>
      <c r="E293" s="11"/>
      <c r="F293" s="7"/>
      <c r="G293" s="7"/>
      <c r="H293" s="7"/>
      <c r="I293" s="7"/>
      <c r="J293" s="7"/>
      <c r="K293" s="6"/>
      <c r="L293" s="6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AB293" s="70"/>
      <c r="AC293" s="11"/>
    </row>
    <row r="294" spans="1:29" x14ac:dyDescent="0.2">
      <c r="A294" s="11"/>
      <c r="B294" s="11"/>
      <c r="C294" s="11"/>
      <c r="D294" s="11"/>
      <c r="E294" s="11"/>
      <c r="F294" s="7"/>
      <c r="G294" s="7"/>
      <c r="H294" s="7"/>
      <c r="I294" s="7"/>
      <c r="J294" s="7"/>
      <c r="K294" s="6"/>
      <c r="L294" s="6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AB294" s="70"/>
      <c r="AC294" s="11"/>
    </row>
    <row r="295" spans="1:29" x14ac:dyDescent="0.2">
      <c r="A295" s="11"/>
      <c r="B295" s="11"/>
      <c r="C295" s="11"/>
      <c r="D295" s="11"/>
      <c r="E295" s="11"/>
      <c r="F295" s="7"/>
      <c r="G295" s="7"/>
      <c r="H295" s="7"/>
      <c r="I295" s="7"/>
      <c r="J295" s="7"/>
      <c r="K295" s="6"/>
      <c r="L295" s="6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AB295" s="70"/>
      <c r="AC295" s="11"/>
    </row>
    <row r="296" spans="1:29" x14ac:dyDescent="0.2">
      <c r="A296" s="11"/>
      <c r="B296" s="11"/>
      <c r="C296" s="11"/>
      <c r="D296" s="11"/>
      <c r="E296" s="11"/>
      <c r="F296" s="7"/>
      <c r="G296" s="7"/>
      <c r="H296" s="7"/>
      <c r="I296" s="7"/>
      <c r="J296" s="7"/>
      <c r="K296" s="6"/>
      <c r="L296" s="6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AB296" s="70"/>
      <c r="AC296" s="11"/>
    </row>
    <row r="297" spans="1:29" x14ac:dyDescent="0.2">
      <c r="A297" s="11"/>
      <c r="B297" s="11"/>
      <c r="C297" s="11"/>
      <c r="D297" s="11"/>
      <c r="E297" s="11"/>
      <c r="F297" s="7"/>
      <c r="G297" s="7"/>
      <c r="H297" s="7"/>
      <c r="I297" s="7"/>
      <c r="J297" s="7"/>
      <c r="K297" s="6"/>
      <c r="L297" s="6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AB297" s="70"/>
      <c r="AC297" s="11"/>
    </row>
    <row r="298" spans="1:29" x14ac:dyDescent="0.2">
      <c r="A298" s="11"/>
      <c r="B298" s="11"/>
      <c r="C298" s="11"/>
      <c r="D298" s="11"/>
      <c r="E298" s="11"/>
      <c r="F298" s="7"/>
      <c r="G298" s="7"/>
      <c r="H298" s="7"/>
      <c r="I298" s="7"/>
      <c r="J298" s="7"/>
      <c r="K298" s="6"/>
      <c r="L298" s="6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AB298" s="70"/>
      <c r="AC298" s="11"/>
    </row>
    <row r="299" spans="1:29" x14ac:dyDescent="0.2">
      <c r="A299" s="11"/>
      <c r="B299" s="11"/>
      <c r="C299" s="11"/>
      <c r="D299" s="11"/>
      <c r="E299" s="11"/>
      <c r="F299" s="7"/>
      <c r="G299" s="7"/>
      <c r="H299" s="7"/>
      <c r="I299" s="7"/>
      <c r="J299" s="7"/>
      <c r="K299" s="6"/>
      <c r="L299" s="6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AB299" s="70"/>
      <c r="AC299" s="11"/>
    </row>
    <row r="300" spans="1:29" x14ac:dyDescent="0.2">
      <c r="A300" s="11"/>
      <c r="B300" s="11"/>
      <c r="C300" s="11"/>
      <c r="D300" s="11"/>
      <c r="E300" s="11"/>
      <c r="F300" s="7"/>
      <c r="G300" s="7"/>
      <c r="H300" s="7"/>
      <c r="I300" s="7"/>
      <c r="J300" s="7"/>
      <c r="K300" s="6"/>
      <c r="L300" s="6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AB300" s="70"/>
      <c r="AC300" s="11"/>
    </row>
    <row r="301" spans="1:29" x14ac:dyDescent="0.2">
      <c r="A301" s="11"/>
      <c r="B301" s="11"/>
      <c r="C301" s="11"/>
      <c r="D301" s="11"/>
      <c r="E301" s="11"/>
      <c r="F301" s="7"/>
      <c r="G301" s="7"/>
      <c r="H301" s="7"/>
      <c r="I301" s="7"/>
      <c r="J301" s="7"/>
      <c r="K301" s="6"/>
      <c r="L301" s="6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AB301" s="70"/>
      <c r="AC301" s="11"/>
    </row>
    <row r="302" spans="1:29" x14ac:dyDescent="0.2">
      <c r="A302" s="11"/>
      <c r="B302" s="11"/>
      <c r="C302" s="11"/>
      <c r="D302" s="11"/>
      <c r="E302" s="11"/>
      <c r="F302" s="7"/>
      <c r="G302" s="7"/>
      <c r="H302" s="7"/>
      <c r="I302" s="7"/>
      <c r="J302" s="7"/>
      <c r="K302" s="6"/>
      <c r="L302" s="6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AB302" s="70"/>
      <c r="AC302" s="11"/>
    </row>
    <row r="303" spans="1:29" x14ac:dyDescent="0.2">
      <c r="A303" s="11"/>
      <c r="B303" s="11"/>
      <c r="C303" s="11"/>
      <c r="D303" s="11"/>
      <c r="E303" s="11"/>
      <c r="F303" s="7"/>
      <c r="G303" s="7"/>
      <c r="H303" s="7"/>
      <c r="I303" s="7"/>
      <c r="J303" s="7"/>
      <c r="K303" s="6"/>
      <c r="L303" s="6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AB303" s="70"/>
      <c r="AC303" s="11"/>
    </row>
    <row r="304" spans="1:29" x14ac:dyDescent="0.2">
      <c r="A304" s="11"/>
      <c r="B304" s="11"/>
      <c r="C304" s="11"/>
      <c r="D304" s="11"/>
      <c r="E304" s="11"/>
      <c r="F304" s="7"/>
      <c r="G304" s="7"/>
      <c r="H304" s="7"/>
      <c r="I304" s="7"/>
      <c r="J304" s="7"/>
      <c r="K304" s="6"/>
      <c r="L304" s="6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AB304" s="70"/>
      <c r="AC304" s="11"/>
    </row>
    <row r="305" spans="1:29" x14ac:dyDescent="0.2">
      <c r="A305" s="11"/>
      <c r="B305" s="11"/>
      <c r="C305" s="11"/>
      <c r="D305" s="11"/>
      <c r="E305" s="11"/>
      <c r="F305" s="7"/>
      <c r="G305" s="7"/>
      <c r="H305" s="7"/>
      <c r="I305" s="7"/>
      <c r="J305" s="7"/>
      <c r="K305" s="6"/>
      <c r="L305" s="6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AB305" s="70"/>
      <c r="AC305" s="11"/>
    </row>
    <row r="306" spans="1:29" x14ac:dyDescent="0.2">
      <c r="A306" s="11"/>
      <c r="B306" s="11"/>
      <c r="C306" s="11"/>
      <c r="D306" s="11"/>
      <c r="E306" s="11"/>
      <c r="F306" s="7"/>
      <c r="G306" s="7"/>
      <c r="H306" s="7"/>
      <c r="I306" s="7"/>
      <c r="J306" s="7"/>
      <c r="K306" s="6"/>
      <c r="L306" s="6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AB306" s="70"/>
      <c r="AC306" s="11"/>
    </row>
    <row r="307" spans="1:29" x14ac:dyDescent="0.2">
      <c r="A307" s="11"/>
      <c r="B307" s="11"/>
      <c r="C307" s="11"/>
      <c r="D307" s="11"/>
      <c r="E307" s="11"/>
      <c r="F307" s="7"/>
      <c r="G307" s="7"/>
      <c r="H307" s="7"/>
      <c r="I307" s="7"/>
      <c r="J307" s="7"/>
      <c r="K307" s="6"/>
      <c r="L307" s="6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AB307" s="70"/>
      <c r="AC307" s="11"/>
    </row>
    <row r="308" spans="1:29" x14ac:dyDescent="0.2">
      <c r="A308" s="11"/>
      <c r="B308" s="11"/>
      <c r="C308" s="11"/>
      <c r="D308" s="11"/>
      <c r="E308" s="11"/>
      <c r="F308" s="7"/>
      <c r="G308" s="7"/>
      <c r="H308" s="7"/>
      <c r="I308" s="7"/>
      <c r="J308" s="7"/>
      <c r="K308" s="6"/>
      <c r="L308" s="6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AB308" s="70"/>
      <c r="AC308" s="11"/>
    </row>
    <row r="309" spans="1:29" x14ac:dyDescent="0.2">
      <c r="A309" s="11"/>
      <c r="B309" s="11"/>
      <c r="C309" s="11"/>
      <c r="D309" s="11"/>
      <c r="E309" s="11"/>
      <c r="F309" s="7"/>
      <c r="G309" s="7"/>
      <c r="H309" s="7"/>
      <c r="I309" s="7"/>
      <c r="J309" s="7"/>
      <c r="K309" s="6"/>
      <c r="L309" s="6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AB309" s="70"/>
      <c r="AC309" s="11"/>
    </row>
    <row r="310" spans="1:29" x14ac:dyDescent="0.2">
      <c r="A310" s="11"/>
      <c r="B310" s="11"/>
      <c r="C310" s="11"/>
      <c r="D310" s="11"/>
      <c r="E310" s="11"/>
      <c r="F310" s="7"/>
      <c r="G310" s="7"/>
      <c r="H310" s="7"/>
      <c r="I310" s="7"/>
      <c r="J310" s="7"/>
      <c r="K310" s="6"/>
      <c r="L310" s="6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AB310" s="70"/>
      <c r="AC310" s="11"/>
    </row>
    <row r="311" spans="1:29" x14ac:dyDescent="0.2">
      <c r="A311" s="11"/>
      <c r="B311" s="11"/>
      <c r="C311" s="11"/>
      <c r="D311" s="11"/>
      <c r="E311" s="11"/>
      <c r="F311" s="7"/>
      <c r="G311" s="7"/>
      <c r="H311" s="7"/>
      <c r="I311" s="7"/>
      <c r="J311" s="7"/>
      <c r="K311" s="6"/>
      <c r="L311" s="6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AB311" s="70"/>
      <c r="AC311" s="11"/>
    </row>
    <row r="312" spans="1:29" x14ac:dyDescent="0.2">
      <c r="A312" s="11"/>
      <c r="B312" s="11"/>
      <c r="C312" s="11"/>
      <c r="D312" s="11"/>
      <c r="E312" s="11"/>
      <c r="F312" s="7"/>
      <c r="G312" s="7"/>
      <c r="H312" s="7"/>
      <c r="I312" s="7"/>
      <c r="J312" s="7"/>
      <c r="K312" s="6"/>
      <c r="L312" s="6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AB312" s="70"/>
      <c r="AC312" s="11"/>
    </row>
    <row r="313" spans="1:29" x14ac:dyDescent="0.2">
      <c r="A313" s="11"/>
      <c r="B313" s="11"/>
      <c r="C313" s="11"/>
      <c r="D313" s="11"/>
      <c r="E313" s="11"/>
      <c r="F313" s="7"/>
      <c r="G313" s="7"/>
      <c r="H313" s="7"/>
      <c r="I313" s="7"/>
      <c r="J313" s="7"/>
      <c r="K313" s="6"/>
      <c r="L313" s="6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AB313" s="70"/>
      <c r="AC313" s="11"/>
    </row>
    <row r="314" spans="1:29" x14ac:dyDescent="0.2">
      <c r="A314" s="11"/>
      <c r="B314" s="11"/>
      <c r="C314" s="11"/>
      <c r="D314" s="11"/>
      <c r="E314" s="11"/>
      <c r="F314" s="7"/>
      <c r="G314" s="7"/>
      <c r="H314" s="7"/>
      <c r="I314" s="7"/>
      <c r="J314" s="7"/>
      <c r="K314" s="6"/>
      <c r="L314" s="6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AB314" s="70"/>
      <c r="AC314" s="11"/>
    </row>
    <row r="315" spans="1:29" x14ac:dyDescent="0.2">
      <c r="A315" s="11"/>
      <c r="B315" s="11"/>
      <c r="C315" s="11"/>
      <c r="D315" s="11"/>
      <c r="E315" s="11"/>
      <c r="F315" s="7"/>
      <c r="G315" s="7"/>
      <c r="H315" s="7"/>
      <c r="I315" s="7"/>
      <c r="J315" s="7"/>
      <c r="K315" s="6"/>
      <c r="L315" s="6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AB315" s="70"/>
      <c r="AC315" s="11"/>
    </row>
    <row r="316" spans="1:29" x14ac:dyDescent="0.2">
      <c r="A316" s="11"/>
      <c r="B316" s="11"/>
      <c r="C316" s="11"/>
      <c r="D316" s="11"/>
      <c r="E316" s="11"/>
      <c r="F316" s="7"/>
      <c r="G316" s="7"/>
      <c r="H316" s="7"/>
      <c r="I316" s="7"/>
      <c r="J316" s="7"/>
      <c r="K316" s="6"/>
      <c r="L316" s="6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AB316" s="70"/>
      <c r="AC316" s="11"/>
    </row>
    <row r="317" spans="1:29" x14ac:dyDescent="0.2">
      <c r="A317" s="11"/>
      <c r="B317" s="11"/>
      <c r="C317" s="11"/>
      <c r="D317" s="11"/>
      <c r="E317" s="11"/>
      <c r="F317" s="7"/>
      <c r="G317" s="7"/>
      <c r="H317" s="7"/>
      <c r="I317" s="7"/>
      <c r="J317" s="7"/>
      <c r="K317" s="6"/>
      <c r="L317" s="6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AB317" s="70"/>
      <c r="AC317" s="11"/>
    </row>
    <row r="318" spans="1:29" x14ac:dyDescent="0.2">
      <c r="A318" s="11"/>
      <c r="B318" s="11"/>
      <c r="C318" s="11"/>
      <c r="D318" s="11"/>
      <c r="E318" s="11"/>
      <c r="F318" s="7"/>
      <c r="G318" s="7"/>
      <c r="H318" s="7"/>
      <c r="I318" s="7"/>
      <c r="J318" s="7"/>
      <c r="K318" s="6"/>
      <c r="L318" s="6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AB318" s="70"/>
      <c r="AC318" s="11"/>
    </row>
    <row r="319" spans="1:29" x14ac:dyDescent="0.2">
      <c r="A319" s="11"/>
      <c r="B319" s="11"/>
      <c r="C319" s="11"/>
      <c r="D319" s="11"/>
      <c r="E319" s="11"/>
      <c r="F319" s="7"/>
      <c r="G319" s="7"/>
      <c r="H319" s="7"/>
      <c r="I319" s="7"/>
      <c r="J319" s="7"/>
      <c r="K319" s="6"/>
      <c r="L319" s="6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AB319" s="70"/>
      <c r="AC319" s="11"/>
    </row>
    <row r="320" spans="1:29" x14ac:dyDescent="0.2">
      <c r="A320" s="11"/>
      <c r="B320" s="11"/>
      <c r="C320" s="11"/>
      <c r="D320" s="11"/>
      <c r="E320" s="11"/>
      <c r="F320" s="7"/>
      <c r="G320" s="7"/>
      <c r="H320" s="7"/>
      <c r="I320" s="7"/>
      <c r="J320" s="7"/>
      <c r="K320" s="6"/>
      <c r="L320" s="6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AB320" s="70"/>
      <c r="AC320" s="11"/>
    </row>
    <row r="321" spans="1:29" x14ac:dyDescent="0.2">
      <c r="A321" s="11"/>
      <c r="B321" s="11"/>
      <c r="C321" s="11"/>
      <c r="D321" s="11"/>
      <c r="E321" s="11"/>
      <c r="F321" s="7"/>
      <c r="G321" s="7"/>
      <c r="H321" s="7"/>
      <c r="I321" s="7"/>
      <c r="J321" s="7"/>
      <c r="K321" s="6"/>
      <c r="L321" s="6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AB321" s="70"/>
      <c r="AC321" s="11"/>
    </row>
    <row r="322" spans="1:29" x14ac:dyDescent="0.2">
      <c r="A322" s="11"/>
      <c r="B322" s="11"/>
      <c r="C322" s="11"/>
      <c r="D322" s="11"/>
      <c r="E322" s="11"/>
      <c r="F322" s="7"/>
      <c r="G322" s="7"/>
      <c r="H322" s="7"/>
      <c r="I322" s="7"/>
      <c r="J322" s="7"/>
      <c r="K322" s="6"/>
      <c r="L322" s="6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AB322" s="70"/>
      <c r="AC322" s="11"/>
    </row>
    <row r="323" spans="1:29" x14ac:dyDescent="0.2">
      <c r="A323" s="11"/>
      <c r="B323" s="11"/>
      <c r="C323" s="11"/>
      <c r="D323" s="11"/>
      <c r="E323" s="11"/>
      <c r="F323" s="7"/>
      <c r="G323" s="7"/>
      <c r="H323" s="7"/>
      <c r="I323" s="7"/>
      <c r="J323" s="7"/>
      <c r="K323" s="6"/>
      <c r="L323" s="6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AB323" s="70"/>
      <c r="AC323" s="11"/>
    </row>
    <row r="324" spans="1:29" x14ac:dyDescent="0.2">
      <c r="A324" s="11"/>
      <c r="B324" s="11"/>
      <c r="C324" s="11"/>
      <c r="D324" s="11"/>
      <c r="E324" s="11"/>
      <c r="F324" s="7"/>
      <c r="G324" s="7"/>
      <c r="H324" s="7"/>
      <c r="I324" s="7"/>
      <c r="J324" s="7"/>
      <c r="K324" s="6"/>
      <c r="L324" s="6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AB324" s="70"/>
      <c r="AC324" s="11"/>
    </row>
    <row r="325" spans="1:29" x14ac:dyDescent="0.2">
      <c r="A325" s="11"/>
      <c r="B325" s="11"/>
      <c r="C325" s="11"/>
      <c r="D325" s="11"/>
      <c r="E325" s="11"/>
      <c r="F325" s="7"/>
      <c r="G325" s="7"/>
      <c r="H325" s="7"/>
      <c r="I325" s="7"/>
      <c r="J325" s="7"/>
      <c r="K325" s="6"/>
      <c r="L325" s="6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AB325" s="70"/>
      <c r="AC325" s="11"/>
    </row>
    <row r="326" spans="1:29" x14ac:dyDescent="0.2">
      <c r="A326" s="11"/>
      <c r="B326" s="11"/>
      <c r="C326" s="11"/>
      <c r="D326" s="11"/>
      <c r="E326" s="11"/>
      <c r="F326" s="7"/>
      <c r="G326" s="7"/>
      <c r="H326" s="7"/>
      <c r="I326" s="7"/>
      <c r="J326" s="7"/>
      <c r="K326" s="6"/>
      <c r="L326" s="6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AB326" s="70"/>
      <c r="AC326" s="11"/>
    </row>
    <row r="327" spans="1:29" x14ac:dyDescent="0.2">
      <c r="A327" s="11"/>
      <c r="B327" s="11"/>
      <c r="C327" s="11"/>
      <c r="D327" s="11"/>
      <c r="E327" s="11"/>
      <c r="F327" s="7"/>
      <c r="G327" s="7"/>
      <c r="H327" s="7"/>
      <c r="I327" s="7"/>
      <c r="J327" s="7"/>
      <c r="K327" s="6"/>
      <c r="L327" s="6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AB327" s="70"/>
      <c r="AC327" s="11"/>
    </row>
    <row r="328" spans="1:29" x14ac:dyDescent="0.2">
      <c r="A328" s="11"/>
      <c r="B328" s="11"/>
      <c r="C328" s="11"/>
      <c r="D328" s="11"/>
      <c r="E328" s="11"/>
      <c r="F328" s="7"/>
      <c r="G328" s="7"/>
      <c r="H328" s="7"/>
      <c r="I328" s="7"/>
      <c r="J328" s="7"/>
      <c r="K328" s="6"/>
      <c r="L328" s="6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AB328" s="70"/>
      <c r="AC328" s="11"/>
    </row>
    <row r="329" spans="1:29" x14ac:dyDescent="0.2">
      <c r="A329" s="11"/>
      <c r="B329" s="11"/>
      <c r="C329" s="11"/>
      <c r="D329" s="11"/>
      <c r="E329" s="11"/>
      <c r="F329" s="7"/>
      <c r="G329" s="7"/>
      <c r="H329" s="7"/>
      <c r="I329" s="7"/>
      <c r="J329" s="7"/>
      <c r="K329" s="6"/>
      <c r="L329" s="6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AB329" s="70"/>
      <c r="AC329" s="11"/>
    </row>
    <row r="330" spans="1:29" x14ac:dyDescent="0.2">
      <c r="A330" s="11"/>
      <c r="B330" s="11"/>
      <c r="C330" s="11"/>
      <c r="D330" s="11"/>
      <c r="E330" s="11"/>
      <c r="F330" s="7"/>
      <c r="G330" s="7"/>
      <c r="H330" s="7"/>
      <c r="I330" s="7"/>
      <c r="J330" s="7"/>
      <c r="K330" s="6"/>
      <c r="L330" s="6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AB330" s="70"/>
      <c r="AC330" s="11"/>
    </row>
    <row r="331" spans="1:29" x14ac:dyDescent="0.2">
      <c r="A331" s="11"/>
      <c r="B331" s="11"/>
      <c r="C331" s="11"/>
      <c r="D331" s="11"/>
      <c r="E331" s="11"/>
      <c r="F331" s="7"/>
      <c r="G331" s="7"/>
      <c r="H331" s="7"/>
      <c r="I331" s="7"/>
      <c r="J331" s="7"/>
      <c r="K331" s="6"/>
      <c r="L331" s="6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AB331" s="70"/>
      <c r="AC331" s="11"/>
    </row>
    <row r="332" spans="1:29" x14ac:dyDescent="0.2">
      <c r="A332" s="11"/>
      <c r="B332" s="11"/>
      <c r="C332" s="11"/>
      <c r="D332" s="11"/>
      <c r="E332" s="11"/>
      <c r="F332" s="7"/>
      <c r="G332" s="7"/>
      <c r="H332" s="7"/>
      <c r="I332" s="7"/>
      <c r="J332" s="7"/>
      <c r="K332" s="6"/>
      <c r="L332" s="6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AB332" s="70"/>
      <c r="AC332" s="11"/>
    </row>
    <row r="333" spans="1:29" x14ac:dyDescent="0.2">
      <c r="A333" s="11"/>
      <c r="B333" s="11"/>
      <c r="C333" s="11"/>
      <c r="D333" s="11"/>
      <c r="E333" s="11"/>
      <c r="F333" s="7"/>
      <c r="G333" s="7"/>
      <c r="H333" s="7"/>
      <c r="I333" s="7"/>
      <c r="J333" s="7"/>
      <c r="K333" s="6"/>
      <c r="L333" s="6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AB333" s="70"/>
      <c r="AC333" s="11"/>
    </row>
    <row r="334" spans="1:29" x14ac:dyDescent="0.2">
      <c r="A334" s="11"/>
      <c r="B334" s="11"/>
      <c r="C334" s="11"/>
      <c r="D334" s="11"/>
      <c r="E334" s="11"/>
      <c r="F334" s="7"/>
      <c r="G334" s="7"/>
      <c r="H334" s="7"/>
      <c r="I334" s="7"/>
      <c r="J334" s="7"/>
      <c r="K334" s="6"/>
      <c r="L334" s="6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AB334" s="70"/>
      <c r="AC334" s="11"/>
    </row>
    <row r="335" spans="1:29" x14ac:dyDescent="0.2">
      <c r="A335" s="11"/>
      <c r="B335" s="11"/>
      <c r="C335" s="11"/>
      <c r="D335" s="11"/>
      <c r="E335" s="11"/>
      <c r="F335" s="7"/>
      <c r="G335" s="7"/>
      <c r="H335" s="7"/>
      <c r="I335" s="7"/>
      <c r="J335" s="7"/>
      <c r="K335" s="6"/>
      <c r="L335" s="6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AB335" s="70"/>
      <c r="AC335" s="11"/>
    </row>
    <row r="336" spans="1:29" x14ac:dyDescent="0.2">
      <c r="A336" s="11"/>
      <c r="B336" s="11"/>
      <c r="C336" s="11"/>
      <c r="D336" s="11"/>
      <c r="E336" s="11"/>
      <c r="F336" s="7"/>
      <c r="G336" s="7"/>
      <c r="H336" s="7"/>
      <c r="I336" s="7"/>
      <c r="J336" s="7"/>
      <c r="K336" s="6"/>
      <c r="L336" s="6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AB336" s="70"/>
      <c r="AC336" s="11"/>
    </row>
    <row r="337" spans="1:29" x14ac:dyDescent="0.2">
      <c r="A337" s="11"/>
      <c r="B337" s="11"/>
      <c r="C337" s="11"/>
      <c r="D337" s="11"/>
      <c r="E337" s="11"/>
      <c r="F337" s="7"/>
      <c r="G337" s="7"/>
      <c r="H337" s="7"/>
      <c r="I337" s="7"/>
      <c r="J337" s="7"/>
      <c r="K337" s="6"/>
      <c r="L337" s="6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AB337" s="70"/>
      <c r="AC337" s="11"/>
    </row>
    <row r="338" spans="1:29" x14ac:dyDescent="0.2">
      <c r="A338" s="11"/>
      <c r="B338" s="11"/>
      <c r="C338" s="11"/>
      <c r="D338" s="11"/>
      <c r="E338" s="11"/>
      <c r="F338" s="7"/>
      <c r="G338" s="7"/>
      <c r="H338" s="7"/>
      <c r="I338" s="7"/>
      <c r="J338" s="7"/>
      <c r="K338" s="6"/>
      <c r="L338" s="6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AB338" s="70"/>
      <c r="AC338" s="11"/>
    </row>
    <row r="339" spans="1:29" x14ac:dyDescent="0.2">
      <c r="A339" s="11"/>
      <c r="B339" s="11"/>
      <c r="C339" s="11"/>
      <c r="D339" s="11"/>
      <c r="E339" s="11"/>
      <c r="F339" s="7"/>
      <c r="G339" s="7"/>
      <c r="H339" s="7"/>
      <c r="I339" s="7"/>
      <c r="J339" s="7"/>
      <c r="K339" s="6"/>
      <c r="L339" s="6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AB339" s="70"/>
      <c r="AC339" s="11"/>
    </row>
    <row r="340" spans="1:29" x14ac:dyDescent="0.2">
      <c r="A340" s="11"/>
      <c r="B340" s="11"/>
      <c r="C340" s="11"/>
      <c r="D340" s="11"/>
      <c r="E340" s="11"/>
      <c r="F340" s="7"/>
      <c r="G340" s="7"/>
      <c r="H340" s="7"/>
      <c r="I340" s="7"/>
      <c r="J340" s="7"/>
      <c r="K340" s="6"/>
      <c r="L340" s="6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AB340" s="70"/>
      <c r="AC340" s="11"/>
    </row>
    <row r="341" spans="1:29" x14ac:dyDescent="0.2">
      <c r="A341" s="11"/>
      <c r="B341" s="11"/>
      <c r="C341" s="11"/>
      <c r="D341" s="11"/>
      <c r="E341" s="11"/>
      <c r="F341" s="7"/>
      <c r="G341" s="7"/>
      <c r="H341" s="7"/>
      <c r="I341" s="7"/>
      <c r="J341" s="7"/>
      <c r="K341" s="6"/>
      <c r="L341" s="6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AB341" s="70"/>
      <c r="AC341" s="11"/>
    </row>
    <row r="342" spans="1:29" x14ac:dyDescent="0.2">
      <c r="A342" s="11"/>
      <c r="B342" s="11"/>
      <c r="C342" s="11"/>
      <c r="D342" s="11"/>
      <c r="E342" s="11"/>
      <c r="F342" s="7"/>
      <c r="G342" s="7"/>
      <c r="H342" s="7"/>
      <c r="I342" s="7"/>
      <c r="J342" s="7"/>
      <c r="K342" s="6"/>
      <c r="L342" s="6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AB342" s="70"/>
      <c r="AC342" s="11"/>
    </row>
    <row r="343" spans="1:29" x14ac:dyDescent="0.2">
      <c r="A343" s="11"/>
      <c r="B343" s="11"/>
      <c r="C343" s="11"/>
      <c r="D343" s="11"/>
      <c r="E343" s="11"/>
      <c r="F343" s="7"/>
      <c r="G343" s="7"/>
      <c r="H343" s="7"/>
      <c r="I343" s="7"/>
      <c r="J343" s="7"/>
      <c r="K343" s="6"/>
      <c r="L343" s="6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AB343" s="70"/>
      <c r="AC343" s="11"/>
    </row>
    <row r="344" spans="1:29" x14ac:dyDescent="0.2">
      <c r="A344" s="11"/>
      <c r="B344" s="11"/>
      <c r="C344" s="11"/>
      <c r="D344" s="11"/>
      <c r="E344" s="11"/>
      <c r="F344" s="7"/>
      <c r="G344" s="7"/>
      <c r="H344" s="7"/>
      <c r="I344" s="7"/>
      <c r="J344" s="7"/>
      <c r="K344" s="6"/>
      <c r="L344" s="6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AB344" s="70"/>
      <c r="AC344" s="11"/>
    </row>
    <row r="345" spans="1:29" x14ac:dyDescent="0.2">
      <c r="A345" s="11"/>
      <c r="B345" s="11"/>
      <c r="C345" s="11"/>
      <c r="D345" s="11"/>
      <c r="E345" s="11"/>
      <c r="F345" s="7"/>
      <c r="G345" s="7"/>
      <c r="H345" s="7"/>
      <c r="I345" s="7"/>
      <c r="J345" s="7"/>
      <c r="K345" s="6"/>
      <c r="L345" s="6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AB345" s="70"/>
      <c r="AC345" s="11"/>
    </row>
    <row r="346" spans="1:29" x14ac:dyDescent="0.2">
      <c r="A346" s="11"/>
      <c r="B346" s="11"/>
      <c r="C346" s="11"/>
      <c r="D346" s="11"/>
      <c r="E346" s="11"/>
      <c r="F346" s="7"/>
      <c r="G346" s="7"/>
      <c r="H346" s="7"/>
      <c r="I346" s="7"/>
      <c r="J346" s="7"/>
      <c r="K346" s="6"/>
      <c r="L346" s="6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AB346" s="70"/>
      <c r="AC346" s="11"/>
    </row>
    <row r="347" spans="1:29" x14ac:dyDescent="0.2">
      <c r="A347" s="11"/>
      <c r="B347" s="11"/>
      <c r="C347" s="11"/>
      <c r="D347" s="11"/>
      <c r="E347" s="11"/>
      <c r="F347" s="7"/>
      <c r="G347" s="7"/>
      <c r="H347" s="7"/>
      <c r="I347" s="7"/>
      <c r="J347" s="7"/>
      <c r="K347" s="6"/>
      <c r="L347" s="6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AB347" s="70"/>
      <c r="AC347" s="11"/>
    </row>
    <row r="348" spans="1:29" x14ac:dyDescent="0.2">
      <c r="A348" s="11"/>
      <c r="B348" s="11"/>
      <c r="C348" s="11"/>
      <c r="D348" s="11"/>
      <c r="E348" s="11"/>
      <c r="F348" s="7"/>
      <c r="G348" s="7"/>
      <c r="H348" s="7"/>
      <c r="I348" s="7"/>
      <c r="J348" s="7"/>
      <c r="K348" s="6"/>
      <c r="L348" s="6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AB348" s="70"/>
      <c r="AC348" s="11"/>
    </row>
    <row r="349" spans="1:29" x14ac:dyDescent="0.2">
      <c r="A349" s="11"/>
      <c r="B349" s="11"/>
      <c r="C349" s="11"/>
      <c r="D349" s="11"/>
      <c r="E349" s="11"/>
      <c r="F349" s="7"/>
      <c r="G349" s="7"/>
      <c r="H349" s="7"/>
      <c r="I349" s="7"/>
      <c r="J349" s="7"/>
      <c r="K349" s="6"/>
      <c r="L349" s="6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AB349" s="70"/>
      <c r="AC349" s="11"/>
    </row>
    <row r="350" spans="1:29" x14ac:dyDescent="0.2">
      <c r="A350" s="11"/>
      <c r="B350" s="11"/>
      <c r="C350" s="11"/>
      <c r="D350" s="11"/>
      <c r="E350" s="11"/>
      <c r="F350" s="7"/>
      <c r="G350" s="7"/>
      <c r="H350" s="7"/>
      <c r="I350" s="7"/>
      <c r="J350" s="7"/>
      <c r="K350" s="6"/>
      <c r="L350" s="6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AB350" s="70"/>
      <c r="AC350" s="11"/>
    </row>
    <row r="351" spans="1:29" x14ac:dyDescent="0.2">
      <c r="A351" s="11"/>
      <c r="B351" s="11"/>
      <c r="C351" s="11"/>
      <c r="D351" s="11"/>
      <c r="E351" s="11"/>
      <c r="F351" s="7"/>
      <c r="G351" s="7"/>
      <c r="H351" s="7"/>
      <c r="I351" s="7"/>
      <c r="J351" s="7"/>
      <c r="K351" s="6"/>
      <c r="L351" s="6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AB351" s="70"/>
      <c r="AC351" s="11"/>
    </row>
    <row r="352" spans="1:29" x14ac:dyDescent="0.2">
      <c r="A352" s="11"/>
      <c r="B352" s="11"/>
      <c r="C352" s="11"/>
      <c r="D352" s="11"/>
      <c r="E352" s="11"/>
      <c r="F352" s="7"/>
      <c r="G352" s="7"/>
      <c r="H352" s="7"/>
      <c r="I352" s="7"/>
      <c r="J352" s="7"/>
      <c r="K352" s="6"/>
      <c r="L352" s="6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AB352" s="70"/>
      <c r="AC352" s="11"/>
    </row>
    <row r="353" spans="1:29" x14ac:dyDescent="0.2">
      <c r="A353" s="11"/>
      <c r="B353" s="11"/>
      <c r="C353" s="11"/>
      <c r="D353" s="11"/>
      <c r="E353" s="11"/>
      <c r="F353" s="7"/>
      <c r="G353" s="7"/>
      <c r="H353" s="7"/>
      <c r="I353" s="7"/>
      <c r="J353" s="7"/>
      <c r="K353" s="6"/>
      <c r="L353" s="6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AB353" s="70"/>
      <c r="AC353" s="11"/>
    </row>
    <row r="354" spans="1:29" x14ac:dyDescent="0.2">
      <c r="A354" s="11"/>
      <c r="B354" s="11"/>
      <c r="C354" s="11"/>
      <c r="D354" s="11"/>
      <c r="E354" s="11"/>
      <c r="F354" s="7"/>
      <c r="G354" s="7"/>
      <c r="H354" s="7"/>
      <c r="I354" s="7"/>
      <c r="J354" s="7"/>
      <c r="K354" s="6"/>
      <c r="L354" s="6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AB354" s="70"/>
      <c r="AC354" s="11"/>
    </row>
    <row r="355" spans="1:29" x14ac:dyDescent="0.2">
      <c r="A355" s="11"/>
      <c r="B355" s="11"/>
      <c r="C355" s="11"/>
      <c r="D355" s="11"/>
      <c r="E355" s="11"/>
      <c r="F355" s="7"/>
      <c r="G355" s="7"/>
      <c r="H355" s="7"/>
      <c r="I355" s="7"/>
      <c r="J355" s="7"/>
      <c r="K355" s="6"/>
      <c r="L355" s="6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AB355" s="70"/>
      <c r="AC355" s="11"/>
    </row>
    <row r="356" spans="1:29" x14ac:dyDescent="0.2">
      <c r="A356" s="11"/>
      <c r="B356" s="11"/>
      <c r="C356" s="11"/>
      <c r="D356" s="11"/>
      <c r="E356" s="11"/>
      <c r="F356" s="7"/>
      <c r="G356" s="7"/>
      <c r="H356" s="7"/>
      <c r="I356" s="7"/>
      <c r="J356" s="7"/>
      <c r="K356" s="6"/>
      <c r="L356" s="6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AB356" s="70"/>
      <c r="AC356" s="11"/>
    </row>
    <row r="357" spans="1:29" x14ac:dyDescent="0.2">
      <c r="A357" s="11"/>
      <c r="B357" s="11"/>
      <c r="C357" s="11"/>
      <c r="D357" s="11"/>
      <c r="E357" s="11"/>
      <c r="F357" s="7"/>
      <c r="G357" s="7"/>
      <c r="H357" s="7"/>
      <c r="I357" s="7"/>
      <c r="J357" s="7"/>
      <c r="K357" s="6"/>
      <c r="L357" s="6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AB357" s="70"/>
      <c r="AC357" s="11"/>
    </row>
    <row r="358" spans="1:29" x14ac:dyDescent="0.2">
      <c r="A358" s="11"/>
      <c r="B358" s="11"/>
      <c r="C358" s="11"/>
      <c r="D358" s="11"/>
      <c r="E358" s="11"/>
      <c r="F358" s="7"/>
      <c r="G358" s="7"/>
      <c r="H358" s="7"/>
      <c r="I358" s="7"/>
      <c r="J358" s="7"/>
      <c r="K358" s="6"/>
      <c r="L358" s="6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AB358" s="70"/>
      <c r="AC358" s="11"/>
    </row>
    <row r="359" spans="1:29" x14ac:dyDescent="0.2">
      <c r="A359" s="11"/>
      <c r="B359" s="11"/>
      <c r="C359" s="11"/>
      <c r="D359" s="11"/>
      <c r="E359" s="11"/>
      <c r="F359" s="7"/>
      <c r="G359" s="7"/>
      <c r="H359" s="7"/>
      <c r="I359" s="7"/>
      <c r="J359" s="7"/>
      <c r="K359" s="6"/>
      <c r="L359" s="6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AB359" s="70"/>
      <c r="AC359" s="11"/>
    </row>
    <row r="360" spans="1:29" x14ac:dyDescent="0.2">
      <c r="A360" s="11"/>
      <c r="B360" s="11"/>
      <c r="C360" s="11"/>
      <c r="D360" s="11"/>
      <c r="E360" s="11"/>
      <c r="F360" s="7"/>
      <c r="G360" s="7"/>
      <c r="H360" s="7"/>
      <c r="I360" s="7"/>
      <c r="J360" s="7"/>
      <c r="K360" s="6"/>
      <c r="L360" s="6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AB360" s="70"/>
      <c r="AC360" s="11"/>
    </row>
    <row r="361" spans="1:29" x14ac:dyDescent="0.2">
      <c r="A361" s="11"/>
      <c r="B361" s="11"/>
      <c r="C361" s="11"/>
      <c r="D361" s="11"/>
      <c r="E361" s="11"/>
      <c r="F361" s="7"/>
      <c r="G361" s="7"/>
      <c r="H361" s="7"/>
      <c r="I361" s="7"/>
      <c r="J361" s="7"/>
      <c r="K361" s="6"/>
      <c r="L361" s="6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AB361" s="70"/>
      <c r="AC361" s="11"/>
    </row>
    <row r="362" spans="1:29" x14ac:dyDescent="0.2">
      <c r="A362" s="11"/>
      <c r="B362" s="11"/>
      <c r="C362" s="11"/>
      <c r="D362" s="11"/>
      <c r="E362" s="11"/>
      <c r="F362" s="7"/>
      <c r="G362" s="7"/>
      <c r="H362" s="7"/>
      <c r="I362" s="7"/>
      <c r="J362" s="7"/>
      <c r="K362" s="6"/>
      <c r="L362" s="6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AB362" s="70"/>
      <c r="AC362" s="11"/>
    </row>
    <row r="363" spans="1:29" x14ac:dyDescent="0.2">
      <c r="A363" s="11"/>
      <c r="B363" s="11"/>
      <c r="C363" s="11"/>
      <c r="D363" s="11"/>
      <c r="E363" s="11"/>
      <c r="F363" s="7"/>
      <c r="G363" s="7"/>
      <c r="H363" s="7"/>
      <c r="I363" s="7"/>
      <c r="J363" s="7"/>
      <c r="K363" s="6"/>
      <c r="L363" s="6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AB363" s="70"/>
      <c r="AC363" s="11"/>
    </row>
    <row r="364" spans="1:29" x14ac:dyDescent="0.2">
      <c r="A364" s="11"/>
      <c r="B364" s="11"/>
      <c r="C364" s="11"/>
      <c r="D364" s="11"/>
      <c r="E364" s="11"/>
      <c r="F364" s="7"/>
      <c r="G364" s="7"/>
      <c r="H364" s="7"/>
      <c r="I364" s="7"/>
      <c r="J364" s="7"/>
      <c r="K364" s="6"/>
      <c r="L364" s="6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AB364" s="70"/>
      <c r="AC364" s="11"/>
    </row>
    <row r="365" spans="1:29" x14ac:dyDescent="0.2">
      <c r="A365" s="11"/>
      <c r="B365" s="11"/>
      <c r="C365" s="11"/>
      <c r="D365" s="11"/>
      <c r="E365" s="11"/>
      <c r="F365" s="7"/>
      <c r="G365" s="7"/>
      <c r="H365" s="7"/>
      <c r="I365" s="7"/>
      <c r="J365" s="7"/>
      <c r="K365" s="6"/>
      <c r="L365" s="6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AB365" s="70"/>
      <c r="AC365" s="11"/>
    </row>
    <row r="366" spans="1:29" x14ac:dyDescent="0.2">
      <c r="A366" s="11"/>
      <c r="B366" s="11"/>
      <c r="C366" s="11"/>
      <c r="D366" s="11"/>
      <c r="E366" s="11"/>
      <c r="F366" s="7"/>
      <c r="G366" s="7"/>
      <c r="H366" s="7"/>
      <c r="I366" s="7"/>
      <c r="J366" s="7"/>
      <c r="K366" s="6"/>
      <c r="L366" s="6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AB366" s="70"/>
      <c r="AC366" s="11"/>
    </row>
    <row r="367" spans="1:29" x14ac:dyDescent="0.2">
      <c r="A367" s="11"/>
      <c r="B367" s="11"/>
      <c r="C367" s="11"/>
      <c r="D367" s="11"/>
      <c r="E367" s="11"/>
      <c r="F367" s="7"/>
      <c r="G367" s="7"/>
      <c r="H367" s="7"/>
      <c r="I367" s="7"/>
      <c r="J367" s="7"/>
      <c r="K367" s="6"/>
      <c r="L367" s="6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AB367" s="70"/>
      <c r="AC367" s="11"/>
    </row>
    <row r="368" spans="1:29" x14ac:dyDescent="0.2">
      <c r="A368" s="11"/>
      <c r="B368" s="11"/>
      <c r="C368" s="11"/>
      <c r="D368" s="11"/>
      <c r="E368" s="11"/>
      <c r="F368" s="7"/>
      <c r="G368" s="7"/>
      <c r="H368" s="7"/>
      <c r="I368" s="7"/>
      <c r="J368" s="7"/>
      <c r="K368" s="6"/>
      <c r="L368" s="6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AB368" s="70"/>
      <c r="AC368" s="11"/>
    </row>
    <row r="369" spans="1:29" x14ac:dyDescent="0.2">
      <c r="A369" s="11"/>
      <c r="B369" s="11"/>
      <c r="C369" s="11"/>
      <c r="D369" s="11"/>
      <c r="E369" s="11"/>
      <c r="F369" s="7"/>
      <c r="G369" s="7"/>
      <c r="H369" s="7"/>
      <c r="I369" s="7"/>
      <c r="J369" s="7"/>
      <c r="K369" s="6"/>
      <c r="L369" s="6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AB369" s="70"/>
      <c r="AC369" s="11"/>
    </row>
    <row r="370" spans="1:29" x14ac:dyDescent="0.2">
      <c r="A370" s="11"/>
      <c r="B370" s="11"/>
      <c r="C370" s="11"/>
      <c r="D370" s="11"/>
      <c r="E370" s="11"/>
      <c r="F370" s="7"/>
      <c r="G370" s="7"/>
      <c r="H370" s="7"/>
      <c r="I370" s="7"/>
      <c r="J370" s="7"/>
      <c r="K370" s="6"/>
      <c r="L370" s="6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AB370" s="70"/>
      <c r="AC370" s="11"/>
    </row>
    <row r="371" spans="1:29" x14ac:dyDescent="0.2">
      <c r="A371" s="11"/>
      <c r="B371" s="11"/>
      <c r="C371" s="11"/>
      <c r="D371" s="11"/>
      <c r="E371" s="11"/>
      <c r="F371" s="7"/>
      <c r="G371" s="7"/>
      <c r="H371" s="7"/>
      <c r="I371" s="7"/>
      <c r="J371" s="7"/>
      <c r="K371" s="6"/>
      <c r="L371" s="6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AB371" s="70"/>
      <c r="AC371" s="11"/>
    </row>
    <row r="372" spans="1:29" x14ac:dyDescent="0.2">
      <c r="A372" s="11"/>
      <c r="B372" s="11"/>
      <c r="C372" s="11"/>
      <c r="D372" s="11"/>
      <c r="E372" s="11"/>
      <c r="F372" s="7"/>
      <c r="G372" s="7"/>
      <c r="H372" s="7"/>
      <c r="I372" s="7"/>
      <c r="J372" s="7"/>
      <c r="K372" s="6"/>
      <c r="L372" s="6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AB372" s="70"/>
      <c r="AC372" s="11"/>
    </row>
    <row r="373" spans="1:29" x14ac:dyDescent="0.2">
      <c r="A373" s="11"/>
      <c r="B373" s="11"/>
      <c r="C373" s="11"/>
      <c r="D373" s="11"/>
      <c r="E373" s="11"/>
      <c r="F373" s="7"/>
      <c r="G373" s="7"/>
      <c r="H373" s="7"/>
      <c r="I373" s="7"/>
      <c r="J373" s="7"/>
      <c r="K373" s="6"/>
      <c r="L373" s="6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AB373" s="70"/>
      <c r="AC373" s="11"/>
    </row>
    <row r="374" spans="1:29" x14ac:dyDescent="0.2">
      <c r="A374" s="11"/>
      <c r="B374" s="11"/>
      <c r="C374" s="11"/>
      <c r="D374" s="11"/>
      <c r="E374" s="11"/>
      <c r="F374" s="7"/>
      <c r="G374" s="7"/>
      <c r="H374" s="7"/>
      <c r="I374" s="7"/>
      <c r="J374" s="7"/>
      <c r="K374" s="6"/>
      <c r="L374" s="6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AB374" s="70"/>
      <c r="AC374" s="11"/>
    </row>
    <row r="375" spans="1:29" x14ac:dyDescent="0.2">
      <c r="A375" s="11"/>
      <c r="B375" s="11"/>
      <c r="C375" s="11"/>
      <c r="D375" s="11"/>
      <c r="E375" s="11"/>
      <c r="F375" s="7"/>
      <c r="G375" s="7"/>
      <c r="H375" s="7"/>
      <c r="I375" s="7"/>
      <c r="J375" s="7"/>
      <c r="K375" s="6"/>
      <c r="L375" s="6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AB375" s="70"/>
      <c r="AC375" s="11"/>
    </row>
    <row r="376" spans="1:29" x14ac:dyDescent="0.2">
      <c r="A376" s="11"/>
      <c r="B376" s="11"/>
      <c r="C376" s="11"/>
      <c r="D376" s="11"/>
      <c r="E376" s="11"/>
      <c r="F376" s="7"/>
      <c r="G376" s="7"/>
      <c r="H376" s="7"/>
      <c r="I376" s="7"/>
      <c r="J376" s="7"/>
      <c r="K376" s="6"/>
      <c r="L376" s="6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AB376" s="70"/>
      <c r="AC376" s="11"/>
    </row>
    <row r="377" spans="1:29" x14ac:dyDescent="0.2">
      <c r="A377" s="11"/>
      <c r="B377" s="11"/>
      <c r="C377" s="11"/>
      <c r="D377" s="11"/>
      <c r="E377" s="11"/>
      <c r="F377" s="7"/>
      <c r="G377" s="7"/>
      <c r="H377" s="7"/>
      <c r="I377" s="7"/>
      <c r="J377" s="7"/>
      <c r="K377" s="6"/>
      <c r="L377" s="6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AB377" s="70"/>
      <c r="AC377" s="11"/>
    </row>
    <row r="378" spans="1:29" x14ac:dyDescent="0.2">
      <c r="A378" s="11"/>
      <c r="B378" s="11"/>
      <c r="C378" s="11"/>
      <c r="D378" s="11"/>
      <c r="E378" s="11"/>
      <c r="F378" s="7"/>
      <c r="G378" s="7"/>
      <c r="H378" s="7"/>
      <c r="I378" s="7"/>
      <c r="J378" s="7"/>
      <c r="K378" s="6"/>
      <c r="L378" s="6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AB378" s="70"/>
      <c r="AC378" s="11"/>
    </row>
    <row r="379" spans="1:29" x14ac:dyDescent="0.2">
      <c r="A379" s="11"/>
      <c r="B379" s="11"/>
      <c r="C379" s="11"/>
      <c r="D379" s="11"/>
      <c r="E379" s="11"/>
      <c r="F379" s="7"/>
      <c r="G379" s="7"/>
      <c r="H379" s="7"/>
      <c r="I379" s="7"/>
      <c r="J379" s="7"/>
      <c r="K379" s="6"/>
      <c r="L379" s="6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AB379" s="70"/>
      <c r="AC379" s="11"/>
    </row>
    <row r="380" spans="1:29" x14ac:dyDescent="0.2">
      <c r="A380" s="11"/>
      <c r="B380" s="11"/>
      <c r="C380" s="11"/>
      <c r="D380" s="11"/>
      <c r="E380" s="11"/>
      <c r="F380" s="7"/>
      <c r="G380" s="7"/>
      <c r="H380" s="7"/>
      <c r="I380" s="7"/>
      <c r="J380" s="7"/>
      <c r="K380" s="6"/>
      <c r="L380" s="6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AB380" s="70"/>
      <c r="AC380" s="11"/>
    </row>
    <row r="381" spans="1:29" x14ac:dyDescent="0.2">
      <c r="A381" s="11"/>
      <c r="B381" s="11"/>
      <c r="C381" s="11"/>
      <c r="D381" s="11"/>
      <c r="E381" s="11"/>
      <c r="F381" s="7"/>
      <c r="G381" s="7"/>
      <c r="H381" s="7"/>
      <c r="I381" s="7"/>
      <c r="J381" s="7"/>
      <c r="K381" s="6"/>
      <c r="L381" s="6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AB381" s="70"/>
      <c r="AC381" s="11"/>
    </row>
    <row r="382" spans="1:29" x14ac:dyDescent="0.2">
      <c r="A382" s="11"/>
      <c r="B382" s="11"/>
      <c r="C382" s="11"/>
      <c r="D382" s="11"/>
      <c r="E382" s="11"/>
      <c r="F382" s="7"/>
      <c r="G382" s="7"/>
      <c r="H382" s="7"/>
      <c r="I382" s="7"/>
      <c r="J382" s="7"/>
      <c r="K382" s="6"/>
      <c r="L382" s="6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AB382" s="70"/>
      <c r="AC382" s="11"/>
    </row>
    <row r="383" spans="1:29" x14ac:dyDescent="0.2">
      <c r="A383" s="11"/>
      <c r="B383" s="11"/>
      <c r="C383" s="11"/>
      <c r="D383" s="11"/>
      <c r="E383" s="11"/>
      <c r="F383" s="7"/>
      <c r="G383" s="7"/>
      <c r="H383" s="7"/>
      <c r="I383" s="7"/>
      <c r="J383" s="7"/>
      <c r="K383" s="6"/>
      <c r="L383" s="6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AB383" s="70"/>
      <c r="AC383" s="11"/>
    </row>
    <row r="384" spans="1:29" x14ac:dyDescent="0.2">
      <c r="A384" s="11"/>
      <c r="B384" s="11"/>
      <c r="C384" s="11"/>
      <c r="D384" s="11"/>
      <c r="E384" s="11"/>
      <c r="F384" s="7"/>
      <c r="G384" s="7"/>
      <c r="H384" s="7"/>
      <c r="I384" s="7"/>
      <c r="J384" s="7"/>
      <c r="K384" s="6"/>
      <c r="L384" s="6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AB384" s="70"/>
      <c r="AC384" s="11"/>
    </row>
    <row r="385" spans="1:29" x14ac:dyDescent="0.2">
      <c r="A385" s="11"/>
      <c r="B385" s="11"/>
      <c r="C385" s="11"/>
      <c r="D385" s="11"/>
      <c r="E385" s="11"/>
      <c r="F385" s="7"/>
      <c r="G385" s="7"/>
      <c r="H385" s="7"/>
      <c r="I385" s="7"/>
      <c r="J385" s="7"/>
      <c r="K385" s="6"/>
      <c r="L385" s="6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AB385" s="70"/>
      <c r="AC385" s="11"/>
    </row>
    <row r="386" spans="1:29" x14ac:dyDescent="0.2">
      <c r="A386" s="11"/>
      <c r="B386" s="11"/>
      <c r="C386" s="11"/>
      <c r="D386" s="11"/>
      <c r="E386" s="11"/>
      <c r="F386" s="7"/>
      <c r="G386" s="7"/>
      <c r="H386" s="7"/>
      <c r="I386" s="7"/>
      <c r="J386" s="7"/>
      <c r="K386" s="6"/>
      <c r="L386" s="6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AB386" s="70"/>
      <c r="AC386" s="11"/>
    </row>
    <row r="387" spans="1:29" x14ac:dyDescent="0.2">
      <c r="A387" s="11"/>
      <c r="B387" s="11"/>
      <c r="C387" s="11"/>
      <c r="D387" s="11"/>
      <c r="E387" s="11"/>
      <c r="F387" s="7"/>
      <c r="G387" s="7"/>
      <c r="H387" s="7"/>
      <c r="I387" s="7"/>
      <c r="J387" s="7"/>
      <c r="K387" s="6"/>
      <c r="L387" s="6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AB387" s="70"/>
      <c r="AC387" s="11"/>
    </row>
    <row r="388" spans="1:29" x14ac:dyDescent="0.2">
      <c r="A388" s="11"/>
      <c r="B388" s="11"/>
      <c r="C388" s="11"/>
      <c r="D388" s="11"/>
      <c r="E388" s="11"/>
      <c r="F388" s="7"/>
      <c r="G388" s="7"/>
      <c r="H388" s="7"/>
      <c r="I388" s="7"/>
      <c r="J388" s="7"/>
      <c r="K388" s="6"/>
      <c r="L388" s="6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AB388" s="70"/>
      <c r="AC388" s="11"/>
    </row>
    <row r="389" spans="1:29" x14ac:dyDescent="0.2">
      <c r="A389" s="11"/>
      <c r="B389" s="11"/>
      <c r="C389" s="11"/>
      <c r="D389" s="11"/>
      <c r="E389" s="11"/>
      <c r="F389" s="7"/>
      <c r="G389" s="7"/>
      <c r="H389" s="7"/>
      <c r="I389" s="7"/>
      <c r="J389" s="7"/>
      <c r="K389" s="6"/>
      <c r="L389" s="6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AB389" s="70"/>
      <c r="AC389" s="11"/>
    </row>
    <row r="390" spans="1:29" x14ac:dyDescent="0.2">
      <c r="A390" s="11"/>
      <c r="B390" s="11"/>
      <c r="C390" s="11"/>
      <c r="D390" s="11"/>
      <c r="E390" s="11"/>
      <c r="F390" s="7"/>
      <c r="G390" s="7"/>
      <c r="H390" s="7"/>
      <c r="I390" s="7"/>
      <c r="J390" s="7"/>
      <c r="K390" s="6"/>
      <c r="L390" s="6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AB390" s="70"/>
      <c r="AC390" s="11"/>
    </row>
    <row r="391" spans="1:29" x14ac:dyDescent="0.2">
      <c r="A391" s="11"/>
      <c r="B391" s="11"/>
      <c r="C391" s="11"/>
      <c r="D391" s="11"/>
      <c r="E391" s="11"/>
      <c r="F391" s="7"/>
      <c r="G391" s="7"/>
      <c r="H391" s="7"/>
      <c r="I391" s="7"/>
      <c r="J391" s="7"/>
      <c r="K391" s="6"/>
      <c r="L391" s="6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AB391" s="70"/>
      <c r="AC391" s="11"/>
    </row>
    <row r="392" spans="1:29" x14ac:dyDescent="0.2">
      <c r="A392" s="11"/>
      <c r="B392" s="11"/>
      <c r="C392" s="11"/>
      <c r="D392" s="11"/>
      <c r="E392" s="11"/>
      <c r="F392" s="7"/>
      <c r="G392" s="7"/>
      <c r="H392" s="7"/>
      <c r="I392" s="7"/>
      <c r="J392" s="7"/>
      <c r="K392" s="6"/>
      <c r="L392" s="6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AB392" s="70"/>
      <c r="AC392" s="11"/>
    </row>
    <row r="393" spans="1:29" x14ac:dyDescent="0.2">
      <c r="A393" s="11"/>
      <c r="B393" s="11"/>
      <c r="C393" s="11"/>
      <c r="D393" s="11"/>
      <c r="E393" s="11"/>
      <c r="F393" s="7"/>
      <c r="G393" s="7"/>
      <c r="H393" s="7"/>
      <c r="I393" s="7"/>
      <c r="J393" s="7"/>
      <c r="K393" s="6"/>
      <c r="L393" s="6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AB393" s="70"/>
      <c r="AC393" s="11"/>
    </row>
    <row r="394" spans="1:29" x14ac:dyDescent="0.2">
      <c r="A394" s="11"/>
      <c r="B394" s="11"/>
      <c r="C394" s="11"/>
      <c r="D394" s="11"/>
      <c r="E394" s="11"/>
      <c r="F394" s="7"/>
      <c r="G394" s="7"/>
      <c r="H394" s="7"/>
      <c r="I394" s="7"/>
      <c r="J394" s="7"/>
      <c r="K394" s="6"/>
      <c r="L394" s="6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AB394" s="70"/>
      <c r="AC394" s="11"/>
    </row>
    <row r="395" spans="1:29" x14ac:dyDescent="0.2">
      <c r="A395" s="11"/>
      <c r="B395" s="11"/>
      <c r="C395" s="11"/>
      <c r="D395" s="11"/>
      <c r="E395" s="11"/>
      <c r="F395" s="7"/>
      <c r="G395" s="7"/>
      <c r="H395" s="7"/>
      <c r="I395" s="7"/>
      <c r="J395" s="7"/>
      <c r="K395" s="6"/>
      <c r="L395" s="6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AB395" s="70"/>
      <c r="AC395" s="11"/>
    </row>
    <row r="396" spans="1:29" x14ac:dyDescent="0.2">
      <c r="A396" s="11"/>
      <c r="B396" s="11"/>
      <c r="C396" s="11"/>
      <c r="D396" s="11"/>
      <c r="E396" s="11"/>
      <c r="F396" s="7"/>
      <c r="G396" s="7"/>
      <c r="H396" s="7"/>
      <c r="I396" s="7"/>
      <c r="J396" s="7"/>
      <c r="K396" s="6"/>
      <c r="L396" s="6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AB396" s="70"/>
      <c r="AC396" s="11"/>
    </row>
    <row r="397" spans="1:29" x14ac:dyDescent="0.2">
      <c r="A397" s="11"/>
      <c r="B397" s="11"/>
      <c r="C397" s="11"/>
      <c r="D397" s="11"/>
      <c r="E397" s="11"/>
      <c r="F397" s="7"/>
      <c r="G397" s="7"/>
      <c r="H397" s="7"/>
      <c r="I397" s="7"/>
      <c r="J397" s="7"/>
      <c r="K397" s="6"/>
      <c r="L397" s="6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AB397" s="70"/>
      <c r="AC397" s="11"/>
    </row>
    <row r="398" spans="1:29" x14ac:dyDescent="0.2">
      <c r="A398" s="11"/>
      <c r="B398" s="11"/>
      <c r="C398" s="11"/>
      <c r="D398" s="11"/>
      <c r="E398" s="11"/>
      <c r="F398" s="7"/>
      <c r="G398" s="7"/>
      <c r="H398" s="7"/>
      <c r="I398" s="7"/>
      <c r="J398" s="7"/>
      <c r="K398" s="6"/>
      <c r="L398" s="6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AB398" s="70"/>
      <c r="AC398" s="11"/>
    </row>
    <row r="399" spans="1:29" x14ac:dyDescent="0.2">
      <c r="A399" s="11"/>
      <c r="B399" s="11"/>
      <c r="C399" s="11"/>
      <c r="D399" s="11"/>
      <c r="E399" s="11"/>
      <c r="F399" s="7"/>
      <c r="G399" s="7"/>
      <c r="H399" s="7"/>
      <c r="I399" s="7"/>
      <c r="J399" s="7"/>
      <c r="K399" s="6"/>
      <c r="L399" s="6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AB399" s="70"/>
      <c r="AC399" s="11"/>
    </row>
    <row r="400" spans="1:29" x14ac:dyDescent="0.2">
      <c r="A400" s="11"/>
      <c r="B400" s="11"/>
      <c r="C400" s="11"/>
      <c r="D400" s="11"/>
      <c r="E400" s="11"/>
      <c r="F400" s="7"/>
      <c r="G400" s="7"/>
      <c r="H400" s="7"/>
      <c r="I400" s="7"/>
      <c r="J400" s="7"/>
      <c r="K400" s="6"/>
      <c r="L400" s="6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AB400" s="70"/>
      <c r="AC400" s="11"/>
    </row>
    <row r="401" spans="1:29" x14ac:dyDescent="0.2">
      <c r="A401" s="11"/>
      <c r="B401" s="11"/>
      <c r="C401" s="11"/>
      <c r="D401" s="11"/>
      <c r="E401" s="11"/>
      <c r="F401" s="7"/>
      <c r="G401" s="7"/>
      <c r="H401" s="7"/>
      <c r="I401" s="7"/>
      <c r="J401" s="7"/>
      <c r="K401" s="6"/>
      <c r="L401" s="6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AB401" s="70"/>
      <c r="AC401" s="11"/>
    </row>
    <row r="402" spans="1:29" x14ac:dyDescent="0.2">
      <c r="A402" s="11"/>
      <c r="B402" s="11"/>
      <c r="C402" s="11"/>
      <c r="D402" s="11"/>
      <c r="E402" s="11"/>
      <c r="F402" s="7"/>
      <c r="G402" s="7"/>
      <c r="H402" s="7"/>
      <c r="I402" s="7"/>
      <c r="J402" s="7"/>
      <c r="K402" s="6"/>
      <c r="L402" s="6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AB402" s="70"/>
      <c r="AC402" s="11"/>
    </row>
    <row r="403" spans="1:29" x14ac:dyDescent="0.2">
      <c r="A403" s="11"/>
      <c r="B403" s="11"/>
      <c r="C403" s="11"/>
      <c r="D403" s="11"/>
      <c r="E403" s="11"/>
      <c r="F403" s="7"/>
      <c r="G403" s="7"/>
      <c r="H403" s="7"/>
      <c r="I403" s="7"/>
      <c r="J403" s="7"/>
      <c r="K403" s="6"/>
      <c r="L403" s="6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AB403" s="70"/>
      <c r="AC403" s="11"/>
    </row>
    <row r="404" spans="1:29" x14ac:dyDescent="0.2">
      <c r="A404" s="11"/>
      <c r="B404" s="11"/>
      <c r="C404" s="11"/>
      <c r="D404" s="11"/>
      <c r="E404" s="11"/>
      <c r="F404" s="7"/>
      <c r="G404" s="7"/>
      <c r="H404" s="7"/>
      <c r="I404" s="7"/>
      <c r="J404" s="7"/>
      <c r="K404" s="6"/>
      <c r="L404" s="6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AB404" s="70"/>
      <c r="AC404" s="11"/>
    </row>
    <row r="405" spans="1:29" x14ac:dyDescent="0.2">
      <c r="A405" s="11"/>
      <c r="B405" s="11"/>
      <c r="C405" s="11"/>
      <c r="D405" s="11"/>
      <c r="E405" s="11"/>
      <c r="F405" s="7"/>
      <c r="G405" s="7"/>
      <c r="H405" s="7"/>
      <c r="I405" s="7"/>
      <c r="J405" s="7"/>
      <c r="K405" s="6"/>
      <c r="L405" s="6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AB405" s="70"/>
      <c r="AC405" s="11"/>
    </row>
    <row r="406" spans="1:29" x14ac:dyDescent="0.2">
      <c r="A406" s="11"/>
      <c r="B406" s="11"/>
      <c r="C406" s="11"/>
      <c r="D406" s="11"/>
      <c r="E406" s="11"/>
      <c r="F406" s="7"/>
      <c r="G406" s="7"/>
      <c r="H406" s="7"/>
      <c r="I406" s="7"/>
      <c r="J406" s="7"/>
      <c r="K406" s="6"/>
      <c r="L406" s="6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AB406" s="70"/>
      <c r="AC406" s="11"/>
    </row>
    <row r="407" spans="1:29" x14ac:dyDescent="0.2">
      <c r="A407" s="11"/>
      <c r="B407" s="11"/>
      <c r="C407" s="11"/>
      <c r="D407" s="11"/>
      <c r="E407" s="11"/>
      <c r="F407" s="7"/>
      <c r="G407" s="7"/>
      <c r="H407" s="7"/>
      <c r="I407" s="7"/>
      <c r="J407" s="7"/>
      <c r="K407" s="6"/>
      <c r="L407" s="6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AB407" s="70"/>
      <c r="AC407" s="11"/>
    </row>
    <row r="408" spans="1:29" x14ac:dyDescent="0.2">
      <c r="A408" s="11"/>
      <c r="B408" s="11"/>
      <c r="C408" s="11"/>
      <c r="D408" s="11"/>
      <c r="E408" s="11"/>
      <c r="F408" s="7"/>
      <c r="G408" s="7"/>
      <c r="H408" s="7"/>
      <c r="I408" s="7"/>
      <c r="J408" s="7"/>
      <c r="K408" s="6"/>
      <c r="L408" s="6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AB408" s="70"/>
      <c r="AC408" s="11"/>
    </row>
    <row r="409" spans="1:29" x14ac:dyDescent="0.2">
      <c r="A409" s="11"/>
      <c r="B409" s="11"/>
      <c r="C409" s="11"/>
      <c r="D409" s="11"/>
      <c r="E409" s="11"/>
      <c r="F409" s="7"/>
      <c r="G409" s="7"/>
      <c r="H409" s="7"/>
      <c r="I409" s="7"/>
      <c r="J409" s="7"/>
      <c r="K409" s="6"/>
      <c r="L409" s="6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AB409" s="70"/>
      <c r="AC409" s="11"/>
    </row>
    <row r="410" spans="1:29" x14ac:dyDescent="0.2">
      <c r="A410" s="11"/>
      <c r="B410" s="11"/>
      <c r="C410" s="11"/>
      <c r="D410" s="11"/>
      <c r="E410" s="11"/>
      <c r="F410" s="7"/>
      <c r="G410" s="7"/>
      <c r="H410" s="7"/>
      <c r="I410" s="7"/>
      <c r="J410" s="7"/>
      <c r="K410" s="6"/>
      <c r="L410" s="6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AB410" s="70"/>
      <c r="AC410" s="11"/>
    </row>
    <row r="411" spans="1:29" x14ac:dyDescent="0.2">
      <c r="A411" s="11"/>
      <c r="B411" s="11"/>
      <c r="C411" s="11"/>
      <c r="D411" s="11"/>
      <c r="E411" s="11"/>
      <c r="F411" s="7"/>
      <c r="G411" s="7"/>
      <c r="H411" s="7"/>
      <c r="I411" s="7"/>
      <c r="J411" s="7"/>
      <c r="K411" s="6"/>
      <c r="L411" s="6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AB411" s="70"/>
      <c r="AC411" s="11"/>
    </row>
    <row r="412" spans="1:29" x14ac:dyDescent="0.2">
      <c r="A412" s="11"/>
      <c r="B412" s="11"/>
      <c r="C412" s="11"/>
      <c r="D412" s="11"/>
      <c r="E412" s="11"/>
      <c r="F412" s="7"/>
      <c r="G412" s="7"/>
      <c r="H412" s="7"/>
      <c r="I412" s="7"/>
      <c r="J412" s="7"/>
      <c r="K412" s="6"/>
      <c r="L412" s="6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AB412" s="70"/>
      <c r="AC412" s="11"/>
    </row>
    <row r="413" spans="1:29" x14ac:dyDescent="0.2">
      <c r="A413" s="11"/>
      <c r="B413" s="11"/>
      <c r="C413" s="11"/>
      <c r="D413" s="11"/>
      <c r="E413" s="11"/>
      <c r="F413" s="7"/>
      <c r="G413" s="7"/>
      <c r="H413" s="7"/>
      <c r="I413" s="7"/>
      <c r="J413" s="7"/>
      <c r="K413" s="6"/>
      <c r="L413" s="6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AB413" s="70"/>
      <c r="AC413" s="11"/>
    </row>
    <row r="414" spans="1:29" x14ac:dyDescent="0.2">
      <c r="A414" s="11"/>
      <c r="B414" s="11"/>
      <c r="C414" s="11"/>
      <c r="D414" s="11"/>
      <c r="E414" s="11"/>
      <c r="F414" s="7"/>
      <c r="G414" s="7"/>
      <c r="H414" s="7"/>
      <c r="I414" s="7"/>
      <c r="J414" s="7"/>
      <c r="K414" s="6"/>
      <c r="L414" s="6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AB414" s="70"/>
      <c r="AC414" s="11"/>
    </row>
    <row r="415" spans="1:29" x14ac:dyDescent="0.2">
      <c r="A415" s="11"/>
      <c r="B415" s="11"/>
      <c r="C415" s="11"/>
      <c r="D415" s="11"/>
      <c r="E415" s="11"/>
      <c r="F415" s="7"/>
      <c r="G415" s="7"/>
      <c r="H415" s="7"/>
      <c r="I415" s="7"/>
      <c r="J415" s="7"/>
      <c r="K415" s="6"/>
      <c r="L415" s="6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AB415" s="70"/>
      <c r="AC415" s="11"/>
    </row>
    <row r="416" spans="1:29" x14ac:dyDescent="0.2">
      <c r="A416" s="11"/>
      <c r="B416" s="11"/>
      <c r="C416" s="11"/>
      <c r="D416" s="11"/>
      <c r="E416" s="11"/>
      <c r="F416" s="7"/>
      <c r="G416" s="7"/>
      <c r="H416" s="7"/>
      <c r="I416" s="7"/>
      <c r="J416" s="7"/>
      <c r="K416" s="6"/>
      <c r="L416" s="6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AB416" s="70"/>
      <c r="AC416" s="11"/>
    </row>
    <row r="417" spans="1:29" x14ac:dyDescent="0.2">
      <c r="A417" s="11"/>
      <c r="B417" s="11"/>
      <c r="C417" s="11"/>
      <c r="D417" s="11"/>
      <c r="E417" s="11"/>
      <c r="F417" s="7"/>
      <c r="G417" s="7"/>
      <c r="H417" s="7"/>
      <c r="I417" s="7"/>
      <c r="J417" s="7"/>
      <c r="K417" s="6"/>
      <c r="L417" s="6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AB417" s="70"/>
      <c r="AC417" s="11"/>
    </row>
    <row r="418" spans="1:29" x14ac:dyDescent="0.2">
      <c r="A418" s="11"/>
      <c r="B418" s="11"/>
      <c r="C418" s="11"/>
      <c r="D418" s="11"/>
      <c r="E418" s="11"/>
      <c r="F418" s="7"/>
      <c r="G418" s="7"/>
      <c r="H418" s="7"/>
      <c r="I418" s="7"/>
      <c r="J418" s="7"/>
      <c r="K418" s="6"/>
      <c r="L418" s="6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AB418" s="70"/>
      <c r="AC418" s="11"/>
    </row>
    <row r="419" spans="1:29" x14ac:dyDescent="0.2">
      <c r="A419" s="11"/>
      <c r="B419" s="11"/>
      <c r="C419" s="11"/>
      <c r="D419" s="11"/>
      <c r="E419" s="11"/>
      <c r="F419" s="7"/>
      <c r="G419" s="7"/>
      <c r="H419" s="7"/>
      <c r="I419" s="7"/>
      <c r="J419" s="7"/>
      <c r="K419" s="6"/>
      <c r="L419" s="6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AB419" s="70"/>
      <c r="AC419" s="11"/>
    </row>
    <row r="420" spans="1:29" x14ac:dyDescent="0.2">
      <c r="A420" s="11"/>
      <c r="B420" s="11"/>
      <c r="C420" s="11"/>
      <c r="D420" s="11"/>
      <c r="E420" s="11"/>
      <c r="F420" s="7"/>
      <c r="G420" s="7"/>
      <c r="H420" s="7"/>
      <c r="I420" s="7"/>
      <c r="J420" s="7"/>
      <c r="K420" s="6"/>
      <c r="L420" s="6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AB420" s="70"/>
      <c r="AC420" s="11"/>
    </row>
    <row r="421" spans="1:29" x14ac:dyDescent="0.2">
      <c r="A421" s="11"/>
      <c r="B421" s="11"/>
      <c r="C421" s="11"/>
      <c r="D421" s="11"/>
      <c r="E421" s="11"/>
      <c r="F421" s="7"/>
      <c r="G421" s="7"/>
      <c r="H421" s="7"/>
      <c r="I421" s="7"/>
      <c r="J421" s="7"/>
      <c r="K421" s="6"/>
      <c r="L421" s="6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AB421" s="70"/>
      <c r="AC421" s="11"/>
    </row>
    <row r="422" spans="1:29" x14ac:dyDescent="0.2">
      <c r="A422" s="11"/>
      <c r="B422" s="11"/>
      <c r="C422" s="11"/>
      <c r="D422" s="11"/>
      <c r="E422" s="11"/>
      <c r="F422" s="7"/>
      <c r="G422" s="7"/>
      <c r="H422" s="7"/>
      <c r="I422" s="7"/>
      <c r="J422" s="7"/>
      <c r="K422" s="6"/>
      <c r="L422" s="6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AB422" s="70"/>
      <c r="AC422" s="11"/>
    </row>
    <row r="423" spans="1:29" x14ac:dyDescent="0.2">
      <c r="A423" s="11"/>
      <c r="B423" s="11"/>
      <c r="C423" s="11"/>
      <c r="D423" s="11"/>
      <c r="E423" s="11"/>
      <c r="F423" s="7"/>
      <c r="G423" s="7"/>
      <c r="H423" s="7"/>
      <c r="I423" s="7"/>
      <c r="J423" s="7"/>
      <c r="K423" s="6"/>
      <c r="L423" s="6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AB423" s="70"/>
      <c r="AC423" s="11"/>
    </row>
    <row r="424" spans="1:29" x14ac:dyDescent="0.2">
      <c r="A424" s="11"/>
      <c r="B424" s="11"/>
      <c r="C424" s="11"/>
      <c r="D424" s="11"/>
      <c r="E424" s="11"/>
      <c r="F424" s="7"/>
      <c r="G424" s="7"/>
      <c r="H424" s="7"/>
      <c r="I424" s="7"/>
      <c r="J424" s="7"/>
      <c r="K424" s="6"/>
      <c r="L424" s="6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AB424" s="70"/>
      <c r="AC424" s="11"/>
    </row>
    <row r="425" spans="1:29" x14ac:dyDescent="0.2">
      <c r="A425" s="11"/>
      <c r="B425" s="11"/>
      <c r="C425" s="11"/>
      <c r="D425" s="11"/>
      <c r="E425" s="11"/>
      <c r="F425" s="7"/>
      <c r="G425" s="7"/>
      <c r="H425" s="7"/>
      <c r="I425" s="7"/>
      <c r="J425" s="7"/>
      <c r="K425" s="6"/>
      <c r="L425" s="6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AB425" s="70"/>
      <c r="AC425" s="11"/>
    </row>
    <row r="426" spans="1:29" x14ac:dyDescent="0.2">
      <c r="A426" s="11"/>
      <c r="B426" s="11"/>
      <c r="C426" s="11"/>
      <c r="D426" s="11"/>
      <c r="E426" s="11"/>
      <c r="F426" s="7"/>
      <c r="G426" s="7"/>
      <c r="H426" s="7"/>
      <c r="I426" s="7"/>
      <c r="J426" s="7"/>
      <c r="K426" s="6"/>
      <c r="L426" s="6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AB426" s="70"/>
      <c r="AC426" s="11"/>
    </row>
    <row r="427" spans="1:29" x14ac:dyDescent="0.2">
      <c r="A427" s="11"/>
      <c r="B427" s="11"/>
      <c r="C427" s="11"/>
      <c r="D427" s="11"/>
      <c r="E427" s="11"/>
      <c r="F427" s="7"/>
      <c r="G427" s="7"/>
      <c r="H427" s="7"/>
      <c r="I427" s="7"/>
      <c r="J427" s="7"/>
      <c r="K427" s="6"/>
      <c r="L427" s="6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AB427" s="70"/>
      <c r="AC427" s="11"/>
    </row>
    <row r="428" spans="1:29" x14ac:dyDescent="0.2">
      <c r="A428" s="11"/>
      <c r="B428" s="11"/>
      <c r="C428" s="11"/>
      <c r="D428" s="11"/>
      <c r="E428" s="11"/>
      <c r="F428" s="7"/>
      <c r="G428" s="7"/>
      <c r="H428" s="7"/>
      <c r="I428" s="7"/>
      <c r="J428" s="7"/>
      <c r="K428" s="6"/>
      <c r="L428" s="6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AB428" s="70"/>
      <c r="AC428" s="11"/>
    </row>
    <row r="429" spans="1:29" x14ac:dyDescent="0.2">
      <c r="A429" s="11"/>
      <c r="B429" s="11"/>
      <c r="C429" s="11"/>
      <c r="D429" s="11"/>
      <c r="E429" s="11"/>
      <c r="F429" s="7"/>
      <c r="G429" s="7"/>
      <c r="H429" s="7"/>
      <c r="I429" s="7"/>
      <c r="J429" s="7"/>
      <c r="K429" s="6"/>
      <c r="L429" s="6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AB429" s="70"/>
      <c r="AC429" s="11"/>
    </row>
    <row r="430" spans="1:29" x14ac:dyDescent="0.2">
      <c r="A430" s="11"/>
      <c r="B430" s="11"/>
      <c r="C430" s="11"/>
      <c r="D430" s="11"/>
      <c r="E430" s="11"/>
      <c r="F430" s="7"/>
      <c r="G430" s="7"/>
      <c r="H430" s="7"/>
      <c r="I430" s="7"/>
      <c r="J430" s="7"/>
      <c r="K430" s="6"/>
      <c r="L430" s="6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AB430" s="70"/>
      <c r="AC430" s="11"/>
    </row>
    <row r="431" spans="1:29" x14ac:dyDescent="0.2">
      <c r="A431" s="11"/>
      <c r="B431" s="11"/>
      <c r="C431" s="11"/>
      <c r="D431" s="11"/>
      <c r="E431" s="11"/>
      <c r="F431" s="7"/>
      <c r="G431" s="7"/>
      <c r="H431" s="7"/>
      <c r="I431" s="7"/>
      <c r="J431" s="7"/>
      <c r="K431" s="6"/>
      <c r="L431" s="6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AB431" s="70"/>
      <c r="AC431" s="11"/>
    </row>
    <row r="432" spans="1:29" x14ac:dyDescent="0.2">
      <c r="A432" s="11"/>
      <c r="B432" s="11"/>
      <c r="C432" s="11"/>
      <c r="D432" s="11"/>
      <c r="E432" s="11"/>
      <c r="F432" s="7"/>
      <c r="G432" s="7"/>
      <c r="H432" s="7"/>
      <c r="I432" s="7"/>
      <c r="J432" s="7"/>
      <c r="K432" s="6"/>
      <c r="L432" s="6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AB432" s="70"/>
      <c r="AC432" s="11"/>
    </row>
    <row r="433" spans="1:29" x14ac:dyDescent="0.2">
      <c r="A433" s="11"/>
      <c r="B433" s="11"/>
      <c r="C433" s="11"/>
      <c r="D433" s="11"/>
      <c r="E433" s="11"/>
      <c r="F433" s="7"/>
      <c r="G433" s="7"/>
      <c r="H433" s="7"/>
      <c r="I433" s="7"/>
      <c r="J433" s="7"/>
      <c r="K433" s="6"/>
      <c r="L433" s="6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AB433" s="70"/>
      <c r="AC433" s="11"/>
    </row>
    <row r="434" spans="1:29" x14ac:dyDescent="0.2">
      <c r="A434" s="11"/>
      <c r="B434" s="11"/>
      <c r="C434" s="11"/>
      <c r="D434" s="11"/>
      <c r="E434" s="11"/>
      <c r="F434" s="7"/>
      <c r="G434" s="7"/>
      <c r="H434" s="7"/>
      <c r="I434" s="7"/>
      <c r="J434" s="7"/>
      <c r="K434" s="6"/>
      <c r="L434" s="6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AB434" s="70"/>
      <c r="AC434" s="11"/>
    </row>
    <row r="435" spans="1:29" x14ac:dyDescent="0.2">
      <c r="A435" s="11"/>
      <c r="B435" s="11"/>
      <c r="C435" s="11"/>
      <c r="D435" s="11"/>
      <c r="E435" s="11"/>
      <c r="F435" s="7"/>
      <c r="G435" s="7"/>
      <c r="H435" s="7"/>
      <c r="I435" s="7"/>
      <c r="J435" s="7"/>
      <c r="K435" s="6"/>
      <c r="L435" s="6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AB435" s="70"/>
      <c r="AC435" s="11"/>
    </row>
    <row r="436" spans="1:29" x14ac:dyDescent="0.2">
      <c r="A436" s="11"/>
      <c r="B436" s="11"/>
      <c r="C436" s="11"/>
      <c r="D436" s="11"/>
      <c r="E436" s="11"/>
      <c r="F436" s="7"/>
      <c r="G436" s="7"/>
      <c r="H436" s="7"/>
      <c r="I436" s="7"/>
      <c r="J436" s="7"/>
      <c r="K436" s="6"/>
      <c r="L436" s="6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AB436" s="70"/>
      <c r="AC436" s="11"/>
    </row>
    <row r="437" spans="1:29" x14ac:dyDescent="0.2">
      <c r="A437" s="11"/>
      <c r="B437" s="11"/>
      <c r="C437" s="11"/>
      <c r="D437" s="11"/>
      <c r="E437" s="11"/>
      <c r="F437" s="7"/>
      <c r="G437" s="7"/>
      <c r="H437" s="7"/>
      <c r="I437" s="7"/>
      <c r="J437" s="7"/>
      <c r="K437" s="6"/>
      <c r="L437" s="6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AB437" s="70"/>
      <c r="AC437" s="11"/>
    </row>
    <row r="438" spans="1:29" x14ac:dyDescent="0.2">
      <c r="A438" s="11"/>
      <c r="B438" s="11"/>
      <c r="C438" s="11"/>
      <c r="D438" s="11"/>
      <c r="E438" s="11"/>
      <c r="F438" s="7"/>
      <c r="G438" s="7"/>
      <c r="H438" s="7"/>
      <c r="I438" s="7"/>
      <c r="J438" s="7"/>
      <c r="K438" s="6"/>
      <c r="L438" s="6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AB438" s="70"/>
      <c r="AC438" s="11"/>
    </row>
    <row r="439" spans="1:29" x14ac:dyDescent="0.2">
      <c r="A439" s="11"/>
      <c r="B439" s="11"/>
      <c r="C439" s="11"/>
      <c r="D439" s="11"/>
      <c r="E439" s="11"/>
      <c r="F439" s="7"/>
      <c r="G439" s="7"/>
      <c r="H439" s="7"/>
      <c r="I439" s="7"/>
      <c r="J439" s="7"/>
      <c r="K439" s="6"/>
      <c r="L439" s="6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AB439" s="70"/>
      <c r="AC439" s="11"/>
    </row>
    <row r="440" spans="1:29" x14ac:dyDescent="0.2">
      <c r="A440" s="11"/>
      <c r="B440" s="11"/>
      <c r="C440" s="11"/>
      <c r="D440" s="11"/>
      <c r="E440" s="11"/>
      <c r="F440" s="7"/>
      <c r="G440" s="7"/>
      <c r="H440" s="7"/>
      <c r="I440" s="7"/>
      <c r="J440" s="7"/>
      <c r="K440" s="6"/>
      <c r="L440" s="6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AB440" s="70"/>
      <c r="AC440" s="11"/>
    </row>
    <row r="441" spans="1:29" x14ac:dyDescent="0.2">
      <c r="A441" s="11"/>
      <c r="B441" s="11"/>
      <c r="C441" s="11"/>
      <c r="D441" s="11"/>
      <c r="E441" s="11"/>
      <c r="F441" s="7"/>
      <c r="G441" s="7"/>
      <c r="H441" s="7"/>
      <c r="I441" s="7"/>
      <c r="J441" s="7"/>
      <c r="K441" s="6"/>
      <c r="L441" s="6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AB441" s="70"/>
      <c r="AC441" s="11"/>
    </row>
    <row r="442" spans="1:29" x14ac:dyDescent="0.2">
      <c r="A442" s="11"/>
      <c r="B442" s="11"/>
      <c r="C442" s="11"/>
      <c r="D442" s="11"/>
      <c r="E442" s="11"/>
      <c r="F442" s="7"/>
      <c r="G442" s="7"/>
      <c r="H442" s="7"/>
      <c r="I442" s="7"/>
      <c r="J442" s="7"/>
      <c r="K442" s="6"/>
      <c r="L442" s="6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AB442" s="70"/>
      <c r="AC442" s="11"/>
    </row>
    <row r="443" spans="1:29" x14ac:dyDescent="0.2">
      <c r="A443" s="11"/>
      <c r="B443" s="11"/>
      <c r="C443" s="11"/>
      <c r="D443" s="11"/>
      <c r="E443" s="11"/>
      <c r="F443" s="7"/>
      <c r="G443" s="7"/>
      <c r="H443" s="7"/>
      <c r="I443" s="7"/>
      <c r="J443" s="7"/>
      <c r="K443" s="6"/>
      <c r="L443" s="6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AB443" s="70"/>
      <c r="AC443" s="11"/>
    </row>
    <row r="444" spans="1:29" x14ac:dyDescent="0.2">
      <c r="A444" s="11"/>
      <c r="B444" s="11"/>
      <c r="C444" s="11"/>
      <c r="D444" s="11"/>
      <c r="E444" s="11"/>
      <c r="F444" s="7"/>
      <c r="G444" s="7"/>
      <c r="H444" s="7"/>
      <c r="I444" s="7"/>
      <c r="J444" s="7"/>
      <c r="K444" s="6"/>
      <c r="L444" s="6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AB444" s="70"/>
      <c r="AC444" s="11"/>
    </row>
    <row r="445" spans="1:29" x14ac:dyDescent="0.2">
      <c r="A445" s="11"/>
      <c r="B445" s="11"/>
      <c r="C445" s="11"/>
      <c r="D445" s="11"/>
      <c r="E445" s="11"/>
      <c r="F445" s="7"/>
      <c r="G445" s="7"/>
      <c r="H445" s="7"/>
      <c r="I445" s="7"/>
      <c r="J445" s="7"/>
      <c r="K445" s="6"/>
      <c r="L445" s="6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AB445" s="70"/>
      <c r="AC445" s="11"/>
    </row>
    <row r="446" spans="1:29" x14ac:dyDescent="0.2">
      <c r="A446" s="11"/>
      <c r="B446" s="11"/>
      <c r="C446" s="11"/>
      <c r="D446" s="11"/>
      <c r="E446" s="11"/>
      <c r="F446" s="7"/>
      <c r="G446" s="7"/>
      <c r="H446" s="7"/>
      <c r="I446" s="7"/>
      <c r="J446" s="7"/>
      <c r="K446" s="6"/>
      <c r="L446" s="6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AB446" s="70"/>
      <c r="AC446" s="11"/>
    </row>
    <row r="447" spans="1:29" x14ac:dyDescent="0.2">
      <c r="A447" s="11"/>
      <c r="B447" s="11"/>
      <c r="C447" s="11"/>
      <c r="D447" s="11"/>
      <c r="E447" s="11"/>
      <c r="F447" s="7"/>
      <c r="G447" s="7"/>
      <c r="H447" s="7"/>
      <c r="I447" s="7"/>
      <c r="J447" s="7"/>
      <c r="K447" s="6"/>
      <c r="L447" s="6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AB447" s="70"/>
      <c r="AC447" s="11"/>
    </row>
    <row r="448" spans="1:29" x14ac:dyDescent="0.2">
      <c r="A448" s="11"/>
      <c r="B448" s="11"/>
      <c r="C448" s="11"/>
      <c r="D448" s="11"/>
      <c r="E448" s="11"/>
      <c r="F448" s="7"/>
      <c r="G448" s="7"/>
      <c r="H448" s="7"/>
      <c r="I448" s="7"/>
      <c r="J448" s="7"/>
      <c r="K448" s="6"/>
      <c r="L448" s="6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AB448" s="70"/>
      <c r="AC448" s="11"/>
    </row>
    <row r="449" spans="1:29" x14ac:dyDescent="0.2">
      <c r="A449" s="11"/>
      <c r="B449" s="11"/>
      <c r="C449" s="11"/>
      <c r="D449" s="11"/>
      <c r="E449" s="11"/>
      <c r="F449" s="7"/>
      <c r="G449" s="7"/>
      <c r="H449" s="7"/>
      <c r="I449" s="7"/>
      <c r="J449" s="7"/>
      <c r="K449" s="6"/>
      <c r="L449" s="6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AB449" s="70"/>
      <c r="AC449" s="11"/>
    </row>
    <row r="450" spans="1:29" x14ac:dyDescent="0.2">
      <c r="A450" s="11"/>
      <c r="B450" s="11"/>
      <c r="C450" s="11"/>
      <c r="D450" s="11"/>
      <c r="E450" s="11"/>
      <c r="F450" s="7"/>
      <c r="G450" s="7"/>
      <c r="H450" s="7"/>
      <c r="I450" s="7"/>
      <c r="J450" s="7"/>
      <c r="K450" s="6"/>
      <c r="L450" s="6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AB450" s="70"/>
      <c r="AC450" s="11"/>
    </row>
    <row r="451" spans="1:29" x14ac:dyDescent="0.2">
      <c r="A451" s="11"/>
      <c r="B451" s="11"/>
      <c r="C451" s="11"/>
      <c r="D451" s="11"/>
      <c r="E451" s="11"/>
      <c r="F451" s="7"/>
      <c r="G451" s="7"/>
      <c r="H451" s="7"/>
      <c r="I451" s="7"/>
      <c r="J451" s="7"/>
      <c r="K451" s="6"/>
      <c r="L451" s="6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AB451" s="70"/>
      <c r="AC451" s="11"/>
    </row>
    <row r="452" spans="1:29" x14ac:dyDescent="0.2">
      <c r="A452" s="11"/>
      <c r="B452" s="11"/>
      <c r="C452" s="11"/>
      <c r="D452" s="11"/>
      <c r="E452" s="11"/>
      <c r="F452" s="7"/>
      <c r="G452" s="7"/>
      <c r="H452" s="7"/>
      <c r="I452" s="7"/>
      <c r="J452" s="7"/>
      <c r="K452" s="6"/>
      <c r="L452" s="6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AB452" s="70"/>
      <c r="AC452" s="11"/>
    </row>
    <row r="453" spans="1:29" x14ac:dyDescent="0.2">
      <c r="A453" s="11"/>
      <c r="B453" s="11"/>
      <c r="C453" s="11"/>
      <c r="D453" s="11"/>
      <c r="E453" s="11"/>
      <c r="F453" s="7"/>
      <c r="G453" s="7"/>
      <c r="H453" s="7"/>
      <c r="I453" s="7"/>
      <c r="J453" s="7"/>
      <c r="K453" s="6"/>
      <c r="L453" s="6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AB453" s="70"/>
      <c r="AC453" s="11"/>
    </row>
    <row r="454" spans="1:29" x14ac:dyDescent="0.2">
      <c r="A454" s="11"/>
      <c r="B454" s="11"/>
      <c r="C454" s="11"/>
      <c r="D454" s="11"/>
      <c r="E454" s="11"/>
      <c r="F454" s="7"/>
      <c r="G454" s="7"/>
      <c r="H454" s="7"/>
      <c r="I454" s="7"/>
      <c r="J454" s="7"/>
      <c r="K454" s="6"/>
      <c r="L454" s="6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AB454" s="70"/>
      <c r="AC454" s="11"/>
    </row>
    <row r="455" spans="1:29" x14ac:dyDescent="0.2">
      <c r="A455" s="11"/>
      <c r="B455" s="11"/>
      <c r="C455" s="11"/>
      <c r="D455" s="11"/>
      <c r="E455" s="11"/>
      <c r="F455" s="7"/>
      <c r="G455" s="7"/>
      <c r="H455" s="7"/>
      <c r="I455" s="7"/>
      <c r="J455" s="7"/>
      <c r="K455" s="6"/>
      <c r="L455" s="6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AB455" s="70"/>
      <c r="AC455" s="11"/>
    </row>
    <row r="456" spans="1:29" x14ac:dyDescent="0.2">
      <c r="A456" s="11"/>
      <c r="B456" s="11"/>
      <c r="C456" s="11"/>
      <c r="D456" s="11"/>
      <c r="E456" s="11"/>
      <c r="F456" s="7"/>
      <c r="G456" s="7"/>
      <c r="H456" s="7"/>
      <c r="I456" s="7"/>
      <c r="J456" s="7"/>
      <c r="K456" s="6"/>
      <c r="L456" s="6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AB456" s="70"/>
      <c r="AC456" s="11"/>
    </row>
    <row r="457" spans="1:29" x14ac:dyDescent="0.2">
      <c r="A457" s="11"/>
      <c r="B457" s="11"/>
      <c r="C457" s="11"/>
      <c r="D457" s="11"/>
      <c r="E457" s="11"/>
      <c r="F457" s="7"/>
      <c r="G457" s="7"/>
      <c r="H457" s="7"/>
      <c r="I457" s="7"/>
      <c r="J457" s="7"/>
      <c r="K457" s="6"/>
      <c r="L457" s="6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AB457" s="70"/>
      <c r="AC457" s="11"/>
    </row>
    <row r="458" spans="1:29" x14ac:dyDescent="0.2">
      <c r="A458" s="11"/>
      <c r="B458" s="11"/>
      <c r="C458" s="11"/>
      <c r="D458" s="11"/>
      <c r="E458" s="11"/>
      <c r="F458" s="7"/>
      <c r="G458" s="7"/>
      <c r="H458" s="7"/>
      <c r="I458" s="7"/>
      <c r="J458" s="7"/>
      <c r="K458" s="6"/>
      <c r="L458" s="6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AB458" s="70"/>
      <c r="AC458" s="11"/>
    </row>
    <row r="459" spans="1:29" x14ac:dyDescent="0.2">
      <c r="A459" s="11"/>
      <c r="B459" s="11"/>
      <c r="C459" s="11"/>
      <c r="D459" s="11"/>
      <c r="E459" s="11"/>
      <c r="F459" s="7"/>
      <c r="G459" s="7"/>
      <c r="H459" s="7"/>
      <c r="I459" s="7"/>
      <c r="J459" s="7"/>
      <c r="K459" s="6"/>
      <c r="L459" s="6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AB459" s="70"/>
      <c r="AC459" s="11"/>
    </row>
    <row r="460" spans="1:29" x14ac:dyDescent="0.2">
      <c r="A460" s="11"/>
      <c r="B460" s="11"/>
      <c r="C460" s="11"/>
      <c r="D460" s="11"/>
      <c r="E460" s="11"/>
      <c r="F460" s="7"/>
      <c r="G460" s="7"/>
      <c r="H460" s="7"/>
      <c r="I460" s="7"/>
      <c r="J460" s="7"/>
      <c r="K460" s="6"/>
      <c r="L460" s="6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AB460" s="70"/>
      <c r="AC460" s="11"/>
    </row>
    <row r="461" spans="1:29" x14ac:dyDescent="0.2">
      <c r="A461" s="11"/>
      <c r="B461" s="11"/>
      <c r="C461" s="11"/>
      <c r="D461" s="11"/>
      <c r="E461" s="11"/>
      <c r="F461" s="7"/>
      <c r="G461" s="7"/>
      <c r="H461" s="7"/>
      <c r="I461" s="7"/>
      <c r="J461" s="7"/>
      <c r="K461" s="6"/>
      <c r="L461" s="6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AB461" s="70"/>
      <c r="AC461" s="11"/>
    </row>
    <row r="462" spans="1:29" x14ac:dyDescent="0.2">
      <c r="A462" s="11"/>
      <c r="B462" s="11"/>
      <c r="C462" s="11"/>
      <c r="D462" s="11"/>
      <c r="E462" s="11"/>
      <c r="F462" s="7"/>
      <c r="G462" s="7"/>
      <c r="H462" s="7"/>
      <c r="I462" s="7"/>
      <c r="J462" s="7"/>
      <c r="K462" s="6"/>
      <c r="L462" s="6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AB462" s="70"/>
      <c r="AC462" s="11"/>
    </row>
    <row r="463" spans="1:29" x14ac:dyDescent="0.2">
      <c r="A463" s="11"/>
      <c r="B463" s="11"/>
      <c r="C463" s="11"/>
      <c r="D463" s="11"/>
      <c r="E463" s="11"/>
      <c r="F463" s="7"/>
      <c r="G463" s="7"/>
      <c r="H463" s="7"/>
      <c r="I463" s="7"/>
      <c r="J463" s="7"/>
      <c r="K463" s="6"/>
      <c r="L463" s="6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AB463" s="70"/>
      <c r="AC463" s="11"/>
    </row>
    <row r="464" spans="1:29" x14ac:dyDescent="0.2">
      <c r="A464" s="11"/>
      <c r="B464" s="11"/>
      <c r="C464" s="11"/>
      <c r="D464" s="11"/>
      <c r="E464" s="11"/>
      <c r="F464" s="7"/>
      <c r="G464" s="7"/>
      <c r="H464" s="7"/>
      <c r="I464" s="7"/>
      <c r="J464" s="7"/>
      <c r="K464" s="6"/>
      <c r="L464" s="6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AB464" s="70"/>
      <c r="AC464" s="11"/>
    </row>
    <row r="465" spans="1:29" x14ac:dyDescent="0.2">
      <c r="A465" s="11"/>
      <c r="B465" s="11"/>
      <c r="C465" s="11"/>
      <c r="D465" s="11"/>
      <c r="E465" s="11"/>
      <c r="F465" s="7"/>
      <c r="G465" s="7"/>
      <c r="H465" s="7"/>
      <c r="I465" s="7"/>
      <c r="J465" s="7"/>
      <c r="K465" s="6"/>
      <c r="L465" s="6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AB465" s="70"/>
      <c r="AC465" s="11"/>
    </row>
    <row r="466" spans="1:29" x14ac:dyDescent="0.2">
      <c r="A466" s="11"/>
      <c r="B466" s="11"/>
      <c r="C466" s="11"/>
      <c r="D466" s="11"/>
      <c r="E466" s="11"/>
      <c r="F466" s="7"/>
      <c r="G466" s="7"/>
      <c r="H466" s="7"/>
      <c r="I466" s="7"/>
      <c r="J466" s="7"/>
      <c r="K466" s="6"/>
      <c r="L466" s="6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AB466" s="70"/>
      <c r="AC466" s="11"/>
    </row>
    <row r="467" spans="1:29" x14ac:dyDescent="0.2">
      <c r="A467" s="11"/>
      <c r="B467" s="11"/>
      <c r="C467" s="11"/>
      <c r="D467" s="11"/>
      <c r="E467" s="11"/>
      <c r="F467" s="7"/>
      <c r="G467" s="7"/>
      <c r="H467" s="7"/>
      <c r="I467" s="7"/>
      <c r="J467" s="7"/>
      <c r="K467" s="6"/>
      <c r="L467" s="6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AB467" s="70"/>
      <c r="AC467" s="11"/>
    </row>
    <row r="468" spans="1:29" x14ac:dyDescent="0.2">
      <c r="A468" s="11"/>
      <c r="B468" s="11"/>
      <c r="C468" s="11"/>
      <c r="D468" s="11"/>
      <c r="E468" s="11"/>
      <c r="F468" s="7"/>
      <c r="G468" s="7"/>
      <c r="H468" s="7"/>
      <c r="I468" s="7"/>
      <c r="J468" s="7"/>
      <c r="K468" s="6"/>
      <c r="L468" s="6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AB468" s="70"/>
      <c r="AC468" s="11"/>
    </row>
    <row r="469" spans="1:29" x14ac:dyDescent="0.2">
      <c r="A469" s="11"/>
      <c r="B469" s="11"/>
      <c r="C469" s="11"/>
      <c r="D469" s="11"/>
      <c r="E469" s="11"/>
      <c r="F469" s="7"/>
      <c r="G469" s="7"/>
      <c r="H469" s="7"/>
      <c r="I469" s="7"/>
      <c r="J469" s="7"/>
      <c r="K469" s="6"/>
      <c r="L469" s="6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AB469" s="70"/>
      <c r="AC469" s="11"/>
    </row>
    <row r="470" spans="1:29" x14ac:dyDescent="0.2">
      <c r="A470" s="11"/>
      <c r="B470" s="11"/>
      <c r="C470" s="11"/>
      <c r="D470" s="11"/>
      <c r="E470" s="11"/>
      <c r="F470" s="7"/>
      <c r="G470" s="7"/>
      <c r="H470" s="7"/>
      <c r="I470" s="7"/>
      <c r="J470" s="7"/>
      <c r="K470" s="6"/>
      <c r="L470" s="6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AB470" s="70"/>
      <c r="AC470" s="11"/>
    </row>
    <row r="471" spans="1:29" x14ac:dyDescent="0.2">
      <c r="A471" s="11"/>
      <c r="B471" s="11"/>
      <c r="C471" s="11"/>
      <c r="D471" s="11"/>
      <c r="E471" s="11"/>
      <c r="F471" s="7"/>
      <c r="G471" s="7"/>
      <c r="H471" s="7"/>
      <c r="I471" s="7"/>
      <c r="J471" s="7"/>
      <c r="K471" s="6"/>
      <c r="L471" s="6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AB471" s="70"/>
      <c r="AC471" s="11"/>
    </row>
    <row r="472" spans="1:29" x14ac:dyDescent="0.2">
      <c r="A472" s="11"/>
      <c r="B472" s="11"/>
      <c r="C472" s="11"/>
      <c r="D472" s="11"/>
      <c r="E472" s="11"/>
      <c r="F472" s="7"/>
      <c r="G472" s="7"/>
      <c r="H472" s="7"/>
      <c r="I472" s="7"/>
      <c r="J472" s="7"/>
      <c r="K472" s="6"/>
      <c r="L472" s="6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AB472" s="70"/>
      <c r="AC472" s="11"/>
    </row>
    <row r="473" spans="1:29" x14ac:dyDescent="0.2">
      <c r="A473" s="11"/>
      <c r="B473" s="11"/>
      <c r="C473" s="11"/>
      <c r="D473" s="11"/>
      <c r="E473" s="11"/>
      <c r="F473" s="7"/>
      <c r="G473" s="7"/>
      <c r="H473" s="7"/>
      <c r="I473" s="7"/>
      <c r="J473" s="7"/>
      <c r="K473" s="6"/>
      <c r="L473" s="6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AB473" s="70"/>
      <c r="AC473" s="11"/>
    </row>
    <row r="474" spans="1:29" x14ac:dyDescent="0.2">
      <c r="A474" s="11"/>
      <c r="B474" s="11"/>
      <c r="C474" s="11"/>
      <c r="D474" s="11"/>
      <c r="E474" s="11"/>
      <c r="F474" s="7"/>
      <c r="G474" s="7"/>
      <c r="H474" s="7"/>
      <c r="I474" s="7"/>
      <c r="J474" s="7"/>
      <c r="K474" s="6"/>
      <c r="L474" s="6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AB474" s="70"/>
      <c r="AC474" s="11"/>
    </row>
    <row r="475" spans="1:29" x14ac:dyDescent="0.2">
      <c r="A475" s="11"/>
      <c r="B475" s="11"/>
      <c r="C475" s="11"/>
      <c r="D475" s="11"/>
      <c r="E475" s="11"/>
      <c r="F475" s="7"/>
      <c r="G475" s="7"/>
      <c r="H475" s="7"/>
      <c r="I475" s="7"/>
      <c r="J475" s="7"/>
      <c r="K475" s="6"/>
      <c r="L475" s="6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AB475" s="70"/>
      <c r="AC475" s="11"/>
    </row>
    <row r="476" spans="1:29" x14ac:dyDescent="0.2">
      <c r="A476" s="11"/>
      <c r="B476" s="11"/>
      <c r="C476" s="11"/>
      <c r="D476" s="11"/>
      <c r="E476" s="11"/>
      <c r="F476" s="7"/>
      <c r="G476" s="7"/>
      <c r="H476" s="7"/>
      <c r="I476" s="7"/>
      <c r="J476" s="7"/>
      <c r="K476" s="6"/>
      <c r="L476" s="6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AB476" s="70"/>
      <c r="AC476" s="11"/>
    </row>
    <row r="477" spans="1:29" x14ac:dyDescent="0.2">
      <c r="A477" s="11"/>
      <c r="B477" s="11"/>
      <c r="C477" s="11"/>
      <c r="D477" s="11"/>
      <c r="E477" s="11"/>
      <c r="F477" s="7"/>
      <c r="G477" s="7"/>
      <c r="H477" s="7"/>
      <c r="I477" s="7"/>
      <c r="J477" s="7"/>
      <c r="K477" s="6"/>
      <c r="L477" s="6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AB477" s="70"/>
      <c r="AC477" s="11"/>
    </row>
    <row r="478" spans="1:29" x14ac:dyDescent="0.2">
      <c r="A478" s="11"/>
      <c r="B478" s="11"/>
      <c r="C478" s="11"/>
      <c r="D478" s="11"/>
      <c r="E478" s="11"/>
      <c r="F478" s="7"/>
      <c r="G478" s="7"/>
      <c r="H478" s="7"/>
      <c r="I478" s="7"/>
      <c r="J478" s="7"/>
      <c r="K478" s="6"/>
      <c r="L478" s="6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AB478" s="70"/>
      <c r="AC478" s="11"/>
    </row>
    <row r="479" spans="1:29" x14ac:dyDescent="0.2">
      <c r="A479" s="11"/>
      <c r="B479" s="11"/>
      <c r="C479" s="11"/>
      <c r="D479" s="11"/>
      <c r="E479" s="11"/>
      <c r="F479" s="7"/>
      <c r="G479" s="7"/>
      <c r="H479" s="7"/>
      <c r="I479" s="7"/>
      <c r="J479" s="7"/>
      <c r="K479" s="6"/>
      <c r="L479" s="6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AB479" s="70"/>
      <c r="AC479" s="11"/>
    </row>
    <row r="480" spans="1:29" x14ac:dyDescent="0.2">
      <c r="A480" s="11"/>
      <c r="B480" s="11"/>
      <c r="C480" s="11"/>
      <c r="D480" s="11"/>
      <c r="E480" s="11"/>
      <c r="F480" s="7"/>
      <c r="G480" s="7"/>
      <c r="H480" s="7"/>
      <c r="I480" s="7"/>
      <c r="J480" s="7"/>
      <c r="K480" s="6"/>
      <c r="L480" s="6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AB480" s="70"/>
      <c r="AC480" s="11"/>
    </row>
    <row r="481" spans="1:29" x14ac:dyDescent="0.2">
      <c r="A481" s="11"/>
      <c r="B481" s="11"/>
      <c r="C481" s="11"/>
      <c r="D481" s="11"/>
      <c r="E481" s="11"/>
      <c r="F481" s="7"/>
      <c r="G481" s="7"/>
      <c r="H481" s="7"/>
      <c r="I481" s="7"/>
      <c r="J481" s="7"/>
      <c r="K481" s="6"/>
      <c r="L481" s="6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AB481" s="70"/>
      <c r="AC481" s="11"/>
    </row>
    <row r="482" spans="1:29" x14ac:dyDescent="0.2">
      <c r="A482" s="11"/>
      <c r="B482" s="11"/>
      <c r="C482" s="11"/>
      <c r="D482" s="11"/>
      <c r="E482" s="11"/>
      <c r="F482" s="7"/>
      <c r="G482" s="7"/>
      <c r="H482" s="7"/>
      <c r="I482" s="7"/>
      <c r="J482" s="7"/>
      <c r="K482" s="6"/>
      <c r="L482" s="6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AB482" s="70"/>
      <c r="AC482" s="11"/>
    </row>
    <row r="483" spans="1:29" x14ac:dyDescent="0.2">
      <c r="A483" s="11"/>
      <c r="B483" s="11"/>
      <c r="C483" s="11"/>
      <c r="D483" s="11"/>
      <c r="E483" s="11"/>
      <c r="F483" s="7"/>
      <c r="G483" s="7"/>
      <c r="H483" s="7"/>
      <c r="I483" s="7"/>
      <c r="J483" s="7"/>
      <c r="K483" s="6"/>
      <c r="L483" s="6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AB483" s="70"/>
      <c r="AC483" s="11"/>
    </row>
    <row r="484" spans="1:29" x14ac:dyDescent="0.2">
      <c r="A484" s="11"/>
      <c r="B484" s="11"/>
      <c r="C484" s="11"/>
      <c r="D484" s="11"/>
      <c r="E484" s="11"/>
      <c r="F484" s="7"/>
      <c r="G484" s="7"/>
      <c r="H484" s="7"/>
      <c r="I484" s="7"/>
      <c r="J484" s="7"/>
      <c r="K484" s="6"/>
      <c r="L484" s="6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AB484" s="70"/>
      <c r="AC484" s="11"/>
    </row>
    <row r="485" spans="1:29" x14ac:dyDescent="0.2">
      <c r="A485" s="11"/>
      <c r="B485" s="11"/>
      <c r="C485" s="11"/>
      <c r="D485" s="11"/>
      <c r="E485" s="11"/>
      <c r="F485" s="7"/>
      <c r="G485" s="7"/>
      <c r="H485" s="7"/>
      <c r="I485" s="7"/>
      <c r="J485" s="7"/>
      <c r="K485" s="6"/>
      <c r="L485" s="6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AB485" s="70"/>
      <c r="AC485" s="11"/>
    </row>
    <row r="486" spans="1:29" x14ac:dyDescent="0.2">
      <c r="A486" s="11"/>
      <c r="B486" s="11"/>
      <c r="C486" s="11"/>
      <c r="D486" s="11"/>
      <c r="E486" s="11"/>
      <c r="F486" s="7"/>
      <c r="G486" s="7"/>
      <c r="H486" s="7"/>
      <c r="I486" s="7"/>
      <c r="J486" s="7"/>
      <c r="K486" s="6"/>
      <c r="L486" s="6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AB486" s="70"/>
      <c r="AC486" s="11"/>
    </row>
    <row r="487" spans="1:29" x14ac:dyDescent="0.2">
      <c r="A487" s="11"/>
      <c r="B487" s="11"/>
      <c r="C487" s="11"/>
      <c r="D487" s="11"/>
      <c r="E487" s="11"/>
      <c r="F487" s="7"/>
      <c r="G487" s="7"/>
      <c r="H487" s="7"/>
      <c r="I487" s="7"/>
      <c r="J487" s="7"/>
      <c r="K487" s="6"/>
      <c r="L487" s="6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AB487" s="70"/>
      <c r="AC487" s="11"/>
    </row>
    <row r="488" spans="1:29" x14ac:dyDescent="0.2">
      <c r="A488" s="11"/>
      <c r="B488" s="11"/>
      <c r="C488" s="11"/>
      <c r="D488" s="11"/>
      <c r="E488" s="11"/>
      <c r="F488" s="7"/>
      <c r="G488" s="7"/>
      <c r="H488" s="7"/>
      <c r="I488" s="7"/>
      <c r="J488" s="7"/>
      <c r="K488" s="6"/>
      <c r="L488" s="6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AB488" s="70"/>
      <c r="AC488" s="11"/>
    </row>
    <row r="489" spans="1:29" x14ac:dyDescent="0.2">
      <c r="A489" s="11"/>
      <c r="B489" s="11"/>
      <c r="C489" s="11"/>
      <c r="D489" s="11"/>
      <c r="E489" s="11"/>
      <c r="F489" s="7"/>
      <c r="G489" s="7"/>
      <c r="H489" s="7"/>
      <c r="I489" s="7"/>
      <c r="J489" s="7"/>
      <c r="K489" s="6"/>
      <c r="L489" s="6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AB489" s="70"/>
      <c r="AC489" s="11"/>
    </row>
    <row r="490" spans="1:29" x14ac:dyDescent="0.2">
      <c r="A490" s="11"/>
      <c r="B490" s="11"/>
      <c r="C490" s="11"/>
      <c r="D490" s="11"/>
      <c r="E490" s="11"/>
      <c r="F490" s="7"/>
      <c r="G490" s="7"/>
      <c r="H490" s="7"/>
      <c r="I490" s="7"/>
      <c r="J490" s="7"/>
      <c r="K490" s="6"/>
      <c r="L490" s="6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AB490" s="70"/>
      <c r="AC490" s="11"/>
    </row>
    <row r="491" spans="1:29" x14ac:dyDescent="0.2">
      <c r="A491" s="11"/>
      <c r="B491" s="11"/>
      <c r="C491" s="11"/>
      <c r="D491" s="11"/>
      <c r="E491" s="11"/>
      <c r="F491" s="7"/>
      <c r="G491" s="7"/>
      <c r="H491" s="7"/>
      <c r="I491" s="7"/>
      <c r="J491" s="7"/>
      <c r="K491" s="6"/>
      <c r="L491" s="6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AB491" s="70"/>
      <c r="AC491" s="11"/>
    </row>
    <row r="492" spans="1:29" x14ac:dyDescent="0.2">
      <c r="A492" s="11"/>
      <c r="B492" s="11"/>
      <c r="C492" s="11"/>
      <c r="D492" s="11"/>
      <c r="E492" s="11"/>
      <c r="F492" s="7"/>
      <c r="G492" s="7"/>
      <c r="H492" s="7"/>
      <c r="I492" s="7"/>
      <c r="J492" s="7"/>
      <c r="K492" s="6"/>
      <c r="L492" s="6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AB492" s="70"/>
      <c r="AC492" s="11"/>
    </row>
    <row r="493" spans="1:29" x14ac:dyDescent="0.2">
      <c r="A493" s="11"/>
      <c r="B493" s="11"/>
      <c r="C493" s="11"/>
      <c r="D493" s="11"/>
      <c r="E493" s="11"/>
      <c r="F493" s="7"/>
      <c r="G493" s="7"/>
      <c r="H493" s="7"/>
      <c r="I493" s="7"/>
      <c r="J493" s="7"/>
      <c r="K493" s="6"/>
      <c r="L493" s="6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AB493" s="70"/>
      <c r="AC493" s="11"/>
    </row>
    <row r="494" spans="1:29" x14ac:dyDescent="0.2">
      <c r="A494" s="11"/>
      <c r="B494" s="11"/>
      <c r="C494" s="11"/>
      <c r="D494" s="11"/>
      <c r="E494" s="11"/>
      <c r="F494" s="7"/>
      <c r="G494" s="7"/>
      <c r="H494" s="7"/>
      <c r="I494" s="7"/>
      <c r="J494" s="7"/>
      <c r="K494" s="6"/>
      <c r="L494" s="6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AB494" s="70"/>
      <c r="AC494" s="11"/>
    </row>
    <row r="495" spans="1:29" x14ac:dyDescent="0.2">
      <c r="A495" s="11"/>
      <c r="B495" s="11"/>
      <c r="C495" s="11"/>
      <c r="D495" s="11"/>
      <c r="E495" s="11"/>
      <c r="F495" s="7"/>
      <c r="G495" s="7"/>
      <c r="H495" s="7"/>
      <c r="I495" s="7"/>
      <c r="J495" s="7"/>
      <c r="K495" s="6"/>
      <c r="L495" s="6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AB495" s="70"/>
      <c r="AC495" s="11"/>
    </row>
    <row r="496" spans="1:29" x14ac:dyDescent="0.2">
      <c r="A496" s="11"/>
      <c r="B496" s="11"/>
      <c r="C496" s="11"/>
      <c r="D496" s="11"/>
      <c r="E496" s="11"/>
      <c r="F496" s="7"/>
      <c r="G496" s="7"/>
      <c r="H496" s="7"/>
      <c r="I496" s="7"/>
      <c r="J496" s="7"/>
      <c r="K496" s="6"/>
      <c r="L496" s="6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AB496" s="70"/>
      <c r="AC496" s="11"/>
    </row>
    <row r="497" spans="1:29" x14ac:dyDescent="0.2">
      <c r="A497" s="11"/>
      <c r="B497" s="11"/>
      <c r="C497" s="11"/>
      <c r="D497" s="11"/>
      <c r="E497" s="11"/>
      <c r="F497" s="7"/>
      <c r="G497" s="7"/>
      <c r="H497" s="7"/>
      <c r="I497" s="7"/>
      <c r="J497" s="7"/>
      <c r="K497" s="6"/>
      <c r="L497" s="6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AB497" s="70"/>
      <c r="AC497" s="11"/>
    </row>
    <row r="498" spans="1:29" x14ac:dyDescent="0.2">
      <c r="A498" s="11"/>
      <c r="B498" s="11"/>
      <c r="C498" s="11"/>
      <c r="D498" s="11"/>
      <c r="E498" s="11"/>
      <c r="F498" s="7"/>
      <c r="G498" s="7"/>
      <c r="H498" s="7"/>
      <c r="I498" s="7"/>
      <c r="J498" s="7"/>
      <c r="K498" s="6"/>
      <c r="L498" s="6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AB498" s="70"/>
      <c r="AC498" s="11"/>
    </row>
    <row r="499" spans="1:29" x14ac:dyDescent="0.2">
      <c r="A499" s="11"/>
      <c r="B499" s="11"/>
      <c r="C499" s="11"/>
      <c r="D499" s="11"/>
      <c r="E499" s="11"/>
      <c r="F499" s="7"/>
      <c r="G499" s="7"/>
      <c r="H499" s="7"/>
      <c r="I499" s="7"/>
      <c r="J499" s="7"/>
      <c r="K499" s="6"/>
      <c r="L499" s="6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AB499" s="70"/>
      <c r="AC499" s="11"/>
    </row>
    <row r="500" spans="1:29" x14ac:dyDescent="0.2">
      <c r="A500" s="11"/>
      <c r="B500" s="11"/>
      <c r="C500" s="11"/>
      <c r="D500" s="11"/>
      <c r="E500" s="11"/>
      <c r="F500" s="7"/>
      <c r="G500" s="7"/>
      <c r="H500" s="7"/>
      <c r="I500" s="7"/>
      <c r="J500" s="7"/>
      <c r="K500" s="6"/>
      <c r="L500" s="6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AB500" s="70"/>
      <c r="AC500" s="11"/>
    </row>
    <row r="501" spans="1:29" x14ac:dyDescent="0.2">
      <c r="A501" s="11"/>
      <c r="B501" s="11"/>
      <c r="C501" s="11"/>
      <c r="D501" s="11"/>
      <c r="E501" s="11"/>
      <c r="F501" s="7"/>
      <c r="G501" s="7"/>
      <c r="H501" s="7"/>
      <c r="I501" s="7"/>
      <c r="J501" s="7"/>
      <c r="K501" s="6"/>
      <c r="L501" s="6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AB501" s="70"/>
      <c r="AC501" s="11"/>
    </row>
    <row r="502" spans="1:29" x14ac:dyDescent="0.2">
      <c r="A502" s="11"/>
      <c r="B502" s="11"/>
      <c r="C502" s="11"/>
      <c r="D502" s="11"/>
      <c r="E502" s="11"/>
      <c r="F502" s="7"/>
      <c r="G502" s="7"/>
      <c r="H502" s="7"/>
      <c r="I502" s="7"/>
      <c r="J502" s="7"/>
      <c r="K502" s="6"/>
      <c r="L502" s="6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AB502" s="70"/>
      <c r="AC502" s="11"/>
    </row>
    <row r="503" spans="1:29" x14ac:dyDescent="0.2">
      <c r="A503" s="11"/>
      <c r="B503" s="11"/>
      <c r="C503" s="11"/>
      <c r="D503" s="11"/>
      <c r="E503" s="11"/>
      <c r="F503" s="7"/>
      <c r="G503" s="7"/>
      <c r="H503" s="7"/>
      <c r="I503" s="7"/>
      <c r="J503" s="7"/>
      <c r="K503" s="6"/>
      <c r="L503" s="6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AB503" s="70"/>
      <c r="AC503" s="11"/>
    </row>
    <row r="504" spans="1:29" x14ac:dyDescent="0.2">
      <c r="A504" s="11"/>
      <c r="B504" s="11"/>
      <c r="C504" s="11"/>
      <c r="D504" s="11"/>
      <c r="E504" s="11"/>
      <c r="F504" s="7"/>
      <c r="G504" s="7"/>
      <c r="H504" s="7"/>
      <c r="I504" s="7"/>
      <c r="J504" s="7"/>
      <c r="K504" s="6"/>
      <c r="L504" s="6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AB504" s="70"/>
      <c r="AC504" s="11"/>
    </row>
    <row r="505" spans="1:29" x14ac:dyDescent="0.2">
      <c r="A505" s="11"/>
      <c r="B505" s="11"/>
      <c r="C505" s="11"/>
      <c r="D505" s="11"/>
      <c r="E505" s="11"/>
      <c r="F505" s="7"/>
      <c r="G505" s="7"/>
      <c r="H505" s="7"/>
      <c r="I505" s="7"/>
      <c r="J505" s="7"/>
      <c r="K505" s="6"/>
      <c r="L505" s="6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AB505" s="70"/>
      <c r="AC505" s="11"/>
    </row>
    <row r="506" spans="1:29" x14ac:dyDescent="0.2">
      <c r="A506" s="11"/>
      <c r="B506" s="11"/>
      <c r="C506" s="11"/>
      <c r="D506" s="11"/>
      <c r="E506" s="11"/>
      <c r="F506" s="7"/>
      <c r="G506" s="7"/>
      <c r="H506" s="7"/>
      <c r="I506" s="7"/>
      <c r="J506" s="7"/>
      <c r="K506" s="6"/>
      <c r="L506" s="6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AB506" s="70"/>
      <c r="AC506" s="11"/>
    </row>
    <row r="507" spans="1:29" x14ac:dyDescent="0.2">
      <c r="A507" s="11"/>
      <c r="B507" s="11"/>
      <c r="C507" s="11"/>
      <c r="D507" s="11"/>
      <c r="E507" s="11"/>
      <c r="F507" s="7"/>
      <c r="G507" s="7"/>
      <c r="H507" s="7"/>
      <c r="I507" s="7"/>
      <c r="J507" s="7"/>
      <c r="K507" s="6"/>
      <c r="L507" s="6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AB507" s="70"/>
      <c r="AC507" s="11"/>
    </row>
    <row r="508" spans="1:29" x14ac:dyDescent="0.2">
      <c r="A508" s="11"/>
      <c r="B508" s="11"/>
      <c r="C508" s="11"/>
      <c r="D508" s="11"/>
      <c r="E508" s="11"/>
      <c r="F508" s="7"/>
      <c r="G508" s="7"/>
      <c r="H508" s="7"/>
      <c r="I508" s="7"/>
      <c r="J508" s="7"/>
      <c r="K508" s="6"/>
      <c r="L508" s="6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AB508" s="70"/>
      <c r="AC508" s="11"/>
    </row>
    <row r="509" spans="1:29" x14ac:dyDescent="0.2">
      <c r="A509" s="11"/>
      <c r="B509" s="11"/>
      <c r="C509" s="11"/>
      <c r="D509" s="11"/>
      <c r="E509" s="11"/>
      <c r="F509" s="7"/>
      <c r="G509" s="7"/>
      <c r="H509" s="7"/>
      <c r="I509" s="7"/>
      <c r="J509" s="7"/>
      <c r="K509" s="6"/>
      <c r="L509" s="6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AB509" s="70"/>
      <c r="AC509" s="11"/>
    </row>
    <row r="510" spans="1:29" x14ac:dyDescent="0.2">
      <c r="A510" s="11"/>
      <c r="B510" s="11"/>
      <c r="C510" s="11"/>
      <c r="D510" s="11"/>
      <c r="E510" s="11"/>
      <c r="F510" s="7"/>
      <c r="G510" s="7"/>
      <c r="H510" s="7"/>
      <c r="I510" s="7"/>
      <c r="J510" s="7"/>
      <c r="K510" s="6"/>
      <c r="L510" s="6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AB510" s="70"/>
      <c r="AC510" s="11"/>
    </row>
    <row r="511" spans="1:29" x14ac:dyDescent="0.2">
      <c r="A511" s="11"/>
      <c r="B511" s="11"/>
      <c r="C511" s="11"/>
      <c r="D511" s="11"/>
      <c r="E511" s="11"/>
      <c r="F511" s="7"/>
      <c r="G511" s="7"/>
      <c r="H511" s="7"/>
      <c r="I511" s="7"/>
      <c r="J511" s="7"/>
      <c r="K511" s="6"/>
      <c r="L511" s="6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AB511" s="70"/>
      <c r="AC511" s="11"/>
    </row>
    <row r="512" spans="1:29" x14ac:dyDescent="0.2">
      <c r="A512" s="11"/>
      <c r="B512" s="11"/>
      <c r="C512" s="11"/>
      <c r="D512" s="11"/>
      <c r="E512" s="11"/>
      <c r="F512" s="7"/>
      <c r="G512" s="7"/>
      <c r="H512" s="7"/>
      <c r="I512" s="7"/>
      <c r="J512" s="7"/>
      <c r="K512" s="6"/>
      <c r="L512" s="6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AB512" s="70"/>
      <c r="AC512" s="11"/>
    </row>
    <row r="513" spans="1:29" x14ac:dyDescent="0.2">
      <c r="A513" s="11"/>
      <c r="B513" s="11"/>
      <c r="C513" s="11"/>
      <c r="D513" s="11"/>
      <c r="E513" s="11"/>
      <c r="F513" s="7"/>
      <c r="G513" s="7"/>
      <c r="H513" s="7"/>
      <c r="I513" s="7"/>
      <c r="J513" s="7"/>
      <c r="K513" s="6"/>
      <c r="L513" s="6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AB513" s="70"/>
      <c r="AC513" s="11"/>
    </row>
    <row r="514" spans="1:29" x14ac:dyDescent="0.2">
      <c r="A514" s="11"/>
      <c r="B514" s="11"/>
      <c r="C514" s="11"/>
      <c r="D514" s="11"/>
      <c r="E514" s="11"/>
      <c r="F514" s="7"/>
      <c r="G514" s="7"/>
      <c r="H514" s="7"/>
      <c r="I514" s="7"/>
      <c r="J514" s="7"/>
      <c r="K514" s="6"/>
      <c r="L514" s="6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AB514" s="70"/>
      <c r="AC514" s="11"/>
    </row>
    <row r="515" spans="1:29" x14ac:dyDescent="0.2">
      <c r="A515" s="11"/>
      <c r="B515" s="11"/>
      <c r="C515" s="11"/>
      <c r="D515" s="11"/>
      <c r="E515" s="11"/>
      <c r="F515" s="7"/>
      <c r="G515" s="7"/>
      <c r="H515" s="7"/>
      <c r="I515" s="7"/>
      <c r="J515" s="7"/>
      <c r="K515" s="6"/>
      <c r="L515" s="6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AB515" s="70"/>
      <c r="AC515" s="11"/>
    </row>
    <row r="516" spans="1:29" x14ac:dyDescent="0.2">
      <c r="A516" s="11"/>
      <c r="B516" s="11"/>
      <c r="C516" s="11"/>
      <c r="D516" s="11"/>
      <c r="E516" s="11"/>
      <c r="F516" s="7"/>
      <c r="G516" s="7"/>
      <c r="H516" s="7"/>
      <c r="I516" s="7"/>
      <c r="J516" s="7"/>
      <c r="K516" s="6"/>
      <c r="L516" s="6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AB516" s="70"/>
      <c r="AC516" s="11"/>
    </row>
    <row r="517" spans="1:29" x14ac:dyDescent="0.2">
      <c r="A517" s="11"/>
      <c r="B517" s="11"/>
      <c r="C517" s="11"/>
      <c r="D517" s="11"/>
      <c r="E517" s="11"/>
      <c r="F517" s="7"/>
      <c r="G517" s="7"/>
      <c r="H517" s="7"/>
      <c r="I517" s="7"/>
      <c r="J517" s="7"/>
      <c r="K517" s="6"/>
      <c r="L517" s="6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AB517" s="70"/>
      <c r="AC517" s="11"/>
    </row>
    <row r="518" spans="1:29" x14ac:dyDescent="0.2">
      <c r="A518" s="11"/>
      <c r="B518" s="11"/>
      <c r="C518" s="11"/>
      <c r="D518" s="11"/>
      <c r="E518" s="11"/>
      <c r="F518" s="7"/>
      <c r="G518" s="7"/>
      <c r="H518" s="7"/>
      <c r="I518" s="7"/>
      <c r="J518" s="7"/>
      <c r="K518" s="6"/>
      <c r="L518" s="6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AB518" s="70"/>
      <c r="AC518" s="11"/>
    </row>
    <row r="519" spans="1:29" x14ac:dyDescent="0.2">
      <c r="A519" s="11"/>
      <c r="B519" s="11"/>
      <c r="C519" s="11"/>
      <c r="D519" s="11"/>
      <c r="E519" s="11"/>
      <c r="F519" s="7"/>
      <c r="G519" s="7"/>
      <c r="H519" s="7"/>
      <c r="I519" s="7"/>
      <c r="J519" s="7"/>
      <c r="K519" s="6"/>
      <c r="L519" s="6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AB519" s="70"/>
      <c r="AC519" s="11"/>
    </row>
    <row r="520" spans="1:29" x14ac:dyDescent="0.2">
      <c r="A520" s="11"/>
      <c r="B520" s="11"/>
      <c r="C520" s="11"/>
      <c r="D520" s="11"/>
      <c r="E520" s="11"/>
      <c r="F520" s="7"/>
      <c r="G520" s="7"/>
      <c r="H520" s="7"/>
      <c r="I520" s="7"/>
      <c r="J520" s="7"/>
      <c r="K520" s="6"/>
      <c r="L520" s="6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AB520" s="70"/>
      <c r="AC520" s="11"/>
    </row>
    <row r="521" spans="1:29" x14ac:dyDescent="0.2">
      <c r="A521" s="11"/>
      <c r="B521" s="11"/>
      <c r="C521" s="11"/>
      <c r="D521" s="11"/>
      <c r="E521" s="11"/>
      <c r="F521" s="7"/>
      <c r="G521" s="7"/>
      <c r="H521" s="7"/>
      <c r="I521" s="7"/>
      <c r="J521" s="7"/>
      <c r="K521" s="6"/>
      <c r="L521" s="6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AB521" s="70"/>
      <c r="AC521" s="11"/>
    </row>
    <row r="522" spans="1:29" x14ac:dyDescent="0.2">
      <c r="A522" s="11"/>
      <c r="B522" s="11"/>
      <c r="C522" s="11"/>
      <c r="D522" s="11"/>
      <c r="E522" s="11"/>
      <c r="F522" s="7"/>
      <c r="G522" s="7"/>
      <c r="H522" s="7"/>
      <c r="I522" s="7"/>
      <c r="J522" s="7"/>
      <c r="K522" s="6"/>
      <c r="L522" s="6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AB522" s="70"/>
      <c r="AC522" s="11"/>
    </row>
    <row r="523" spans="1:29" x14ac:dyDescent="0.2">
      <c r="A523" s="11"/>
      <c r="B523" s="11"/>
      <c r="C523" s="11"/>
      <c r="D523" s="11"/>
      <c r="E523" s="11"/>
      <c r="F523" s="7"/>
      <c r="G523" s="7"/>
      <c r="H523" s="7"/>
      <c r="I523" s="7"/>
      <c r="J523" s="7"/>
      <c r="K523" s="6"/>
      <c r="L523" s="6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AB523" s="70"/>
      <c r="AC523" s="11"/>
    </row>
    <row r="524" spans="1:29" x14ac:dyDescent="0.2">
      <c r="A524" s="11"/>
      <c r="B524" s="11"/>
      <c r="C524" s="11"/>
      <c r="D524" s="11"/>
      <c r="E524" s="11"/>
      <c r="F524" s="7"/>
      <c r="G524" s="7"/>
      <c r="H524" s="7"/>
      <c r="I524" s="7"/>
      <c r="J524" s="7"/>
      <c r="K524" s="6"/>
      <c r="L524" s="6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AB524" s="70"/>
      <c r="AC524" s="11"/>
    </row>
    <row r="525" spans="1:29" x14ac:dyDescent="0.2">
      <c r="A525" s="11"/>
      <c r="B525" s="11"/>
      <c r="C525" s="11"/>
      <c r="D525" s="11"/>
      <c r="E525" s="11"/>
      <c r="F525" s="7"/>
      <c r="G525" s="7"/>
      <c r="H525" s="7"/>
      <c r="I525" s="7"/>
      <c r="J525" s="7"/>
      <c r="K525" s="6"/>
      <c r="L525" s="6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AB525" s="70"/>
      <c r="AC525" s="11"/>
    </row>
    <row r="526" spans="1:29" x14ac:dyDescent="0.2">
      <c r="A526" s="11"/>
      <c r="B526" s="11"/>
      <c r="C526" s="11"/>
      <c r="D526" s="11"/>
      <c r="E526" s="11"/>
      <c r="F526" s="7"/>
      <c r="G526" s="7"/>
      <c r="H526" s="7"/>
      <c r="I526" s="7"/>
      <c r="J526" s="7"/>
      <c r="K526" s="6"/>
      <c r="L526" s="6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AB526" s="70"/>
      <c r="AC526" s="11"/>
    </row>
    <row r="527" spans="1:29" x14ac:dyDescent="0.2">
      <c r="A527" s="11"/>
      <c r="B527" s="11"/>
      <c r="C527" s="11"/>
      <c r="D527" s="11"/>
      <c r="E527" s="11"/>
      <c r="F527" s="7"/>
      <c r="G527" s="7"/>
      <c r="H527" s="7"/>
      <c r="I527" s="7"/>
      <c r="J527" s="7"/>
      <c r="K527" s="6"/>
      <c r="L527" s="6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AB527" s="70"/>
      <c r="AC527" s="11"/>
    </row>
    <row r="528" spans="1:29" x14ac:dyDescent="0.2">
      <c r="A528" s="11"/>
      <c r="B528" s="11"/>
      <c r="C528" s="11"/>
      <c r="D528" s="11"/>
      <c r="E528" s="11"/>
      <c r="F528" s="7"/>
      <c r="G528" s="7"/>
      <c r="H528" s="7"/>
      <c r="I528" s="7"/>
      <c r="J528" s="7"/>
      <c r="K528" s="6"/>
      <c r="L528" s="6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AB528" s="70"/>
      <c r="AC528" s="11"/>
    </row>
    <row r="529" spans="1:29" x14ac:dyDescent="0.2">
      <c r="A529" s="11"/>
      <c r="B529" s="11"/>
      <c r="C529" s="11"/>
      <c r="D529" s="11"/>
      <c r="E529" s="11"/>
      <c r="F529" s="7"/>
      <c r="G529" s="7"/>
      <c r="H529" s="7"/>
      <c r="I529" s="7"/>
      <c r="J529" s="7"/>
      <c r="K529" s="6"/>
      <c r="L529" s="6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AB529" s="70"/>
      <c r="AC529" s="11"/>
    </row>
    <row r="530" spans="1:29" x14ac:dyDescent="0.2">
      <c r="A530" s="11"/>
      <c r="B530" s="11"/>
      <c r="C530" s="11"/>
      <c r="D530" s="11"/>
      <c r="E530" s="11"/>
      <c r="F530" s="7"/>
      <c r="G530" s="7"/>
      <c r="H530" s="7"/>
      <c r="I530" s="7"/>
      <c r="J530" s="7"/>
      <c r="K530" s="6"/>
      <c r="L530" s="6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AB530" s="70"/>
      <c r="AC530" s="11"/>
    </row>
    <row r="531" spans="1:29" x14ac:dyDescent="0.2">
      <c r="A531" s="11"/>
      <c r="B531" s="11"/>
      <c r="C531" s="11"/>
      <c r="D531" s="11"/>
      <c r="E531" s="11"/>
      <c r="F531" s="7"/>
      <c r="G531" s="7"/>
      <c r="H531" s="7"/>
      <c r="I531" s="7"/>
      <c r="J531" s="7"/>
      <c r="K531" s="6"/>
      <c r="L531" s="6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AB531" s="70"/>
      <c r="AC531" s="11"/>
    </row>
    <row r="532" spans="1:29" x14ac:dyDescent="0.2">
      <c r="A532" s="11"/>
      <c r="B532" s="11"/>
      <c r="C532" s="11"/>
      <c r="D532" s="11"/>
      <c r="E532" s="11"/>
      <c r="F532" s="7"/>
      <c r="G532" s="7"/>
      <c r="H532" s="7"/>
      <c r="I532" s="7"/>
      <c r="J532" s="7"/>
      <c r="K532" s="6"/>
      <c r="L532" s="6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AB532" s="70"/>
      <c r="AC532" s="11"/>
    </row>
    <row r="533" spans="1:29" x14ac:dyDescent="0.2">
      <c r="A533" s="11"/>
      <c r="B533" s="11"/>
      <c r="C533" s="11"/>
      <c r="D533" s="11"/>
      <c r="E533" s="11"/>
      <c r="F533" s="7"/>
      <c r="G533" s="7"/>
      <c r="H533" s="7"/>
      <c r="I533" s="7"/>
      <c r="J533" s="7"/>
      <c r="K533" s="6"/>
      <c r="L533" s="6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AB533" s="70"/>
      <c r="AC533" s="11"/>
    </row>
    <row r="534" spans="1:29" x14ac:dyDescent="0.2">
      <c r="A534" s="11"/>
      <c r="B534" s="11"/>
      <c r="C534" s="11"/>
      <c r="D534" s="11"/>
      <c r="E534" s="11"/>
      <c r="F534" s="7"/>
      <c r="G534" s="7"/>
      <c r="H534" s="7"/>
      <c r="I534" s="7"/>
      <c r="J534" s="7"/>
      <c r="K534" s="6"/>
      <c r="L534" s="6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AB534" s="70"/>
      <c r="AC534" s="11"/>
    </row>
    <row r="535" spans="1:29" x14ac:dyDescent="0.2">
      <c r="A535" s="11"/>
      <c r="B535" s="11"/>
      <c r="C535" s="11"/>
      <c r="D535" s="11"/>
      <c r="E535" s="11"/>
      <c r="F535" s="7"/>
      <c r="G535" s="7"/>
      <c r="H535" s="7"/>
      <c r="I535" s="7"/>
      <c r="J535" s="7"/>
      <c r="K535" s="6"/>
      <c r="L535" s="6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AB535" s="70"/>
      <c r="AC535" s="11"/>
    </row>
    <row r="536" spans="1:29" x14ac:dyDescent="0.2">
      <c r="A536" s="11"/>
      <c r="B536" s="11"/>
      <c r="C536" s="11"/>
      <c r="D536" s="11"/>
      <c r="E536" s="11"/>
      <c r="F536" s="7"/>
      <c r="G536" s="7"/>
      <c r="H536" s="7"/>
      <c r="I536" s="7"/>
      <c r="J536" s="7"/>
      <c r="K536" s="6"/>
      <c r="L536" s="6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AB536" s="70"/>
      <c r="AC536" s="11"/>
    </row>
    <row r="537" spans="1:29" x14ac:dyDescent="0.2">
      <c r="A537" s="11"/>
      <c r="B537" s="11"/>
      <c r="C537" s="11"/>
      <c r="D537" s="11"/>
      <c r="E537" s="11"/>
      <c r="F537" s="7"/>
      <c r="G537" s="7"/>
      <c r="H537" s="7"/>
      <c r="I537" s="7"/>
      <c r="J537" s="7"/>
      <c r="K537" s="6"/>
      <c r="L537" s="6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AB537" s="70"/>
      <c r="AC537" s="11"/>
    </row>
    <row r="538" spans="1:29" x14ac:dyDescent="0.2">
      <c r="A538" s="11"/>
      <c r="B538" s="11"/>
      <c r="C538" s="11"/>
      <c r="D538" s="11"/>
      <c r="E538" s="11"/>
      <c r="F538" s="7"/>
      <c r="G538" s="7"/>
      <c r="H538" s="7"/>
      <c r="I538" s="7"/>
      <c r="J538" s="7"/>
      <c r="K538" s="6"/>
      <c r="L538" s="6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AB538" s="70"/>
      <c r="AC538" s="11"/>
    </row>
    <row r="539" spans="1:29" x14ac:dyDescent="0.2">
      <c r="A539" s="11"/>
      <c r="B539" s="11"/>
      <c r="C539" s="11"/>
      <c r="D539" s="11"/>
      <c r="E539" s="11"/>
      <c r="F539" s="7"/>
      <c r="G539" s="7"/>
      <c r="H539" s="7"/>
      <c r="I539" s="7"/>
      <c r="J539" s="7"/>
      <c r="K539" s="6"/>
      <c r="L539" s="6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AB539" s="70"/>
      <c r="AC539" s="11"/>
    </row>
    <row r="540" spans="1:29" x14ac:dyDescent="0.2">
      <c r="A540" s="11"/>
      <c r="B540" s="11"/>
      <c r="C540" s="11"/>
      <c r="D540" s="11"/>
      <c r="E540" s="11"/>
      <c r="F540" s="7"/>
      <c r="G540" s="7"/>
      <c r="H540" s="7"/>
      <c r="I540" s="7"/>
      <c r="J540" s="7"/>
      <c r="K540" s="6"/>
      <c r="L540" s="6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AB540" s="70"/>
      <c r="AC540" s="11"/>
    </row>
    <row r="541" spans="1:29" x14ac:dyDescent="0.2">
      <c r="A541" s="11"/>
      <c r="B541" s="11"/>
      <c r="C541" s="11"/>
      <c r="D541" s="11"/>
      <c r="E541" s="11"/>
      <c r="F541" s="7"/>
      <c r="G541" s="7"/>
      <c r="H541" s="7"/>
      <c r="I541" s="7"/>
      <c r="J541" s="7"/>
      <c r="K541" s="6"/>
      <c r="L541" s="6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AB541" s="70"/>
      <c r="AC541" s="11"/>
    </row>
    <row r="542" spans="1:29" x14ac:dyDescent="0.2">
      <c r="A542" s="11"/>
      <c r="B542" s="11"/>
      <c r="C542" s="11"/>
      <c r="D542" s="11"/>
      <c r="E542" s="11"/>
      <c r="F542" s="7"/>
      <c r="G542" s="7"/>
      <c r="H542" s="7"/>
      <c r="I542" s="7"/>
      <c r="J542" s="7"/>
      <c r="K542" s="6"/>
      <c r="L542" s="6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AB542" s="70"/>
      <c r="AC542" s="11"/>
    </row>
    <row r="543" spans="1:29" x14ac:dyDescent="0.2">
      <c r="A543" s="11"/>
      <c r="B543" s="11"/>
      <c r="C543" s="11"/>
      <c r="D543" s="11"/>
      <c r="E543" s="11"/>
      <c r="F543" s="7"/>
      <c r="G543" s="7"/>
      <c r="H543" s="7"/>
      <c r="I543" s="7"/>
      <c r="J543" s="7"/>
      <c r="K543" s="6"/>
      <c r="L543" s="6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AB543" s="70"/>
      <c r="AC543" s="11"/>
    </row>
    <row r="544" spans="1:29" x14ac:dyDescent="0.2">
      <c r="A544" s="11"/>
      <c r="B544" s="11"/>
      <c r="C544" s="11"/>
      <c r="D544" s="11"/>
      <c r="E544" s="11"/>
      <c r="F544" s="7"/>
      <c r="G544" s="7"/>
      <c r="H544" s="7"/>
      <c r="I544" s="7"/>
      <c r="J544" s="7"/>
      <c r="K544" s="6"/>
      <c r="L544" s="6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AB544" s="70"/>
      <c r="AC544" s="11"/>
    </row>
    <row r="545" spans="1:29" x14ac:dyDescent="0.2">
      <c r="A545" s="11"/>
      <c r="B545" s="11"/>
      <c r="C545" s="11"/>
      <c r="D545" s="11"/>
      <c r="E545" s="11"/>
      <c r="F545" s="7"/>
      <c r="G545" s="7"/>
      <c r="H545" s="7"/>
      <c r="I545" s="7"/>
      <c r="J545" s="7"/>
      <c r="K545" s="6"/>
      <c r="L545" s="6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AB545" s="70"/>
      <c r="AC545" s="11"/>
    </row>
    <row r="546" spans="1:29" x14ac:dyDescent="0.2">
      <c r="A546" s="11"/>
      <c r="B546" s="11"/>
      <c r="C546" s="11"/>
      <c r="D546" s="11"/>
      <c r="E546" s="11"/>
      <c r="F546" s="7"/>
      <c r="G546" s="7"/>
      <c r="H546" s="7"/>
      <c r="I546" s="7"/>
      <c r="J546" s="7"/>
      <c r="K546" s="6"/>
      <c r="L546" s="6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AB546" s="70"/>
      <c r="AC546" s="11"/>
    </row>
    <row r="547" spans="1:29" x14ac:dyDescent="0.2">
      <c r="A547" s="11"/>
      <c r="B547" s="11"/>
      <c r="C547" s="11"/>
      <c r="D547" s="11"/>
      <c r="E547" s="11"/>
      <c r="F547" s="7"/>
      <c r="G547" s="7"/>
      <c r="H547" s="7"/>
      <c r="I547" s="7"/>
      <c r="J547" s="7"/>
      <c r="K547" s="6"/>
      <c r="L547" s="6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AB547" s="70"/>
      <c r="AC547" s="11"/>
    </row>
    <row r="548" spans="1:29" x14ac:dyDescent="0.2">
      <c r="A548" s="11"/>
      <c r="B548" s="11"/>
      <c r="C548" s="11"/>
      <c r="D548" s="11"/>
      <c r="E548" s="11"/>
      <c r="F548" s="7"/>
      <c r="G548" s="7"/>
      <c r="H548" s="7"/>
      <c r="I548" s="7"/>
      <c r="J548" s="7"/>
      <c r="K548" s="6"/>
      <c r="L548" s="6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AB548" s="70"/>
      <c r="AC548" s="11"/>
    </row>
    <row r="549" spans="1:29" x14ac:dyDescent="0.2">
      <c r="A549" s="11"/>
      <c r="B549" s="11"/>
      <c r="C549" s="11"/>
      <c r="D549" s="11"/>
      <c r="E549" s="11"/>
      <c r="F549" s="7"/>
      <c r="G549" s="7"/>
      <c r="H549" s="7"/>
      <c r="I549" s="7"/>
      <c r="J549" s="7"/>
      <c r="K549" s="6"/>
      <c r="L549" s="6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AB549" s="70"/>
      <c r="AC549" s="11"/>
    </row>
    <row r="550" spans="1:29" x14ac:dyDescent="0.2">
      <c r="A550" s="11"/>
      <c r="B550" s="11"/>
      <c r="C550" s="11"/>
      <c r="D550" s="11"/>
      <c r="E550" s="11"/>
      <c r="F550" s="7"/>
      <c r="G550" s="7"/>
      <c r="H550" s="7"/>
      <c r="I550" s="7"/>
      <c r="J550" s="7"/>
      <c r="K550" s="6"/>
      <c r="L550" s="6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AB550" s="70"/>
      <c r="AC550" s="11"/>
    </row>
    <row r="551" spans="1:29" x14ac:dyDescent="0.2">
      <c r="A551" s="11"/>
      <c r="B551" s="11"/>
      <c r="C551" s="11"/>
      <c r="D551" s="11"/>
      <c r="E551" s="11"/>
      <c r="F551" s="7"/>
      <c r="G551" s="7"/>
      <c r="H551" s="7"/>
      <c r="I551" s="7"/>
      <c r="J551" s="7"/>
      <c r="K551" s="6"/>
      <c r="L551" s="6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AB551" s="70"/>
      <c r="AC551" s="11"/>
    </row>
    <row r="552" spans="1:29" x14ac:dyDescent="0.2">
      <c r="A552" s="11"/>
      <c r="B552" s="11"/>
      <c r="C552" s="11"/>
      <c r="D552" s="11"/>
      <c r="E552" s="11"/>
      <c r="F552" s="7"/>
      <c r="G552" s="7"/>
      <c r="H552" s="7"/>
      <c r="I552" s="7"/>
      <c r="J552" s="7"/>
      <c r="K552" s="6"/>
      <c r="L552" s="6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AB552" s="70"/>
      <c r="AC552" s="11"/>
    </row>
    <row r="553" spans="1:29" x14ac:dyDescent="0.2">
      <c r="A553" s="11"/>
      <c r="B553" s="11"/>
      <c r="C553" s="11"/>
      <c r="D553" s="11"/>
      <c r="E553" s="11"/>
      <c r="F553" s="7"/>
      <c r="G553" s="7"/>
      <c r="H553" s="7"/>
      <c r="I553" s="7"/>
      <c r="J553" s="7"/>
      <c r="K553" s="6"/>
      <c r="L553" s="6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AB553" s="70"/>
      <c r="AC553" s="11"/>
    </row>
    <row r="554" spans="1:29" x14ac:dyDescent="0.2">
      <c r="A554" s="11"/>
      <c r="B554" s="11"/>
      <c r="C554" s="11"/>
      <c r="D554" s="11"/>
      <c r="E554" s="11"/>
      <c r="F554" s="7"/>
      <c r="G554" s="7"/>
      <c r="H554" s="7"/>
      <c r="I554" s="7"/>
      <c r="J554" s="7"/>
      <c r="K554" s="6"/>
      <c r="L554" s="6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AB554" s="70"/>
      <c r="AC554" s="11"/>
    </row>
    <row r="555" spans="1:29" x14ac:dyDescent="0.2">
      <c r="A555" s="11"/>
      <c r="B555" s="11"/>
      <c r="C555" s="11"/>
      <c r="D555" s="11"/>
      <c r="E555" s="11"/>
      <c r="F555" s="7"/>
      <c r="G555" s="7"/>
      <c r="H555" s="7"/>
      <c r="I555" s="7"/>
      <c r="J555" s="7"/>
      <c r="K555" s="6"/>
      <c r="L555" s="6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AB555" s="70"/>
      <c r="AC555" s="11"/>
    </row>
    <row r="556" spans="1:29" x14ac:dyDescent="0.2">
      <c r="A556" s="11"/>
      <c r="B556" s="11"/>
      <c r="C556" s="11"/>
      <c r="D556" s="11"/>
      <c r="E556" s="11"/>
      <c r="F556" s="7"/>
      <c r="G556" s="7"/>
      <c r="H556" s="7"/>
      <c r="I556" s="7"/>
      <c r="J556" s="7"/>
      <c r="K556" s="6"/>
      <c r="L556" s="6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AB556" s="70"/>
      <c r="AC556" s="11"/>
    </row>
    <row r="557" spans="1:29" x14ac:dyDescent="0.2">
      <c r="A557" s="11"/>
      <c r="B557" s="11"/>
      <c r="C557" s="11"/>
      <c r="D557" s="11"/>
      <c r="E557" s="11"/>
      <c r="F557" s="7"/>
      <c r="G557" s="7"/>
      <c r="H557" s="7"/>
      <c r="I557" s="7"/>
      <c r="J557" s="7"/>
      <c r="K557" s="6"/>
      <c r="L557" s="6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AB557" s="70"/>
      <c r="AC557" s="11"/>
    </row>
    <row r="558" spans="1:29" x14ac:dyDescent="0.2">
      <c r="A558" s="11"/>
      <c r="B558" s="11"/>
      <c r="C558" s="11"/>
      <c r="D558" s="11"/>
      <c r="E558" s="11"/>
      <c r="F558" s="7"/>
      <c r="G558" s="7"/>
      <c r="H558" s="7"/>
      <c r="I558" s="7"/>
      <c r="J558" s="7"/>
      <c r="K558" s="6"/>
      <c r="L558" s="6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AB558" s="70"/>
      <c r="AC558" s="11"/>
    </row>
    <row r="559" spans="1:29" x14ac:dyDescent="0.2">
      <c r="A559" s="11"/>
      <c r="B559" s="11"/>
      <c r="C559" s="11"/>
      <c r="D559" s="11"/>
      <c r="E559" s="11"/>
      <c r="F559" s="7"/>
      <c r="G559" s="7"/>
      <c r="H559" s="7"/>
      <c r="I559" s="7"/>
      <c r="J559" s="7"/>
      <c r="K559" s="6"/>
      <c r="L559" s="6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AB559" s="70"/>
      <c r="AC559" s="11"/>
    </row>
    <row r="560" spans="1:29" x14ac:dyDescent="0.2">
      <c r="A560" s="11"/>
      <c r="B560" s="11"/>
      <c r="C560" s="11"/>
      <c r="D560" s="11"/>
      <c r="E560" s="11"/>
      <c r="F560" s="7"/>
      <c r="G560" s="7"/>
      <c r="H560" s="7"/>
      <c r="I560" s="7"/>
      <c r="J560" s="7"/>
      <c r="K560" s="6"/>
      <c r="L560" s="6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AB560" s="70"/>
      <c r="AC560" s="11"/>
    </row>
    <row r="561" spans="1:29" x14ac:dyDescent="0.2">
      <c r="A561" s="11"/>
      <c r="B561" s="11"/>
      <c r="C561" s="11"/>
      <c r="D561" s="11"/>
      <c r="E561" s="11"/>
      <c r="F561" s="7"/>
      <c r="G561" s="7"/>
      <c r="H561" s="7"/>
      <c r="I561" s="7"/>
      <c r="J561" s="7"/>
      <c r="K561" s="6"/>
      <c r="L561" s="6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AB561" s="70"/>
      <c r="AC561" s="11"/>
    </row>
    <row r="562" spans="1:29" x14ac:dyDescent="0.2">
      <c r="A562" s="11"/>
      <c r="B562" s="11"/>
      <c r="C562" s="11"/>
      <c r="D562" s="11"/>
      <c r="E562" s="11"/>
      <c r="F562" s="7"/>
      <c r="G562" s="7"/>
      <c r="H562" s="7"/>
      <c r="I562" s="7"/>
      <c r="J562" s="7"/>
      <c r="K562" s="6"/>
      <c r="L562" s="6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AB562" s="70"/>
      <c r="AC562" s="11"/>
    </row>
    <row r="563" spans="1:29" x14ac:dyDescent="0.2">
      <c r="A563" s="11"/>
      <c r="B563" s="11"/>
      <c r="C563" s="11"/>
      <c r="D563" s="11"/>
      <c r="E563" s="11"/>
      <c r="F563" s="7"/>
      <c r="G563" s="7"/>
      <c r="H563" s="7"/>
      <c r="I563" s="7"/>
      <c r="J563" s="7"/>
      <c r="K563" s="6"/>
      <c r="L563" s="6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AB563" s="70"/>
      <c r="AC563" s="11"/>
    </row>
    <row r="564" spans="1:29" x14ac:dyDescent="0.2">
      <c r="A564" s="11"/>
      <c r="B564" s="11"/>
      <c r="C564" s="11"/>
      <c r="D564" s="11"/>
      <c r="E564" s="11"/>
      <c r="F564" s="7"/>
      <c r="G564" s="7"/>
      <c r="H564" s="7"/>
      <c r="I564" s="7"/>
      <c r="J564" s="7"/>
      <c r="K564" s="6"/>
      <c r="L564" s="6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AB564" s="70"/>
      <c r="AC564" s="11"/>
    </row>
    <row r="565" spans="1:29" x14ac:dyDescent="0.2">
      <c r="A565" s="11"/>
      <c r="B565" s="11"/>
      <c r="C565" s="11"/>
      <c r="D565" s="11"/>
      <c r="E565" s="11"/>
      <c r="F565" s="7"/>
      <c r="G565" s="7"/>
      <c r="H565" s="7"/>
      <c r="I565" s="7"/>
      <c r="J565" s="7"/>
      <c r="K565" s="6"/>
      <c r="L565" s="6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AB565" s="70"/>
      <c r="AC565" s="11"/>
    </row>
    <row r="566" spans="1:29" x14ac:dyDescent="0.2">
      <c r="A566" s="11"/>
      <c r="B566" s="11"/>
      <c r="C566" s="11"/>
      <c r="D566" s="11"/>
      <c r="E566" s="11"/>
      <c r="F566" s="7"/>
      <c r="G566" s="7"/>
      <c r="H566" s="7"/>
      <c r="I566" s="7"/>
      <c r="J566" s="7"/>
      <c r="K566" s="6"/>
      <c r="L566" s="6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AB566" s="70"/>
      <c r="AC566" s="11"/>
    </row>
    <row r="567" spans="1:29" x14ac:dyDescent="0.2">
      <c r="A567" s="11"/>
      <c r="B567" s="11"/>
      <c r="C567" s="11"/>
      <c r="D567" s="11"/>
      <c r="E567" s="11"/>
      <c r="F567" s="7"/>
      <c r="G567" s="7"/>
      <c r="H567" s="7"/>
      <c r="I567" s="7"/>
      <c r="J567" s="7"/>
      <c r="K567" s="6"/>
      <c r="L567" s="6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AB567" s="70"/>
      <c r="AC567" s="11"/>
    </row>
    <row r="568" spans="1:29" x14ac:dyDescent="0.2">
      <c r="A568" s="11"/>
      <c r="B568" s="11"/>
      <c r="C568" s="11"/>
      <c r="D568" s="11"/>
      <c r="E568" s="11"/>
      <c r="F568" s="7"/>
      <c r="G568" s="7"/>
      <c r="H568" s="7"/>
      <c r="I568" s="7"/>
      <c r="J568" s="7"/>
      <c r="K568" s="6"/>
      <c r="L568" s="6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AB568" s="70"/>
      <c r="AC568" s="11"/>
    </row>
    <row r="569" spans="1:29" x14ac:dyDescent="0.2">
      <c r="A569" s="11"/>
      <c r="B569" s="11"/>
      <c r="C569" s="11"/>
      <c r="D569" s="11"/>
      <c r="E569" s="11"/>
      <c r="F569" s="7"/>
      <c r="G569" s="7"/>
      <c r="H569" s="7"/>
      <c r="I569" s="7"/>
      <c r="J569" s="7"/>
      <c r="K569" s="6"/>
      <c r="L569" s="6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AB569" s="70"/>
      <c r="AC569" s="11"/>
    </row>
    <row r="570" spans="1:29" x14ac:dyDescent="0.2">
      <c r="A570" s="11"/>
      <c r="B570" s="11"/>
      <c r="C570" s="11"/>
      <c r="D570" s="11"/>
      <c r="E570" s="11"/>
      <c r="F570" s="7"/>
      <c r="G570" s="7"/>
      <c r="H570" s="7"/>
      <c r="I570" s="7"/>
      <c r="J570" s="7"/>
      <c r="K570" s="6"/>
      <c r="L570" s="6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AB570" s="70"/>
      <c r="AC570" s="11"/>
    </row>
    <row r="571" spans="1:29" x14ac:dyDescent="0.2">
      <c r="A571" s="11"/>
      <c r="B571" s="11"/>
      <c r="C571" s="11"/>
      <c r="D571" s="11"/>
      <c r="E571" s="11"/>
      <c r="F571" s="7"/>
      <c r="G571" s="7"/>
      <c r="H571" s="7"/>
      <c r="I571" s="7"/>
      <c r="J571" s="7"/>
      <c r="K571" s="6"/>
      <c r="L571" s="6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AB571" s="70"/>
      <c r="AC571" s="11"/>
    </row>
    <row r="572" spans="1:29" x14ac:dyDescent="0.2">
      <c r="A572" s="11"/>
      <c r="B572" s="11"/>
      <c r="C572" s="11"/>
      <c r="D572" s="11"/>
      <c r="E572" s="11"/>
      <c r="F572" s="7"/>
      <c r="G572" s="7"/>
      <c r="H572" s="7"/>
      <c r="I572" s="7"/>
      <c r="J572" s="7"/>
      <c r="K572" s="6"/>
      <c r="L572" s="6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AB572" s="70"/>
      <c r="AC572" s="11"/>
    </row>
    <row r="573" spans="1:29" x14ac:dyDescent="0.2">
      <c r="A573" s="11"/>
      <c r="B573" s="11"/>
      <c r="C573" s="11"/>
      <c r="D573" s="11"/>
      <c r="E573" s="11"/>
      <c r="F573" s="7"/>
      <c r="G573" s="7"/>
      <c r="H573" s="7"/>
      <c r="I573" s="7"/>
      <c r="J573" s="7"/>
      <c r="K573" s="6"/>
      <c r="L573" s="6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AB573" s="70"/>
      <c r="AC573" s="11"/>
    </row>
    <row r="574" spans="1:29" x14ac:dyDescent="0.2">
      <c r="A574" s="11"/>
      <c r="B574" s="11"/>
      <c r="C574" s="11"/>
      <c r="D574" s="11"/>
      <c r="E574" s="11"/>
      <c r="F574" s="7"/>
      <c r="G574" s="7"/>
      <c r="H574" s="7"/>
      <c r="I574" s="7"/>
      <c r="J574" s="7"/>
      <c r="K574" s="6"/>
      <c r="L574" s="6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AB574" s="70"/>
      <c r="AC574" s="11"/>
    </row>
    <row r="575" spans="1:29" x14ac:dyDescent="0.2">
      <c r="A575" s="11"/>
      <c r="B575" s="11"/>
      <c r="C575" s="11"/>
      <c r="D575" s="11"/>
      <c r="E575" s="11"/>
      <c r="F575" s="7"/>
      <c r="G575" s="7"/>
      <c r="H575" s="7"/>
      <c r="I575" s="7"/>
      <c r="J575" s="7"/>
      <c r="K575" s="6"/>
      <c r="L575" s="6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AB575" s="70"/>
      <c r="AC575" s="11"/>
    </row>
    <row r="576" spans="1:29" x14ac:dyDescent="0.2">
      <c r="A576" s="11"/>
      <c r="B576" s="11"/>
      <c r="C576" s="11"/>
      <c r="D576" s="11"/>
      <c r="E576" s="11"/>
      <c r="F576" s="7"/>
      <c r="G576" s="7"/>
      <c r="H576" s="7"/>
      <c r="I576" s="7"/>
      <c r="J576" s="7"/>
      <c r="K576" s="6"/>
      <c r="L576" s="6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AB576" s="70"/>
      <c r="AC576" s="11"/>
    </row>
    <row r="577" spans="1:29" x14ac:dyDescent="0.2">
      <c r="A577" s="11"/>
      <c r="B577" s="11"/>
      <c r="C577" s="11"/>
      <c r="D577" s="11"/>
      <c r="E577" s="11"/>
      <c r="F577" s="7"/>
      <c r="G577" s="7"/>
      <c r="H577" s="7"/>
      <c r="I577" s="7"/>
      <c r="J577" s="7"/>
      <c r="K577" s="6"/>
      <c r="L577" s="6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AB577" s="70"/>
      <c r="AC577" s="11"/>
    </row>
    <row r="578" spans="1:29" x14ac:dyDescent="0.2">
      <c r="A578" s="11"/>
      <c r="B578" s="11"/>
      <c r="C578" s="11"/>
      <c r="D578" s="11"/>
      <c r="E578" s="11"/>
      <c r="F578" s="7"/>
      <c r="G578" s="7"/>
      <c r="H578" s="7"/>
      <c r="I578" s="7"/>
      <c r="J578" s="7"/>
      <c r="K578" s="6"/>
      <c r="L578" s="6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AB578" s="70"/>
      <c r="AC578" s="11"/>
    </row>
    <row r="579" spans="1:29" x14ac:dyDescent="0.2">
      <c r="A579" s="11"/>
      <c r="B579" s="11"/>
      <c r="C579" s="11"/>
      <c r="D579" s="11"/>
      <c r="E579" s="11"/>
      <c r="F579" s="7"/>
      <c r="G579" s="7"/>
      <c r="H579" s="7"/>
      <c r="I579" s="7"/>
      <c r="J579" s="7"/>
      <c r="K579" s="6"/>
      <c r="L579" s="6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AB579" s="70"/>
      <c r="AC579" s="11"/>
    </row>
    <row r="580" spans="1:29" x14ac:dyDescent="0.2">
      <c r="A580" s="11"/>
      <c r="B580" s="11"/>
      <c r="C580" s="11"/>
      <c r="D580" s="11"/>
      <c r="E580" s="11"/>
      <c r="F580" s="7"/>
      <c r="G580" s="7"/>
      <c r="H580" s="7"/>
      <c r="I580" s="7"/>
      <c r="J580" s="7"/>
      <c r="K580" s="6"/>
      <c r="L580" s="6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AB580" s="70"/>
      <c r="AC580" s="11"/>
    </row>
    <row r="581" spans="1:29" x14ac:dyDescent="0.2">
      <c r="A581" s="11"/>
      <c r="B581" s="11"/>
      <c r="C581" s="11"/>
      <c r="D581" s="11"/>
      <c r="E581" s="11"/>
      <c r="F581" s="7"/>
      <c r="G581" s="7"/>
      <c r="H581" s="7"/>
      <c r="I581" s="7"/>
      <c r="J581" s="7"/>
      <c r="K581" s="6"/>
      <c r="L581" s="6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AB581" s="70"/>
      <c r="AC581" s="11"/>
    </row>
    <row r="582" spans="1:29" x14ac:dyDescent="0.2">
      <c r="A582" s="11"/>
      <c r="B582" s="11"/>
      <c r="C582" s="11"/>
      <c r="D582" s="11"/>
      <c r="E582" s="11"/>
      <c r="F582" s="7"/>
      <c r="G582" s="7"/>
      <c r="H582" s="7"/>
      <c r="I582" s="7"/>
      <c r="J582" s="7"/>
      <c r="K582" s="6"/>
      <c r="L582" s="6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AB582" s="70"/>
      <c r="AC582" s="11"/>
    </row>
    <row r="583" spans="1:29" x14ac:dyDescent="0.2">
      <c r="A583" s="11"/>
      <c r="B583" s="11"/>
      <c r="C583" s="11"/>
      <c r="D583" s="11"/>
      <c r="E583" s="11"/>
      <c r="F583" s="7"/>
      <c r="G583" s="7"/>
      <c r="H583" s="7"/>
      <c r="I583" s="7"/>
      <c r="J583" s="7"/>
      <c r="K583" s="6"/>
      <c r="L583" s="6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AB583" s="70"/>
      <c r="AC583" s="11"/>
    </row>
    <row r="584" spans="1:29" x14ac:dyDescent="0.2">
      <c r="A584" s="11"/>
      <c r="B584" s="11"/>
      <c r="C584" s="11"/>
      <c r="D584" s="11"/>
      <c r="E584" s="11"/>
      <c r="F584" s="7"/>
      <c r="G584" s="7"/>
      <c r="H584" s="7"/>
      <c r="I584" s="7"/>
      <c r="J584" s="7"/>
      <c r="K584" s="6"/>
      <c r="L584" s="6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AB584" s="70"/>
      <c r="AC584" s="11"/>
    </row>
    <row r="585" spans="1:29" x14ac:dyDescent="0.2">
      <c r="A585" s="11"/>
      <c r="B585" s="11"/>
      <c r="C585" s="11"/>
      <c r="D585" s="11"/>
      <c r="E585" s="11"/>
      <c r="F585" s="7"/>
      <c r="G585" s="7"/>
      <c r="H585" s="7"/>
      <c r="I585" s="7"/>
      <c r="J585" s="7"/>
      <c r="K585" s="6"/>
      <c r="L585" s="6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AB585" s="70"/>
      <c r="AC585" s="11"/>
    </row>
    <row r="586" spans="1:29" x14ac:dyDescent="0.2">
      <c r="A586" s="11"/>
      <c r="B586" s="11"/>
      <c r="C586" s="11"/>
      <c r="D586" s="11"/>
      <c r="E586" s="11"/>
      <c r="F586" s="7"/>
      <c r="G586" s="7"/>
      <c r="H586" s="7"/>
      <c r="I586" s="7"/>
      <c r="J586" s="7"/>
      <c r="K586" s="6"/>
      <c r="L586" s="6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AB586" s="70"/>
      <c r="AC586" s="11"/>
    </row>
    <row r="587" spans="1:29" x14ac:dyDescent="0.2">
      <c r="A587" s="11"/>
      <c r="B587" s="11"/>
      <c r="C587" s="11"/>
      <c r="D587" s="11"/>
      <c r="E587" s="11"/>
      <c r="F587" s="7"/>
      <c r="G587" s="7"/>
      <c r="H587" s="7"/>
      <c r="I587" s="7"/>
      <c r="J587" s="7"/>
      <c r="K587" s="6"/>
      <c r="L587" s="6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AB587" s="70"/>
      <c r="AC587" s="11"/>
    </row>
    <row r="588" spans="1:29" x14ac:dyDescent="0.2">
      <c r="A588" s="11"/>
      <c r="B588" s="11"/>
      <c r="C588" s="11"/>
      <c r="D588" s="11"/>
      <c r="E588" s="11"/>
      <c r="F588" s="7"/>
      <c r="G588" s="7"/>
      <c r="H588" s="7"/>
      <c r="I588" s="7"/>
      <c r="J588" s="7"/>
      <c r="K588" s="6"/>
      <c r="L588" s="6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AB588" s="70"/>
      <c r="AC588" s="11"/>
    </row>
    <row r="589" spans="1:29" x14ac:dyDescent="0.2">
      <c r="A589" s="11"/>
      <c r="B589" s="11"/>
      <c r="C589" s="11"/>
      <c r="D589" s="11"/>
      <c r="E589" s="11"/>
      <c r="F589" s="7"/>
      <c r="G589" s="7"/>
      <c r="H589" s="7"/>
      <c r="I589" s="7"/>
      <c r="J589" s="7"/>
      <c r="K589" s="6"/>
      <c r="L589" s="6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AB589" s="70"/>
      <c r="AC589" s="11"/>
    </row>
    <row r="590" spans="1:29" x14ac:dyDescent="0.2">
      <c r="A590" s="11"/>
      <c r="B590" s="11"/>
      <c r="C590" s="11"/>
      <c r="D590" s="11"/>
      <c r="E590" s="11"/>
      <c r="F590" s="7"/>
      <c r="G590" s="7"/>
      <c r="H590" s="7"/>
      <c r="I590" s="7"/>
      <c r="J590" s="7"/>
      <c r="K590" s="6"/>
      <c r="L590" s="6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AB590" s="70"/>
      <c r="AC590" s="11"/>
    </row>
    <row r="591" spans="1:29" x14ac:dyDescent="0.2">
      <c r="A591" s="11"/>
      <c r="B591" s="11"/>
      <c r="C591" s="11"/>
      <c r="D591" s="11"/>
      <c r="E591" s="11"/>
      <c r="F591" s="7"/>
      <c r="G591" s="7"/>
      <c r="H591" s="7"/>
      <c r="I591" s="7"/>
      <c r="J591" s="7"/>
      <c r="K591" s="6"/>
      <c r="L591" s="6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AB591" s="70"/>
      <c r="AC591" s="11"/>
    </row>
    <row r="592" spans="1:29" x14ac:dyDescent="0.2">
      <c r="A592" s="11"/>
      <c r="B592" s="11"/>
      <c r="C592" s="11"/>
      <c r="D592" s="11"/>
      <c r="E592" s="11"/>
      <c r="F592" s="7"/>
      <c r="G592" s="7"/>
      <c r="H592" s="7"/>
      <c r="I592" s="7"/>
      <c r="J592" s="7"/>
      <c r="K592" s="6"/>
      <c r="L592" s="6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AB592" s="70"/>
      <c r="AC592" s="11"/>
    </row>
    <row r="593" spans="1:29" x14ac:dyDescent="0.2">
      <c r="A593" s="11"/>
      <c r="B593" s="11"/>
      <c r="C593" s="11"/>
      <c r="D593" s="11"/>
      <c r="E593" s="11"/>
      <c r="F593" s="7"/>
      <c r="G593" s="7"/>
      <c r="H593" s="7"/>
      <c r="I593" s="7"/>
      <c r="J593" s="7"/>
      <c r="K593" s="6"/>
      <c r="L593" s="6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AB593" s="70"/>
      <c r="AC593" s="11"/>
    </row>
    <row r="594" spans="1:29" x14ac:dyDescent="0.2">
      <c r="A594" s="11"/>
      <c r="B594" s="11"/>
      <c r="C594" s="11"/>
      <c r="D594" s="11"/>
      <c r="E594" s="11"/>
      <c r="F594" s="7"/>
      <c r="G594" s="7"/>
      <c r="H594" s="7"/>
      <c r="I594" s="7"/>
      <c r="J594" s="7"/>
      <c r="K594" s="6"/>
      <c r="L594" s="6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AB594" s="70"/>
      <c r="AC594" s="11"/>
    </row>
    <row r="595" spans="1:29" x14ac:dyDescent="0.2">
      <c r="A595" s="11"/>
      <c r="B595" s="11"/>
      <c r="C595" s="11"/>
      <c r="D595" s="11"/>
      <c r="E595" s="11"/>
      <c r="F595" s="7"/>
      <c r="G595" s="7"/>
      <c r="H595" s="7"/>
      <c r="I595" s="7"/>
      <c r="J595" s="7"/>
      <c r="K595" s="6"/>
      <c r="L595" s="6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AB595" s="70"/>
      <c r="AC595" s="11"/>
    </row>
    <row r="596" spans="1:29" x14ac:dyDescent="0.2">
      <c r="A596" s="11"/>
      <c r="B596" s="11"/>
      <c r="C596" s="11"/>
      <c r="D596" s="11"/>
      <c r="E596" s="11"/>
      <c r="F596" s="7"/>
      <c r="G596" s="7"/>
      <c r="H596" s="7"/>
      <c r="I596" s="7"/>
      <c r="J596" s="7"/>
      <c r="K596" s="6"/>
      <c r="L596" s="6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AB596" s="70"/>
      <c r="AC596" s="11"/>
    </row>
    <row r="597" spans="1:29" x14ac:dyDescent="0.2">
      <c r="A597" s="11"/>
      <c r="B597" s="11"/>
      <c r="C597" s="11"/>
      <c r="D597" s="11"/>
      <c r="E597" s="11"/>
      <c r="F597" s="7"/>
      <c r="G597" s="7"/>
      <c r="H597" s="7"/>
      <c r="I597" s="7"/>
      <c r="J597" s="7"/>
      <c r="K597" s="6"/>
      <c r="L597" s="6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AB597" s="70"/>
      <c r="AC597" s="11"/>
    </row>
    <row r="598" spans="1:29" x14ac:dyDescent="0.2">
      <c r="A598" s="11"/>
      <c r="B598" s="11"/>
      <c r="C598" s="11"/>
      <c r="D598" s="11"/>
      <c r="E598" s="11"/>
      <c r="F598" s="7"/>
      <c r="G598" s="7"/>
      <c r="H598" s="7"/>
      <c r="I598" s="7"/>
      <c r="J598" s="7"/>
      <c r="K598" s="6"/>
      <c r="L598" s="6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AB598" s="70"/>
      <c r="AC598" s="11"/>
    </row>
    <row r="599" spans="1:29" x14ac:dyDescent="0.2">
      <c r="A599" s="11"/>
      <c r="B599" s="11"/>
      <c r="C599" s="11"/>
      <c r="D599" s="11"/>
      <c r="E599" s="11"/>
      <c r="F599" s="7"/>
      <c r="G599" s="7"/>
      <c r="H599" s="7"/>
      <c r="I599" s="7"/>
      <c r="J599" s="7"/>
      <c r="K599" s="6"/>
      <c r="L599" s="6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AB599" s="70"/>
      <c r="AC599" s="11"/>
    </row>
    <row r="600" spans="1:29" x14ac:dyDescent="0.2">
      <c r="A600" s="11"/>
      <c r="B600" s="11"/>
      <c r="C600" s="11"/>
      <c r="D600" s="11"/>
      <c r="E600" s="11"/>
      <c r="F600" s="7"/>
      <c r="G600" s="7"/>
      <c r="H600" s="7"/>
      <c r="I600" s="7"/>
      <c r="J600" s="7"/>
      <c r="K600" s="6"/>
      <c r="L600" s="6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AB600" s="70"/>
      <c r="AC600" s="11"/>
    </row>
    <row r="601" spans="1:29" x14ac:dyDescent="0.2">
      <c r="A601" s="11"/>
      <c r="B601" s="11"/>
      <c r="C601" s="11"/>
      <c r="D601" s="11"/>
      <c r="E601" s="11"/>
      <c r="F601" s="7"/>
      <c r="G601" s="7"/>
      <c r="H601" s="7"/>
      <c r="I601" s="7"/>
      <c r="J601" s="7"/>
      <c r="K601" s="6"/>
      <c r="L601" s="6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AB601" s="70"/>
      <c r="AC601" s="11"/>
    </row>
    <row r="602" spans="1:29" x14ac:dyDescent="0.2">
      <c r="A602" s="11"/>
      <c r="B602" s="11"/>
      <c r="C602" s="11"/>
      <c r="D602" s="11"/>
      <c r="E602" s="11"/>
      <c r="F602" s="7"/>
      <c r="G602" s="7"/>
      <c r="H602" s="7"/>
      <c r="I602" s="7"/>
      <c r="J602" s="7"/>
      <c r="K602" s="6"/>
      <c r="L602" s="6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AB602" s="70"/>
      <c r="AC602" s="11"/>
    </row>
    <row r="603" spans="1:29" x14ac:dyDescent="0.2">
      <c r="A603" s="11"/>
      <c r="B603" s="11"/>
      <c r="C603" s="11"/>
      <c r="D603" s="11"/>
      <c r="E603" s="11"/>
      <c r="F603" s="7"/>
      <c r="G603" s="7"/>
      <c r="H603" s="7"/>
      <c r="I603" s="7"/>
      <c r="J603" s="7"/>
      <c r="K603" s="6"/>
      <c r="L603" s="6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AB603" s="70"/>
      <c r="AC603" s="11"/>
    </row>
    <row r="604" spans="1:29" x14ac:dyDescent="0.2">
      <c r="A604" s="11"/>
      <c r="B604" s="11"/>
      <c r="C604" s="11"/>
      <c r="D604" s="11"/>
      <c r="E604" s="11"/>
      <c r="F604" s="7"/>
      <c r="G604" s="7"/>
      <c r="H604" s="7"/>
      <c r="I604" s="7"/>
      <c r="J604" s="7"/>
      <c r="K604" s="6"/>
      <c r="L604" s="6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AB604" s="70"/>
      <c r="AC604" s="11"/>
    </row>
    <row r="605" spans="1:29" x14ac:dyDescent="0.2">
      <c r="A605" s="11"/>
      <c r="B605" s="11"/>
      <c r="C605" s="11"/>
      <c r="D605" s="11"/>
      <c r="E605" s="11"/>
      <c r="F605" s="7"/>
      <c r="G605" s="7"/>
      <c r="H605" s="7"/>
      <c r="I605" s="7"/>
      <c r="J605" s="7"/>
      <c r="K605" s="6"/>
      <c r="L605" s="6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AB605" s="70"/>
      <c r="AC605" s="11"/>
    </row>
    <row r="606" spans="1:29" x14ac:dyDescent="0.2">
      <c r="A606" s="11"/>
      <c r="B606" s="11"/>
      <c r="C606" s="11"/>
      <c r="D606" s="11"/>
      <c r="E606" s="11"/>
      <c r="F606" s="7"/>
      <c r="G606" s="7"/>
      <c r="H606" s="7"/>
      <c r="I606" s="7"/>
      <c r="J606" s="7"/>
      <c r="K606" s="6"/>
      <c r="L606" s="6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AB606" s="70"/>
      <c r="AC606" s="11"/>
    </row>
    <row r="607" spans="1:29" x14ac:dyDescent="0.2">
      <c r="A607" s="11"/>
      <c r="B607" s="11"/>
      <c r="C607" s="11"/>
      <c r="D607" s="11"/>
      <c r="E607" s="11"/>
      <c r="F607" s="7"/>
      <c r="G607" s="7"/>
      <c r="H607" s="7"/>
      <c r="I607" s="7"/>
      <c r="J607" s="7"/>
      <c r="K607" s="6"/>
      <c r="L607" s="6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AB607" s="70"/>
      <c r="AC607" s="11"/>
    </row>
    <row r="608" spans="1:29" x14ac:dyDescent="0.2">
      <c r="A608" s="11"/>
      <c r="B608" s="11"/>
      <c r="C608" s="11"/>
      <c r="D608" s="11"/>
      <c r="E608" s="11"/>
      <c r="F608" s="7"/>
      <c r="G608" s="7"/>
      <c r="H608" s="7"/>
      <c r="I608" s="7"/>
      <c r="J608" s="7"/>
      <c r="K608" s="6"/>
      <c r="L608" s="6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AB608" s="70"/>
      <c r="AC608" s="11"/>
    </row>
    <row r="609" spans="1:29" x14ac:dyDescent="0.2">
      <c r="A609" s="11"/>
      <c r="B609" s="11"/>
      <c r="C609" s="11"/>
      <c r="D609" s="11"/>
      <c r="E609" s="11"/>
      <c r="F609" s="7"/>
      <c r="G609" s="7"/>
      <c r="H609" s="7"/>
      <c r="I609" s="7"/>
      <c r="J609" s="7"/>
      <c r="K609" s="6"/>
      <c r="L609" s="6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AB609" s="70"/>
      <c r="AC609" s="11"/>
    </row>
    <row r="610" spans="1:29" x14ac:dyDescent="0.2">
      <c r="A610" s="11"/>
      <c r="B610" s="11"/>
      <c r="C610" s="11"/>
      <c r="D610" s="11"/>
      <c r="E610" s="11"/>
      <c r="F610" s="7"/>
      <c r="G610" s="7"/>
      <c r="H610" s="7"/>
      <c r="I610" s="7"/>
      <c r="J610" s="7"/>
      <c r="K610" s="6"/>
      <c r="L610" s="6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AB610" s="70"/>
      <c r="AC610" s="11"/>
    </row>
    <row r="611" spans="1:29" x14ac:dyDescent="0.2">
      <c r="A611" s="11"/>
      <c r="B611" s="11"/>
      <c r="C611" s="11"/>
      <c r="D611" s="11"/>
      <c r="E611" s="11"/>
      <c r="F611" s="7"/>
      <c r="G611" s="7"/>
      <c r="H611" s="7"/>
      <c r="I611" s="7"/>
      <c r="J611" s="7"/>
      <c r="K611" s="6"/>
      <c r="L611" s="6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AB611" s="70"/>
      <c r="AC611" s="11"/>
    </row>
    <row r="612" spans="1:29" x14ac:dyDescent="0.2">
      <c r="A612" s="11"/>
      <c r="B612" s="11"/>
      <c r="C612" s="11"/>
      <c r="D612" s="11"/>
      <c r="E612" s="11"/>
      <c r="F612" s="7"/>
      <c r="G612" s="7"/>
      <c r="H612" s="7"/>
      <c r="I612" s="7"/>
      <c r="J612" s="7"/>
      <c r="K612" s="6"/>
      <c r="L612" s="6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AB612" s="70"/>
      <c r="AC612" s="11"/>
    </row>
    <row r="613" spans="1:29" x14ac:dyDescent="0.2">
      <c r="A613" s="11"/>
      <c r="B613" s="11"/>
      <c r="C613" s="11"/>
      <c r="D613" s="11"/>
      <c r="E613" s="11"/>
      <c r="F613" s="7"/>
      <c r="G613" s="7"/>
      <c r="H613" s="7"/>
      <c r="I613" s="7"/>
      <c r="J613" s="7"/>
      <c r="K613" s="6"/>
      <c r="L613" s="6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AB613" s="70"/>
      <c r="AC613" s="11"/>
    </row>
    <row r="614" spans="1:29" x14ac:dyDescent="0.2">
      <c r="A614" s="11"/>
      <c r="B614" s="11"/>
      <c r="C614" s="11"/>
      <c r="D614" s="11"/>
      <c r="E614" s="11"/>
      <c r="F614" s="7"/>
      <c r="G614" s="7"/>
      <c r="H614" s="7"/>
      <c r="I614" s="7"/>
      <c r="J614" s="7"/>
      <c r="K614" s="6"/>
      <c r="L614" s="6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AB614" s="70"/>
      <c r="AC614" s="11"/>
    </row>
    <row r="615" spans="1:29" x14ac:dyDescent="0.2">
      <c r="A615" s="11"/>
      <c r="B615" s="11"/>
      <c r="C615" s="11"/>
      <c r="D615" s="11"/>
      <c r="E615" s="11"/>
      <c r="F615" s="7"/>
      <c r="G615" s="7"/>
      <c r="H615" s="7"/>
      <c r="I615" s="7"/>
      <c r="J615" s="7"/>
      <c r="K615" s="6"/>
      <c r="L615" s="6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AB615" s="70"/>
      <c r="AC615" s="11"/>
    </row>
    <row r="616" spans="1:29" x14ac:dyDescent="0.2">
      <c r="A616" s="11"/>
      <c r="B616" s="11"/>
      <c r="C616" s="11"/>
      <c r="D616" s="11"/>
      <c r="E616" s="11"/>
      <c r="F616" s="7"/>
      <c r="G616" s="7"/>
      <c r="H616" s="7"/>
      <c r="I616" s="7"/>
      <c r="J616" s="7"/>
      <c r="K616" s="6"/>
      <c r="L616" s="6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AB616" s="70"/>
      <c r="AC616" s="11"/>
    </row>
    <row r="617" spans="1:29" x14ac:dyDescent="0.2">
      <c r="A617" s="11"/>
      <c r="B617" s="11"/>
      <c r="C617" s="11"/>
      <c r="D617" s="11"/>
      <c r="E617" s="11"/>
      <c r="F617" s="7"/>
      <c r="G617" s="7"/>
      <c r="H617" s="7"/>
      <c r="I617" s="7"/>
      <c r="J617" s="7"/>
      <c r="K617" s="6"/>
      <c r="L617" s="6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AB617" s="70"/>
      <c r="AC617" s="11"/>
    </row>
    <row r="618" spans="1:29" x14ac:dyDescent="0.2">
      <c r="A618" s="11"/>
      <c r="B618" s="11"/>
      <c r="C618" s="11"/>
      <c r="D618" s="11"/>
      <c r="E618" s="11"/>
      <c r="F618" s="7"/>
      <c r="G618" s="7"/>
      <c r="H618" s="7"/>
      <c r="I618" s="7"/>
      <c r="J618" s="7"/>
      <c r="K618" s="6"/>
      <c r="L618" s="6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AB618" s="70"/>
      <c r="AC618" s="11"/>
    </row>
    <row r="619" spans="1:29" x14ac:dyDescent="0.2">
      <c r="A619" s="11"/>
      <c r="B619" s="11"/>
      <c r="C619" s="11"/>
      <c r="D619" s="11"/>
      <c r="E619" s="11"/>
      <c r="F619" s="7"/>
      <c r="G619" s="7"/>
      <c r="H619" s="7"/>
      <c r="I619" s="7"/>
      <c r="J619" s="7"/>
      <c r="K619" s="6"/>
      <c r="L619" s="6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AB619" s="70"/>
      <c r="AC619" s="11"/>
    </row>
    <row r="620" spans="1:29" x14ac:dyDescent="0.2">
      <c r="A620" s="11"/>
      <c r="B620" s="11"/>
      <c r="C620" s="11"/>
      <c r="D620" s="11"/>
      <c r="E620" s="11"/>
      <c r="F620" s="7"/>
      <c r="G620" s="7"/>
      <c r="H620" s="7"/>
      <c r="I620" s="7"/>
      <c r="J620" s="7"/>
      <c r="K620" s="6"/>
      <c r="L620" s="6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AB620" s="70"/>
      <c r="AC620" s="11"/>
    </row>
    <row r="621" spans="1:29" x14ac:dyDescent="0.2">
      <c r="A621" s="11"/>
      <c r="B621" s="11"/>
      <c r="C621" s="11"/>
      <c r="D621" s="11"/>
      <c r="E621" s="11"/>
      <c r="F621" s="7"/>
      <c r="G621" s="7"/>
      <c r="H621" s="7"/>
      <c r="I621" s="7"/>
      <c r="J621" s="7"/>
      <c r="K621" s="6"/>
      <c r="L621" s="6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AB621" s="70"/>
      <c r="AC621" s="11"/>
    </row>
    <row r="622" spans="1:29" x14ac:dyDescent="0.2">
      <c r="A622" s="11"/>
      <c r="B622" s="11"/>
      <c r="C622" s="11"/>
      <c r="D622" s="11"/>
      <c r="E622" s="11"/>
      <c r="F622" s="7"/>
      <c r="G622" s="7"/>
      <c r="H622" s="7"/>
      <c r="I622" s="7"/>
      <c r="J622" s="7"/>
      <c r="K622" s="6"/>
      <c r="L622" s="6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AB622" s="70"/>
      <c r="AC622" s="11"/>
    </row>
    <row r="623" spans="1:29" x14ac:dyDescent="0.2">
      <c r="A623" s="11"/>
      <c r="B623" s="11"/>
      <c r="C623" s="11"/>
      <c r="D623" s="11"/>
      <c r="E623" s="11"/>
      <c r="F623" s="7"/>
      <c r="G623" s="7"/>
      <c r="H623" s="7"/>
      <c r="I623" s="7"/>
      <c r="J623" s="7"/>
      <c r="K623" s="6"/>
      <c r="L623" s="6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AB623" s="70"/>
      <c r="AC623" s="11"/>
    </row>
    <row r="624" spans="1:29" x14ac:dyDescent="0.2">
      <c r="A624" s="11"/>
      <c r="B624" s="11"/>
      <c r="C624" s="11"/>
      <c r="D624" s="11"/>
      <c r="E624" s="11"/>
      <c r="F624" s="7"/>
      <c r="G624" s="7"/>
      <c r="H624" s="7"/>
      <c r="I624" s="7"/>
      <c r="J624" s="7"/>
      <c r="K624" s="6"/>
      <c r="L624" s="6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AB624" s="70"/>
      <c r="AC624" s="11"/>
    </row>
    <row r="625" spans="1:29" x14ac:dyDescent="0.2">
      <c r="A625" s="11"/>
      <c r="B625" s="11"/>
      <c r="C625" s="11"/>
      <c r="D625" s="11"/>
      <c r="E625" s="11"/>
      <c r="F625" s="7"/>
      <c r="G625" s="7"/>
      <c r="H625" s="7"/>
      <c r="I625" s="7"/>
      <c r="J625" s="7"/>
      <c r="K625" s="6"/>
      <c r="L625" s="6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AB625" s="70"/>
      <c r="AC625" s="11"/>
    </row>
    <row r="626" spans="1:29" x14ac:dyDescent="0.2">
      <c r="A626" s="11"/>
      <c r="B626" s="11"/>
      <c r="C626" s="11"/>
      <c r="D626" s="11"/>
      <c r="E626" s="11"/>
      <c r="F626" s="7"/>
      <c r="G626" s="7"/>
      <c r="H626" s="7"/>
      <c r="I626" s="7"/>
      <c r="J626" s="7"/>
      <c r="K626" s="6"/>
      <c r="L626" s="6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AB626" s="70"/>
      <c r="AC626" s="11"/>
    </row>
    <row r="627" spans="1:29" x14ac:dyDescent="0.2">
      <c r="A627" s="11"/>
      <c r="B627" s="11"/>
      <c r="C627" s="11"/>
      <c r="D627" s="11"/>
      <c r="E627" s="11"/>
      <c r="F627" s="7"/>
      <c r="G627" s="7"/>
      <c r="H627" s="7"/>
      <c r="I627" s="7"/>
      <c r="J627" s="7"/>
      <c r="K627" s="6"/>
      <c r="L627" s="6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AB627" s="70"/>
      <c r="AC627" s="11"/>
    </row>
    <row r="628" spans="1:29" x14ac:dyDescent="0.2">
      <c r="A628" s="11"/>
      <c r="B628" s="11"/>
      <c r="C628" s="11"/>
      <c r="D628" s="11"/>
      <c r="E628" s="11"/>
      <c r="F628" s="7"/>
      <c r="G628" s="7"/>
      <c r="H628" s="7"/>
      <c r="I628" s="7"/>
      <c r="J628" s="7"/>
      <c r="K628" s="6"/>
      <c r="L628" s="6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AB628" s="70"/>
      <c r="AC628" s="11"/>
    </row>
    <row r="629" spans="1:29" x14ac:dyDescent="0.2">
      <c r="A629" s="11"/>
      <c r="B629" s="11"/>
      <c r="C629" s="11"/>
      <c r="D629" s="11"/>
      <c r="E629" s="11"/>
      <c r="F629" s="7"/>
      <c r="G629" s="7"/>
      <c r="H629" s="7"/>
      <c r="I629" s="7"/>
      <c r="J629" s="7"/>
      <c r="K629" s="6"/>
      <c r="L629" s="6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AB629" s="70"/>
      <c r="AC629" s="11"/>
    </row>
    <row r="630" spans="1:29" x14ac:dyDescent="0.2">
      <c r="A630" s="11"/>
      <c r="B630" s="11"/>
      <c r="C630" s="11"/>
      <c r="D630" s="11"/>
      <c r="E630" s="11"/>
      <c r="F630" s="7"/>
      <c r="G630" s="7"/>
      <c r="H630" s="7"/>
      <c r="I630" s="7"/>
      <c r="J630" s="7"/>
      <c r="K630" s="6"/>
      <c r="L630" s="6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AB630" s="70"/>
      <c r="AC630" s="11"/>
    </row>
    <row r="631" spans="1:29" x14ac:dyDescent="0.2">
      <c r="A631" s="11"/>
      <c r="B631" s="11"/>
      <c r="C631" s="11"/>
      <c r="D631" s="11"/>
      <c r="E631" s="11"/>
      <c r="F631" s="7"/>
      <c r="G631" s="7"/>
      <c r="H631" s="7"/>
      <c r="I631" s="7"/>
      <c r="J631" s="7"/>
      <c r="K631" s="6"/>
      <c r="L631" s="6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AB631" s="70"/>
      <c r="AC631" s="11"/>
    </row>
    <row r="632" spans="1:29" x14ac:dyDescent="0.2">
      <c r="A632" s="11"/>
      <c r="B632" s="11"/>
      <c r="C632" s="11"/>
      <c r="D632" s="11"/>
      <c r="E632" s="11"/>
      <c r="F632" s="7"/>
      <c r="G632" s="7"/>
      <c r="H632" s="7"/>
      <c r="I632" s="7"/>
      <c r="J632" s="7"/>
      <c r="K632" s="6"/>
      <c r="L632" s="6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AB632" s="70"/>
      <c r="AC632" s="11"/>
    </row>
    <row r="633" spans="1:29" x14ac:dyDescent="0.2">
      <c r="A633" s="11"/>
      <c r="B633" s="11"/>
      <c r="C633" s="11"/>
      <c r="D633" s="11"/>
      <c r="E633" s="11"/>
      <c r="F633" s="7"/>
      <c r="G633" s="7"/>
      <c r="H633" s="7"/>
      <c r="I633" s="7"/>
      <c r="J633" s="7"/>
      <c r="K633" s="6"/>
      <c r="L633" s="6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AB633" s="70"/>
      <c r="AC633" s="11"/>
    </row>
    <row r="634" spans="1:29" x14ac:dyDescent="0.2">
      <c r="A634" s="11"/>
      <c r="B634" s="11"/>
      <c r="C634" s="11"/>
      <c r="D634" s="11"/>
      <c r="E634" s="11"/>
      <c r="F634" s="7"/>
      <c r="G634" s="7"/>
      <c r="H634" s="7"/>
      <c r="I634" s="7"/>
      <c r="J634" s="7"/>
      <c r="K634" s="6"/>
      <c r="L634" s="6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AB634" s="70"/>
      <c r="AC634" s="11"/>
    </row>
    <row r="635" spans="1:29" x14ac:dyDescent="0.2">
      <c r="A635" s="11"/>
      <c r="B635" s="11"/>
      <c r="C635" s="11"/>
      <c r="D635" s="11"/>
      <c r="E635" s="11"/>
      <c r="F635" s="7"/>
      <c r="G635" s="7"/>
      <c r="H635" s="7"/>
      <c r="I635" s="7"/>
      <c r="J635" s="7"/>
      <c r="K635" s="6"/>
      <c r="L635" s="6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AB635" s="70"/>
      <c r="AC635" s="11"/>
    </row>
    <row r="636" spans="1:29" x14ac:dyDescent="0.2">
      <c r="A636" s="11"/>
      <c r="B636" s="11"/>
      <c r="C636" s="11"/>
      <c r="D636" s="11"/>
      <c r="E636" s="11"/>
      <c r="F636" s="7"/>
      <c r="G636" s="7"/>
      <c r="H636" s="7"/>
      <c r="I636" s="7"/>
      <c r="J636" s="7"/>
      <c r="K636" s="6"/>
      <c r="L636" s="6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AB636" s="70"/>
      <c r="AC636" s="11"/>
    </row>
    <row r="637" spans="1:29" x14ac:dyDescent="0.2">
      <c r="A637" s="11"/>
      <c r="B637" s="11"/>
      <c r="C637" s="11"/>
      <c r="D637" s="11"/>
      <c r="E637" s="11"/>
      <c r="F637" s="7"/>
      <c r="G637" s="7"/>
      <c r="H637" s="7"/>
      <c r="I637" s="7"/>
      <c r="J637" s="7"/>
      <c r="K637" s="6"/>
      <c r="L637" s="6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AB637" s="70"/>
      <c r="AC637" s="11"/>
    </row>
    <row r="638" spans="1:29" x14ac:dyDescent="0.2">
      <c r="A638" s="11"/>
      <c r="B638" s="11"/>
      <c r="C638" s="11"/>
      <c r="D638" s="11"/>
      <c r="E638" s="11"/>
      <c r="F638" s="7"/>
      <c r="G638" s="7"/>
      <c r="H638" s="7"/>
      <c r="I638" s="7"/>
      <c r="J638" s="7"/>
      <c r="K638" s="6"/>
      <c r="L638" s="6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AB638" s="70"/>
      <c r="AC638" s="11"/>
    </row>
    <row r="639" spans="1:29" x14ac:dyDescent="0.2">
      <c r="A639" s="11"/>
      <c r="B639" s="11"/>
      <c r="C639" s="11"/>
      <c r="D639" s="11"/>
      <c r="E639" s="11"/>
      <c r="F639" s="7"/>
      <c r="G639" s="7"/>
      <c r="H639" s="7"/>
      <c r="I639" s="7"/>
      <c r="J639" s="7"/>
      <c r="K639" s="6"/>
      <c r="L639" s="6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AB639" s="70"/>
      <c r="AC639" s="11"/>
    </row>
    <row r="640" spans="1:29" x14ac:dyDescent="0.2">
      <c r="A640" s="11"/>
      <c r="B640" s="11"/>
      <c r="C640" s="11"/>
      <c r="D640" s="11"/>
      <c r="E640" s="11"/>
      <c r="F640" s="7"/>
      <c r="G640" s="7"/>
      <c r="H640" s="7"/>
      <c r="I640" s="7"/>
      <c r="J640" s="7"/>
      <c r="K640" s="6"/>
      <c r="L640" s="6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AB640" s="70"/>
      <c r="AC640" s="11"/>
    </row>
    <row r="641" spans="1:29" x14ac:dyDescent="0.2">
      <c r="A641" s="11"/>
      <c r="B641" s="11"/>
      <c r="C641" s="11"/>
      <c r="D641" s="11"/>
      <c r="E641" s="11"/>
      <c r="F641" s="7"/>
      <c r="G641" s="7"/>
      <c r="H641" s="7"/>
      <c r="I641" s="7"/>
      <c r="J641" s="7"/>
      <c r="K641" s="6"/>
      <c r="L641" s="6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AB641" s="70"/>
      <c r="AC641" s="11"/>
    </row>
    <row r="642" spans="1:29" x14ac:dyDescent="0.2">
      <c r="A642" s="11"/>
      <c r="B642" s="11"/>
      <c r="C642" s="11"/>
      <c r="D642" s="11"/>
      <c r="E642" s="11"/>
      <c r="F642" s="7"/>
      <c r="G642" s="7"/>
      <c r="H642" s="7"/>
      <c r="I642" s="7"/>
      <c r="J642" s="7"/>
      <c r="K642" s="6"/>
      <c r="L642" s="6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AB642" s="70"/>
      <c r="AC642" s="11"/>
    </row>
    <row r="643" spans="1:29" x14ac:dyDescent="0.2">
      <c r="A643" s="11"/>
      <c r="B643" s="11"/>
      <c r="C643" s="11"/>
      <c r="D643" s="11"/>
      <c r="E643" s="11"/>
      <c r="F643" s="7"/>
      <c r="G643" s="7"/>
      <c r="H643" s="7"/>
      <c r="I643" s="7"/>
      <c r="J643" s="7"/>
      <c r="K643" s="6"/>
      <c r="L643" s="6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AB643" s="70"/>
      <c r="AC643" s="11"/>
    </row>
    <row r="644" spans="1:29" x14ac:dyDescent="0.2">
      <c r="A644" s="11"/>
      <c r="B644" s="11"/>
      <c r="C644" s="11"/>
      <c r="D644" s="11"/>
      <c r="E644" s="11"/>
      <c r="F644" s="7"/>
      <c r="G644" s="7"/>
      <c r="H644" s="7"/>
      <c r="I644" s="7"/>
      <c r="J644" s="7"/>
      <c r="K644" s="6"/>
      <c r="L644" s="6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AB644" s="70"/>
      <c r="AC644" s="11"/>
    </row>
    <row r="645" spans="1:29" x14ac:dyDescent="0.2">
      <c r="A645" s="11"/>
      <c r="B645" s="11"/>
      <c r="C645" s="11"/>
      <c r="D645" s="11"/>
      <c r="E645" s="11"/>
      <c r="F645" s="7"/>
      <c r="G645" s="7"/>
      <c r="H645" s="7"/>
      <c r="I645" s="7"/>
      <c r="J645" s="7"/>
      <c r="K645" s="6"/>
      <c r="L645" s="6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AB645" s="70"/>
      <c r="AC645" s="11"/>
    </row>
    <row r="646" spans="1:29" x14ac:dyDescent="0.2">
      <c r="A646" s="11"/>
      <c r="B646" s="11"/>
      <c r="C646" s="11"/>
      <c r="D646" s="11"/>
      <c r="E646" s="11"/>
      <c r="F646" s="7"/>
      <c r="G646" s="7"/>
      <c r="H646" s="7"/>
      <c r="I646" s="7"/>
      <c r="J646" s="7"/>
      <c r="K646" s="6"/>
      <c r="L646" s="6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AB646" s="70"/>
      <c r="AC646" s="11"/>
    </row>
    <row r="647" spans="1:29" x14ac:dyDescent="0.2">
      <c r="A647" s="11"/>
      <c r="B647" s="11"/>
      <c r="C647" s="11"/>
      <c r="D647" s="11"/>
      <c r="E647" s="11"/>
      <c r="F647" s="7"/>
      <c r="G647" s="7"/>
      <c r="H647" s="7"/>
      <c r="I647" s="7"/>
      <c r="J647" s="7"/>
      <c r="K647" s="6"/>
      <c r="L647" s="6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AB647" s="70"/>
      <c r="AC647" s="11"/>
    </row>
    <row r="648" spans="1:29" x14ac:dyDescent="0.2">
      <c r="A648" s="11"/>
      <c r="B648" s="11"/>
      <c r="C648" s="11"/>
      <c r="D648" s="11"/>
      <c r="E648" s="11"/>
      <c r="F648" s="7"/>
      <c r="G648" s="7"/>
      <c r="H648" s="7"/>
      <c r="I648" s="7"/>
      <c r="J648" s="7"/>
      <c r="K648" s="6"/>
      <c r="L648" s="6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AB648" s="70"/>
      <c r="AC648" s="11"/>
    </row>
    <row r="649" spans="1:29" x14ac:dyDescent="0.2">
      <c r="A649" s="11"/>
      <c r="B649" s="11"/>
      <c r="C649" s="11"/>
      <c r="D649" s="11"/>
      <c r="E649" s="11"/>
      <c r="F649" s="7"/>
      <c r="G649" s="7"/>
      <c r="H649" s="7"/>
      <c r="I649" s="7"/>
      <c r="J649" s="7"/>
      <c r="K649" s="6"/>
      <c r="L649" s="6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AB649" s="70"/>
      <c r="AC649" s="11"/>
    </row>
    <row r="650" spans="1:29" x14ac:dyDescent="0.2">
      <c r="A650" s="11"/>
      <c r="B650" s="11"/>
      <c r="C650" s="11"/>
      <c r="D650" s="11"/>
      <c r="E650" s="11"/>
      <c r="F650" s="7"/>
      <c r="G650" s="7"/>
      <c r="H650" s="7"/>
      <c r="I650" s="7"/>
      <c r="J650" s="7"/>
      <c r="K650" s="6"/>
      <c r="L650" s="6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AB650" s="70"/>
      <c r="AC650" s="11"/>
    </row>
    <row r="651" spans="1:29" x14ac:dyDescent="0.2">
      <c r="A651" s="11"/>
      <c r="B651" s="11"/>
      <c r="C651" s="11"/>
      <c r="D651" s="11"/>
      <c r="E651" s="11"/>
      <c r="F651" s="7"/>
      <c r="G651" s="7"/>
      <c r="H651" s="7"/>
      <c r="I651" s="7"/>
      <c r="J651" s="7"/>
      <c r="K651" s="6"/>
      <c r="L651" s="6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AB651" s="70"/>
      <c r="AC651" s="11"/>
    </row>
    <row r="652" spans="1:29" x14ac:dyDescent="0.2">
      <c r="A652" s="11"/>
      <c r="B652" s="11"/>
      <c r="C652" s="11"/>
      <c r="D652" s="11"/>
      <c r="E652" s="11"/>
      <c r="F652" s="7"/>
      <c r="G652" s="7"/>
      <c r="H652" s="7"/>
      <c r="I652" s="7"/>
      <c r="J652" s="7"/>
      <c r="K652" s="6"/>
      <c r="L652" s="6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AB652" s="70"/>
      <c r="AC652" s="11"/>
    </row>
    <row r="653" spans="1:29" x14ac:dyDescent="0.2">
      <c r="A653" s="11"/>
      <c r="B653" s="11"/>
      <c r="C653" s="11"/>
      <c r="D653" s="11"/>
      <c r="E653" s="11"/>
      <c r="F653" s="7"/>
      <c r="G653" s="7"/>
      <c r="H653" s="7"/>
      <c r="I653" s="7"/>
      <c r="J653" s="7"/>
      <c r="K653" s="6"/>
      <c r="L653" s="6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AB653" s="70"/>
      <c r="AC653" s="11"/>
    </row>
    <row r="654" spans="1:29" x14ac:dyDescent="0.2">
      <c r="A654" s="11"/>
      <c r="B654" s="11"/>
      <c r="C654" s="11"/>
      <c r="D654" s="11"/>
      <c r="E654" s="11"/>
      <c r="F654" s="7"/>
      <c r="G654" s="7"/>
      <c r="H654" s="7"/>
      <c r="I654" s="7"/>
      <c r="J654" s="7"/>
      <c r="K654" s="6"/>
      <c r="L654" s="6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AB654" s="70"/>
      <c r="AC654" s="11"/>
    </row>
    <row r="655" spans="1:29" x14ac:dyDescent="0.2">
      <c r="A655" s="11"/>
      <c r="B655" s="11"/>
      <c r="C655" s="11"/>
      <c r="D655" s="11"/>
      <c r="E655" s="11"/>
      <c r="F655" s="7"/>
      <c r="G655" s="7"/>
      <c r="H655" s="7"/>
      <c r="I655" s="7"/>
      <c r="J655" s="7"/>
      <c r="K655" s="6"/>
      <c r="L655" s="6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AB655" s="70"/>
      <c r="AC655" s="11"/>
    </row>
    <row r="656" spans="1:29" x14ac:dyDescent="0.2">
      <c r="A656" s="11"/>
      <c r="B656" s="11"/>
      <c r="C656" s="11"/>
      <c r="D656" s="11"/>
      <c r="E656" s="11"/>
      <c r="F656" s="7"/>
      <c r="G656" s="7"/>
      <c r="H656" s="7"/>
      <c r="I656" s="7"/>
      <c r="J656" s="7"/>
      <c r="K656" s="6"/>
      <c r="L656" s="6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AB656" s="70"/>
      <c r="AC656" s="11"/>
    </row>
    <row r="657" spans="1:29" x14ac:dyDescent="0.2">
      <c r="A657" s="11"/>
      <c r="B657" s="11"/>
      <c r="C657" s="11"/>
      <c r="D657" s="11"/>
      <c r="E657" s="11"/>
      <c r="F657" s="7"/>
      <c r="G657" s="7"/>
      <c r="H657" s="7"/>
      <c r="I657" s="7"/>
      <c r="J657" s="7"/>
      <c r="K657" s="6"/>
      <c r="L657" s="6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AB657" s="70"/>
      <c r="AC657" s="11"/>
    </row>
    <row r="658" spans="1:29" x14ac:dyDescent="0.2">
      <c r="A658" s="11"/>
      <c r="B658" s="11"/>
      <c r="C658" s="11"/>
      <c r="D658" s="11"/>
      <c r="E658" s="11"/>
      <c r="F658" s="7"/>
      <c r="G658" s="7"/>
      <c r="H658" s="7"/>
      <c r="I658" s="7"/>
      <c r="J658" s="7"/>
      <c r="K658" s="6"/>
      <c r="L658" s="6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AB658" s="70"/>
      <c r="AC658" s="11"/>
    </row>
    <row r="659" spans="1:29" x14ac:dyDescent="0.2">
      <c r="A659" s="11"/>
      <c r="B659" s="11"/>
      <c r="C659" s="11"/>
      <c r="D659" s="11"/>
      <c r="E659" s="11"/>
      <c r="F659" s="7"/>
      <c r="G659" s="7"/>
      <c r="H659" s="7"/>
      <c r="I659" s="7"/>
      <c r="J659" s="7"/>
      <c r="K659" s="6"/>
      <c r="L659" s="6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AB659" s="70"/>
      <c r="AC659" s="11"/>
    </row>
    <row r="660" spans="1:29" x14ac:dyDescent="0.2">
      <c r="A660" s="11"/>
      <c r="B660" s="11"/>
      <c r="C660" s="11"/>
      <c r="D660" s="11"/>
      <c r="E660" s="11"/>
      <c r="F660" s="7"/>
      <c r="G660" s="7"/>
      <c r="H660" s="7"/>
      <c r="I660" s="7"/>
      <c r="J660" s="7"/>
      <c r="K660" s="6"/>
      <c r="L660" s="6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AB660" s="70"/>
      <c r="AC660" s="11"/>
    </row>
    <row r="661" spans="1:29" x14ac:dyDescent="0.2">
      <c r="A661" s="11"/>
      <c r="B661" s="11"/>
      <c r="C661" s="11"/>
      <c r="D661" s="11"/>
      <c r="E661" s="11"/>
      <c r="F661" s="7"/>
      <c r="G661" s="7"/>
      <c r="H661" s="7"/>
      <c r="I661" s="7"/>
      <c r="J661" s="7"/>
      <c r="K661" s="6"/>
      <c r="L661" s="6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AB661" s="70"/>
      <c r="AC661" s="11"/>
    </row>
    <row r="662" spans="1:29" x14ac:dyDescent="0.2">
      <c r="A662" s="11"/>
      <c r="B662" s="11"/>
      <c r="C662" s="11"/>
      <c r="D662" s="11"/>
      <c r="E662" s="11"/>
      <c r="F662" s="7"/>
      <c r="G662" s="7"/>
      <c r="H662" s="7"/>
      <c r="I662" s="7"/>
      <c r="J662" s="7"/>
      <c r="K662" s="6"/>
      <c r="L662" s="6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AB662" s="70"/>
      <c r="AC662" s="11"/>
    </row>
    <row r="663" spans="1:29" x14ac:dyDescent="0.2">
      <c r="A663" s="11"/>
      <c r="B663" s="11"/>
      <c r="C663" s="11"/>
      <c r="D663" s="11"/>
      <c r="E663" s="11"/>
      <c r="F663" s="7"/>
      <c r="G663" s="7"/>
      <c r="H663" s="7"/>
      <c r="I663" s="7"/>
      <c r="J663" s="7"/>
      <c r="K663" s="6"/>
      <c r="L663" s="6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AB663" s="70"/>
      <c r="AC663" s="11"/>
    </row>
    <row r="664" spans="1:29" x14ac:dyDescent="0.2">
      <c r="A664" s="11"/>
      <c r="B664" s="11"/>
      <c r="C664" s="11"/>
      <c r="D664" s="11"/>
      <c r="E664" s="11"/>
      <c r="F664" s="7"/>
      <c r="G664" s="7"/>
      <c r="H664" s="7"/>
      <c r="I664" s="7"/>
      <c r="J664" s="7"/>
      <c r="K664" s="6"/>
      <c r="L664" s="6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AB664" s="70"/>
      <c r="AC664" s="11"/>
    </row>
    <row r="665" spans="1:29" x14ac:dyDescent="0.2">
      <c r="A665" s="11"/>
      <c r="B665" s="11"/>
      <c r="C665" s="11"/>
      <c r="D665" s="11"/>
      <c r="E665" s="11"/>
      <c r="F665" s="7"/>
      <c r="G665" s="7"/>
      <c r="H665" s="7"/>
      <c r="I665" s="7"/>
      <c r="J665" s="7"/>
      <c r="K665" s="6"/>
      <c r="L665" s="6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AB665" s="70"/>
      <c r="AC665" s="11"/>
    </row>
    <row r="666" spans="1:29" x14ac:dyDescent="0.2">
      <c r="A666" s="11"/>
      <c r="B666" s="11"/>
      <c r="C666" s="11"/>
      <c r="D666" s="11"/>
      <c r="E666" s="11"/>
      <c r="F666" s="7"/>
      <c r="G666" s="7"/>
      <c r="H666" s="7"/>
      <c r="I666" s="7"/>
      <c r="J666" s="7"/>
      <c r="K666" s="6"/>
      <c r="L666" s="6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AB666" s="70"/>
      <c r="AC666" s="11"/>
    </row>
    <row r="667" spans="1:29" x14ac:dyDescent="0.2">
      <c r="A667" s="11"/>
      <c r="B667" s="11"/>
      <c r="C667" s="11"/>
      <c r="D667" s="11"/>
      <c r="E667" s="11"/>
      <c r="F667" s="7"/>
      <c r="G667" s="7"/>
      <c r="H667" s="7"/>
      <c r="I667" s="7"/>
      <c r="J667" s="7"/>
      <c r="K667" s="6"/>
      <c r="L667" s="6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AB667" s="70"/>
      <c r="AC667" s="11"/>
    </row>
    <row r="668" spans="1:29" x14ac:dyDescent="0.2">
      <c r="A668" s="11"/>
      <c r="B668" s="11"/>
      <c r="C668" s="11"/>
      <c r="D668" s="11"/>
      <c r="E668" s="11"/>
      <c r="F668" s="7"/>
      <c r="G668" s="7"/>
      <c r="H668" s="7"/>
      <c r="I668" s="7"/>
      <c r="J668" s="7"/>
      <c r="K668" s="6"/>
      <c r="L668" s="6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AB668" s="70"/>
      <c r="AC668" s="11"/>
    </row>
    <row r="669" spans="1:29" x14ac:dyDescent="0.2">
      <c r="A669" s="11"/>
      <c r="B669" s="11"/>
      <c r="C669" s="11"/>
      <c r="D669" s="11"/>
      <c r="E669" s="11"/>
      <c r="F669" s="7"/>
      <c r="G669" s="7"/>
      <c r="H669" s="7"/>
      <c r="I669" s="7"/>
      <c r="J669" s="7"/>
      <c r="K669" s="6"/>
      <c r="L669" s="6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AB669" s="70"/>
      <c r="AC669" s="11"/>
    </row>
    <row r="670" spans="1:29" x14ac:dyDescent="0.2">
      <c r="A670" s="11"/>
      <c r="B670" s="11"/>
      <c r="C670" s="11"/>
      <c r="D670" s="11"/>
      <c r="E670" s="11"/>
      <c r="F670" s="7"/>
      <c r="G670" s="7"/>
      <c r="H670" s="7"/>
      <c r="I670" s="7"/>
      <c r="J670" s="7"/>
      <c r="K670" s="6"/>
      <c r="L670" s="6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AB670" s="70"/>
      <c r="AC670" s="11"/>
    </row>
    <row r="671" spans="1:29" x14ac:dyDescent="0.2">
      <c r="A671" s="11"/>
      <c r="B671" s="11"/>
      <c r="C671" s="11"/>
      <c r="D671" s="11"/>
      <c r="E671" s="11"/>
      <c r="F671" s="7"/>
      <c r="G671" s="7"/>
      <c r="H671" s="7"/>
      <c r="I671" s="7"/>
      <c r="J671" s="7"/>
      <c r="K671" s="6"/>
      <c r="L671" s="6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AB671" s="70"/>
      <c r="AC671" s="11"/>
    </row>
    <row r="672" spans="1:29" x14ac:dyDescent="0.2">
      <c r="A672" s="11"/>
      <c r="B672" s="11"/>
      <c r="C672" s="11"/>
      <c r="D672" s="11"/>
      <c r="E672" s="11"/>
      <c r="F672" s="7"/>
      <c r="G672" s="7"/>
      <c r="H672" s="7"/>
      <c r="I672" s="7"/>
      <c r="J672" s="7"/>
      <c r="K672" s="6"/>
      <c r="L672" s="6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AB672" s="70"/>
      <c r="AC672" s="11"/>
    </row>
    <row r="673" spans="1:29" x14ac:dyDescent="0.2">
      <c r="A673" s="11"/>
      <c r="B673" s="11"/>
      <c r="C673" s="11"/>
      <c r="D673" s="11"/>
      <c r="E673" s="11"/>
      <c r="F673" s="7"/>
      <c r="G673" s="7"/>
      <c r="H673" s="7"/>
      <c r="I673" s="7"/>
      <c r="J673" s="7"/>
      <c r="K673" s="6"/>
      <c r="L673" s="6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AB673" s="70"/>
      <c r="AC673" s="11"/>
    </row>
    <row r="674" spans="1:29" x14ac:dyDescent="0.2">
      <c r="A674" s="11"/>
      <c r="B674" s="11"/>
      <c r="C674" s="11"/>
      <c r="D674" s="11"/>
      <c r="E674" s="11"/>
      <c r="F674" s="7"/>
      <c r="G674" s="7"/>
      <c r="H674" s="7"/>
      <c r="I674" s="7"/>
      <c r="J674" s="7"/>
      <c r="K674" s="6"/>
      <c r="L674" s="6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AB674" s="70"/>
      <c r="AC674" s="11"/>
    </row>
    <row r="675" spans="1:29" x14ac:dyDescent="0.2">
      <c r="A675" s="11"/>
      <c r="B675" s="11"/>
      <c r="C675" s="11"/>
      <c r="D675" s="11"/>
      <c r="E675" s="11"/>
      <c r="F675" s="7"/>
      <c r="G675" s="7"/>
      <c r="H675" s="7"/>
      <c r="I675" s="7"/>
      <c r="J675" s="7"/>
      <c r="K675" s="6"/>
      <c r="L675" s="6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AB675" s="70"/>
      <c r="AC675" s="11"/>
    </row>
    <row r="676" spans="1:29" x14ac:dyDescent="0.2">
      <c r="A676" s="11"/>
      <c r="B676" s="11"/>
      <c r="C676" s="11"/>
      <c r="D676" s="11"/>
      <c r="E676" s="11"/>
      <c r="F676" s="7"/>
      <c r="G676" s="7"/>
      <c r="H676" s="7"/>
      <c r="I676" s="7"/>
      <c r="J676" s="7"/>
      <c r="K676" s="6"/>
      <c r="L676" s="6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AB676" s="70"/>
      <c r="AC676" s="11"/>
    </row>
    <row r="677" spans="1:29" x14ac:dyDescent="0.2">
      <c r="A677" s="11"/>
      <c r="B677" s="11"/>
      <c r="C677" s="11"/>
      <c r="D677" s="11"/>
      <c r="E677" s="11"/>
      <c r="F677" s="7"/>
      <c r="G677" s="7"/>
      <c r="H677" s="7"/>
      <c r="I677" s="7"/>
      <c r="J677" s="7"/>
      <c r="K677" s="6"/>
      <c r="L677" s="6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AB677" s="70"/>
      <c r="AC677" s="11"/>
    </row>
    <row r="678" spans="1:29" x14ac:dyDescent="0.2">
      <c r="A678" s="11"/>
      <c r="B678" s="11"/>
      <c r="C678" s="11"/>
      <c r="D678" s="11"/>
      <c r="E678" s="11"/>
      <c r="F678" s="7"/>
      <c r="G678" s="7"/>
      <c r="H678" s="7"/>
      <c r="I678" s="7"/>
      <c r="J678" s="7"/>
      <c r="K678" s="6"/>
      <c r="L678" s="6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AB678" s="70"/>
      <c r="AC678" s="11"/>
    </row>
    <row r="679" spans="1:29" x14ac:dyDescent="0.2">
      <c r="A679" s="11"/>
      <c r="B679" s="11"/>
      <c r="C679" s="11"/>
      <c r="D679" s="11"/>
      <c r="E679" s="11"/>
      <c r="F679" s="7"/>
      <c r="G679" s="7"/>
      <c r="H679" s="7"/>
      <c r="I679" s="7"/>
      <c r="J679" s="7"/>
      <c r="K679" s="6"/>
      <c r="L679" s="6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AB679" s="70"/>
      <c r="AC679" s="11"/>
    </row>
    <row r="680" spans="1:29" x14ac:dyDescent="0.2">
      <c r="A680" s="11"/>
      <c r="B680" s="11"/>
      <c r="C680" s="11"/>
      <c r="D680" s="11"/>
      <c r="E680" s="11"/>
      <c r="F680" s="7"/>
      <c r="G680" s="7"/>
      <c r="H680" s="7"/>
      <c r="I680" s="7"/>
      <c r="J680" s="7"/>
      <c r="K680" s="6"/>
      <c r="L680" s="6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AB680" s="70"/>
      <c r="AC680" s="11"/>
    </row>
    <row r="681" spans="1:29" x14ac:dyDescent="0.2">
      <c r="A681" s="11"/>
      <c r="B681" s="11"/>
      <c r="C681" s="11"/>
      <c r="D681" s="11"/>
      <c r="E681" s="11"/>
      <c r="F681" s="7"/>
      <c r="G681" s="7"/>
      <c r="H681" s="7"/>
      <c r="I681" s="7"/>
      <c r="J681" s="7"/>
      <c r="K681" s="6"/>
      <c r="L681" s="6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AB681" s="70"/>
      <c r="AC681" s="11"/>
    </row>
    <row r="682" spans="1:29" x14ac:dyDescent="0.2">
      <c r="A682" s="11"/>
      <c r="B682" s="11"/>
      <c r="C682" s="11"/>
      <c r="D682" s="11"/>
      <c r="E682" s="11"/>
      <c r="F682" s="7"/>
      <c r="G682" s="7"/>
      <c r="H682" s="7"/>
      <c r="I682" s="7"/>
      <c r="J682" s="7"/>
      <c r="K682" s="6"/>
      <c r="L682" s="6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AB682" s="70"/>
      <c r="AC682" s="11"/>
    </row>
    <row r="683" spans="1:29" x14ac:dyDescent="0.2">
      <c r="A683" s="11"/>
      <c r="B683" s="11"/>
      <c r="C683" s="11"/>
      <c r="D683" s="11"/>
      <c r="E683" s="11"/>
      <c r="F683" s="7"/>
      <c r="G683" s="7"/>
      <c r="H683" s="7"/>
      <c r="I683" s="7"/>
      <c r="J683" s="7"/>
      <c r="K683" s="6"/>
      <c r="L683" s="6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AB683" s="70"/>
      <c r="AC683" s="11"/>
    </row>
    <row r="684" spans="1:29" x14ac:dyDescent="0.2">
      <c r="A684" s="11"/>
      <c r="B684" s="11"/>
      <c r="C684" s="11"/>
      <c r="D684" s="11"/>
      <c r="E684" s="11"/>
      <c r="F684" s="7"/>
      <c r="G684" s="7"/>
      <c r="H684" s="7"/>
      <c r="I684" s="7"/>
      <c r="J684" s="7"/>
      <c r="K684" s="6"/>
      <c r="L684" s="6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AB684" s="70"/>
      <c r="AC684" s="11"/>
    </row>
    <row r="685" spans="1:29" x14ac:dyDescent="0.2">
      <c r="A685" s="11"/>
      <c r="B685" s="11"/>
      <c r="C685" s="11"/>
      <c r="D685" s="11"/>
      <c r="E685" s="11"/>
      <c r="F685" s="7"/>
      <c r="G685" s="7"/>
      <c r="H685" s="7"/>
      <c r="I685" s="7"/>
      <c r="J685" s="7"/>
      <c r="K685" s="6"/>
      <c r="L685" s="6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AB685" s="70"/>
      <c r="AC685" s="11"/>
    </row>
    <row r="686" spans="1:29" x14ac:dyDescent="0.2">
      <c r="A686" s="11"/>
      <c r="B686" s="11"/>
      <c r="C686" s="11"/>
      <c r="D686" s="11"/>
      <c r="E686" s="11"/>
      <c r="F686" s="7"/>
      <c r="G686" s="7"/>
      <c r="H686" s="7"/>
      <c r="I686" s="7"/>
      <c r="J686" s="7"/>
      <c r="K686" s="6"/>
      <c r="L686" s="6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AB686" s="70"/>
      <c r="AC686" s="11"/>
    </row>
    <row r="687" spans="1:29" x14ac:dyDescent="0.2">
      <c r="A687" s="11"/>
      <c r="B687" s="11"/>
      <c r="C687" s="11"/>
      <c r="D687" s="11"/>
      <c r="E687" s="11"/>
      <c r="F687" s="7"/>
      <c r="G687" s="7"/>
      <c r="H687" s="7"/>
      <c r="I687" s="7"/>
      <c r="J687" s="7"/>
      <c r="K687" s="6"/>
      <c r="L687" s="6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AB687" s="70"/>
      <c r="AC687" s="11"/>
    </row>
    <row r="688" spans="1:29" x14ac:dyDescent="0.2">
      <c r="A688" s="11"/>
      <c r="D688" s="11"/>
      <c r="E688" s="11"/>
      <c r="F688" s="7"/>
      <c r="G688" s="7"/>
      <c r="H688" s="7"/>
      <c r="I688" s="7"/>
      <c r="J688" s="7"/>
      <c r="K688" s="6"/>
      <c r="L688" s="6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AB688" s="70"/>
      <c r="AC688" s="11"/>
    </row>
    <row r="689" spans="1:29" x14ac:dyDescent="0.2">
      <c r="A689" s="11"/>
      <c r="D689" s="11"/>
      <c r="E689" s="11"/>
      <c r="F689" s="7"/>
      <c r="G689" s="7"/>
      <c r="H689" s="7"/>
      <c r="I689" s="7"/>
      <c r="J689" s="7"/>
      <c r="K689" s="6"/>
      <c r="L689" s="6"/>
      <c r="AB689" s="70"/>
      <c r="AC689" s="11"/>
    </row>
  </sheetData>
  <mergeCells count="2">
    <mergeCell ref="A7:B7"/>
    <mergeCell ref="F7:G7"/>
  </mergeCells>
  <phoneticPr fontId="39" type="noConversion"/>
  <conditionalFormatting sqref="W13:W19 W24:W29 W37:W43 W48:W54 W59:W64 W67:W72 W76:W82 W87:W89 W31:W35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2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4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6:W108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 W105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6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8 W95:W96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8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7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8 W95:W97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3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9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:W99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:W99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:W9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:W99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8 W95:W99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:W99 W110 W105:W10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9 W95:W99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20 W24:W29 W48:W55 W59:W65 W76:W83 W87:W90 W31:W44 W67:W73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21 W24:W29 W31:W45 W48:W56 W59:W65 W67:W74 W76:W84 W87:W91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11 W95:W99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8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22 W24:W46 W48:W57 W59:W85 W87:W9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9 W95:W10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W109 W95:W101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:W102 W105:W10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:W102 W105:W108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:W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scale="13" fitToWidth="2" fitToHeight="10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920-D6A6-4249-8B72-4709725C419C}">
  <dimension ref="A2:BB127"/>
  <sheetViews>
    <sheetView topLeftCell="A88" zoomScale="85" zoomScaleNormal="85" workbookViewId="0">
      <selection activeCell="E116" sqref="E116:E124"/>
    </sheetView>
  </sheetViews>
  <sheetFormatPr defaultRowHeight="14.25" x14ac:dyDescent="0.25"/>
  <cols>
    <col min="1" max="1" width="9.140625" style="266"/>
    <col min="2" max="2" width="8.42578125" style="246" bestFit="1" customWidth="1"/>
    <col min="3" max="3" width="50.85546875" style="246" bestFit="1" customWidth="1"/>
    <col min="4" max="4" width="9.140625" style="246"/>
    <col min="5" max="5" width="11.28515625" style="246" customWidth="1"/>
    <col min="6" max="6" width="14.28515625" style="246" customWidth="1"/>
    <col min="7" max="7" width="18.28515625" style="246" customWidth="1"/>
    <col min="8" max="8" width="13.28515625" style="246" customWidth="1"/>
    <col min="9" max="9" width="15.28515625" style="246" customWidth="1"/>
    <col min="10" max="10" width="14.7109375" style="246" customWidth="1"/>
    <col min="11" max="11" width="18.5703125" style="246" customWidth="1"/>
    <col min="12" max="12" width="18.42578125" style="246" customWidth="1"/>
    <col min="13" max="14" width="9.140625" style="246"/>
    <col min="15" max="16" width="15" style="246" bestFit="1" customWidth="1"/>
    <col min="17" max="54" width="9.140625" style="266"/>
    <col min="55" max="16384" width="9.140625" style="246"/>
  </cols>
  <sheetData>
    <row r="2" spans="1:54" x14ac:dyDescent="0.25">
      <c r="G2" s="272">
        <v>44409</v>
      </c>
      <c r="H2" s="247"/>
      <c r="I2" s="247"/>
      <c r="J2" s="247"/>
      <c r="K2" s="247">
        <f>портфель!C2</f>
        <v>425.41</v>
      </c>
      <c r="L2" s="247"/>
      <c r="O2" s="288">
        <v>424.6</v>
      </c>
    </row>
    <row r="4" spans="1:54" ht="42.75" x14ac:dyDescent="0.25">
      <c r="B4" s="248" t="s">
        <v>220</v>
      </c>
      <c r="C4" s="248" t="s">
        <v>221</v>
      </c>
      <c r="D4" s="248" t="s">
        <v>222</v>
      </c>
      <c r="E4" s="248" t="s">
        <v>223</v>
      </c>
      <c r="F4" s="248" t="s">
        <v>224</v>
      </c>
      <c r="G4" s="248" t="s">
        <v>225</v>
      </c>
      <c r="H4" s="248" t="s">
        <v>226</v>
      </c>
      <c r="I4" s="248" t="s">
        <v>227</v>
      </c>
      <c r="J4" s="248" t="s">
        <v>228</v>
      </c>
      <c r="K4" s="248" t="s">
        <v>228</v>
      </c>
      <c r="L4" s="249" t="s">
        <v>255</v>
      </c>
      <c r="M4" s="248" t="s">
        <v>229</v>
      </c>
      <c r="N4" s="248" t="s">
        <v>230</v>
      </c>
      <c r="O4" s="248" t="s">
        <v>231</v>
      </c>
      <c r="P4" s="248" t="s">
        <v>232</v>
      </c>
    </row>
    <row r="5" spans="1:54" x14ac:dyDescent="0.25">
      <c r="B5" s="246" t="str">
        <f>портфель!A13</f>
        <v>IVV US</v>
      </c>
      <c r="C5" s="246" t="str">
        <f>портфель!B13</f>
        <v>ISHARES CORE S&amp;P 500 ETF</v>
      </c>
      <c r="D5" s="269" t="str">
        <f>портфель!C13</f>
        <v>USD</v>
      </c>
      <c r="E5" s="251">
        <f>портфель!F13</f>
        <v>95</v>
      </c>
      <c r="F5" s="252">
        <f>портфель!G13</f>
        <v>44280</v>
      </c>
      <c r="G5" s="253">
        <f>портфель!L13</f>
        <v>423.36</v>
      </c>
      <c r="H5" s="253">
        <f>портфель!M13</f>
        <v>388.46</v>
      </c>
      <c r="I5" s="253">
        <f>портфель!N13</f>
        <v>454.21</v>
      </c>
      <c r="J5" s="253">
        <f>E5*I5</f>
        <v>43149.95</v>
      </c>
      <c r="K5" s="253">
        <f>портфель!X13</f>
        <v>43149.95</v>
      </c>
      <c r="L5" s="253">
        <v>41970.05</v>
      </c>
      <c r="M5" s="254">
        <f>L5/$L$87</f>
        <v>1.7229167386514824E-2</v>
      </c>
      <c r="N5" s="254">
        <f>K5/L5-1</f>
        <v>2.8112904321057286E-2</v>
      </c>
      <c r="O5" s="273">
        <f>IF(F5&lt;$G$2,L5*$O$2,L5*G5)</f>
        <v>17820483.23</v>
      </c>
      <c r="P5" s="253">
        <f t="shared" ref="P5" si="0">K5*$K$2</f>
        <v>18356420.229499999</v>
      </c>
    </row>
    <row r="6" spans="1:54" x14ac:dyDescent="0.25">
      <c r="B6" s="246" t="str">
        <f>портфель!A14</f>
        <v>IVV US</v>
      </c>
      <c r="C6" s="246" t="str">
        <f>портфель!B14</f>
        <v>ISHARES CORE S&amp;P 500 ETF</v>
      </c>
      <c r="D6" s="269" t="str">
        <f>портфель!C14</f>
        <v>USD</v>
      </c>
      <c r="E6" s="251">
        <f>портфель!F14</f>
        <v>93</v>
      </c>
      <c r="F6" s="252">
        <f>портфель!G14</f>
        <v>44280</v>
      </c>
      <c r="G6" s="253">
        <f>портфель!L14</f>
        <v>423.36</v>
      </c>
      <c r="H6" s="253">
        <f>портфель!M14</f>
        <v>386.54903225806498</v>
      </c>
      <c r="I6" s="253">
        <f>портфель!N14</f>
        <v>454.21</v>
      </c>
      <c r="J6" s="253">
        <f t="shared" ref="J6:J69" si="1">E6*I6</f>
        <v>42241.53</v>
      </c>
      <c r="K6" s="253">
        <f>портфель!X14</f>
        <v>42241.53</v>
      </c>
      <c r="L6" s="253">
        <v>41086.47</v>
      </c>
      <c r="M6" s="254">
        <f t="shared" ref="M6:M69" si="2">L6/$L$87</f>
        <v>1.6866448073114514E-2</v>
      </c>
      <c r="N6" s="254">
        <f t="shared" ref="N6:N69" si="3">K6/L6-1</f>
        <v>2.8112904321057508E-2</v>
      </c>
      <c r="O6" s="273">
        <f t="shared" ref="O6:O69" si="4">IF(F6&lt;$G$2,L6*$O$2,L6*G6)</f>
        <v>17445315.162</v>
      </c>
      <c r="P6" s="253">
        <f t="shared" ref="P6:P69" si="5">K6*$K$2</f>
        <v>17969969.2773</v>
      </c>
    </row>
    <row r="7" spans="1:54" x14ac:dyDescent="0.25">
      <c r="B7" s="246" t="str">
        <f>портфель!A15</f>
        <v>IVV US</v>
      </c>
      <c r="C7" s="246" t="str">
        <f>портфель!B15</f>
        <v>ISHARES CORE S&amp;P 500 ETF</v>
      </c>
      <c r="D7" s="269" t="str">
        <f>портфель!C15</f>
        <v>USD</v>
      </c>
      <c r="E7" s="251">
        <f>портфель!F15</f>
        <v>108</v>
      </c>
      <c r="F7" s="252">
        <f>портфель!G15</f>
        <v>44293</v>
      </c>
      <c r="G7" s="253">
        <f>портфель!L15</f>
        <v>430.77</v>
      </c>
      <c r="H7" s="253">
        <f>портфель!M15</f>
        <v>407.45</v>
      </c>
      <c r="I7" s="253">
        <f>портфель!N15</f>
        <v>454.21</v>
      </c>
      <c r="J7" s="253">
        <f t="shared" si="1"/>
        <v>49054.68</v>
      </c>
      <c r="K7" s="253">
        <f>портфель!X15</f>
        <v>49054.68</v>
      </c>
      <c r="L7" s="253">
        <v>47713.32</v>
      </c>
      <c r="M7" s="254">
        <f t="shared" si="2"/>
        <v>1.9586842923616853E-2</v>
      </c>
      <c r="N7" s="254">
        <f t="shared" si="3"/>
        <v>2.8112904321057508E-2</v>
      </c>
      <c r="O7" s="273">
        <f t="shared" si="4"/>
        <v>20259075.672000002</v>
      </c>
      <c r="P7" s="253">
        <f t="shared" si="5"/>
        <v>20868351.4188</v>
      </c>
    </row>
    <row r="8" spans="1:54" x14ac:dyDescent="0.25">
      <c r="B8" s="246" t="str">
        <f>портфель!A16</f>
        <v>IVV US</v>
      </c>
      <c r="C8" s="246" t="str">
        <f>портфель!B16</f>
        <v>ISHARES CORE S&amp;P 500 ETF</v>
      </c>
      <c r="D8" s="269" t="str">
        <f>портфель!C16</f>
        <v>USD</v>
      </c>
      <c r="E8" s="251">
        <f>портфель!F16</f>
        <v>98</v>
      </c>
      <c r="F8" s="252">
        <f>портфель!G16</f>
        <v>44308</v>
      </c>
      <c r="G8" s="253">
        <f>портфель!L16</f>
        <v>432.21</v>
      </c>
      <c r="H8" s="253">
        <f>портфель!M16</f>
        <v>417.18</v>
      </c>
      <c r="I8" s="253">
        <f>портфель!N16</f>
        <v>454.21</v>
      </c>
      <c r="J8" s="253">
        <f t="shared" si="1"/>
        <v>44512.579999999994</v>
      </c>
      <c r="K8" s="253">
        <f>портфель!X16</f>
        <v>44512.579999999994</v>
      </c>
      <c r="L8" s="253">
        <v>43295.420000000006</v>
      </c>
      <c r="M8" s="254">
        <f t="shared" si="2"/>
        <v>1.7773246356615296E-2</v>
      </c>
      <c r="N8" s="254">
        <f t="shared" si="3"/>
        <v>2.8112904321057286E-2</v>
      </c>
      <c r="O8" s="273">
        <f t="shared" si="4"/>
        <v>18383235.332000002</v>
      </c>
      <c r="P8" s="253">
        <f t="shared" si="5"/>
        <v>18936096.6578</v>
      </c>
    </row>
    <row r="9" spans="1:54" x14ac:dyDescent="0.25">
      <c r="B9" s="246" t="str">
        <f>портфель!A17</f>
        <v>IVV US</v>
      </c>
      <c r="C9" s="246" t="str">
        <f>портфель!B17</f>
        <v>ISHARES CORE S&amp;P 500 ETF</v>
      </c>
      <c r="D9" s="269" t="str">
        <f>портфель!C17</f>
        <v>USD</v>
      </c>
      <c r="E9" s="251">
        <f>портфель!F17</f>
        <v>87</v>
      </c>
      <c r="F9" s="252">
        <f>портфель!G17</f>
        <v>44321</v>
      </c>
      <c r="G9" s="253">
        <f>портфель!L17</f>
        <v>426.85</v>
      </c>
      <c r="H9" s="253">
        <f>портфель!M17</f>
        <v>417.64</v>
      </c>
      <c r="I9" s="253">
        <f>портфель!N17</f>
        <v>454.21</v>
      </c>
      <c r="J9" s="253">
        <f t="shared" si="1"/>
        <v>39516.269999999997</v>
      </c>
      <c r="K9" s="253">
        <f>портфель!X17</f>
        <v>39516.269999999997</v>
      </c>
      <c r="L9" s="253">
        <v>38435.730000000003</v>
      </c>
      <c r="M9" s="254">
        <f t="shared" si="2"/>
        <v>1.5778290132913576E-2</v>
      </c>
      <c r="N9" s="254">
        <f t="shared" si="3"/>
        <v>2.8112904321057286E-2</v>
      </c>
      <c r="O9" s="273">
        <f t="shared" si="4"/>
        <v>16319810.958000002</v>
      </c>
      <c r="P9" s="253">
        <f t="shared" si="5"/>
        <v>16810616.420699999</v>
      </c>
    </row>
    <row r="10" spans="1:54" x14ac:dyDescent="0.25">
      <c r="B10" s="246" t="str">
        <f>портфель!A18</f>
        <v>IVV US</v>
      </c>
      <c r="C10" s="246" t="str">
        <f>портфель!B18</f>
        <v>ISHARES CORE S&amp;P 500 ETF</v>
      </c>
      <c r="D10" s="269" t="str">
        <f>портфель!C18</f>
        <v>USD</v>
      </c>
      <c r="E10" s="251">
        <f>портфель!F18</f>
        <v>44</v>
      </c>
      <c r="F10" s="252">
        <f>портфель!G18</f>
        <v>44343</v>
      </c>
      <c r="G10" s="253">
        <f>портфель!L18</f>
        <v>428.48</v>
      </c>
      <c r="H10" s="253">
        <f>портфель!M18</f>
        <v>421.51795454545498</v>
      </c>
      <c r="I10" s="253">
        <f>портфель!N18</f>
        <v>454.21</v>
      </c>
      <c r="J10" s="253">
        <f t="shared" si="1"/>
        <v>19985.239999999998</v>
      </c>
      <c r="K10" s="253">
        <f>портфель!X18</f>
        <v>19985.239999999998</v>
      </c>
      <c r="L10" s="253">
        <v>19438.760000000002</v>
      </c>
      <c r="M10" s="254">
        <f t="shared" si="2"/>
        <v>7.9798248948068674E-3</v>
      </c>
      <c r="N10" s="254">
        <f t="shared" si="3"/>
        <v>2.8112904321057286E-2</v>
      </c>
      <c r="O10" s="273">
        <f t="shared" si="4"/>
        <v>8253697.4960000012</v>
      </c>
      <c r="P10" s="253">
        <f t="shared" si="5"/>
        <v>8501920.9484000001</v>
      </c>
    </row>
    <row r="11" spans="1:54" x14ac:dyDescent="0.25">
      <c r="B11" s="246" t="str">
        <f>портфель!A19</f>
        <v>IVV US</v>
      </c>
      <c r="C11" s="246" t="str">
        <f>портфель!B19</f>
        <v>ISHARES CORE S&amp;P 500 ETF</v>
      </c>
      <c r="D11" s="269" t="str">
        <f>портфель!C19</f>
        <v>USD</v>
      </c>
      <c r="E11" s="251">
        <f>портфель!F19</f>
        <v>35</v>
      </c>
      <c r="F11" s="252">
        <f>портфель!G19</f>
        <v>44363</v>
      </c>
      <c r="G11" s="253">
        <f>портфель!L19</f>
        <v>425.63</v>
      </c>
      <c r="H11" s="253">
        <f>портфель!M19</f>
        <v>424.18</v>
      </c>
      <c r="I11" s="253">
        <f>портфель!N19</f>
        <v>454.21</v>
      </c>
      <c r="J11" s="253">
        <f t="shared" si="1"/>
        <v>15897.349999999999</v>
      </c>
      <c r="K11" s="253">
        <f>портфель!X19</f>
        <v>15897.349999999999</v>
      </c>
      <c r="L11" s="253">
        <v>15462.650000000001</v>
      </c>
      <c r="M11" s="254">
        <f t="shared" si="2"/>
        <v>6.3475879845054624E-3</v>
      </c>
      <c r="N11" s="254">
        <f t="shared" si="3"/>
        <v>2.8112904321057286E-2</v>
      </c>
      <c r="O11" s="273">
        <f t="shared" si="4"/>
        <v>6565441.1900000013</v>
      </c>
      <c r="P11" s="253">
        <f t="shared" si="5"/>
        <v>6762891.6634999998</v>
      </c>
    </row>
    <row r="12" spans="1:54" x14ac:dyDescent="0.25">
      <c r="B12" s="246" t="str">
        <f>портфель!A20</f>
        <v>IVV US</v>
      </c>
      <c r="C12" s="246" t="str">
        <f>портфель!B20</f>
        <v>ISHARES CORE S&amp;P 500 ETF</v>
      </c>
      <c r="D12" s="269" t="str">
        <f>портфель!C20</f>
        <v>USD</v>
      </c>
      <c r="E12" s="251">
        <f>портфель!F20</f>
        <v>60</v>
      </c>
      <c r="F12" s="252">
        <f>портфель!G20</f>
        <v>44393</v>
      </c>
      <c r="G12" s="253">
        <f>портфель!L20</f>
        <v>426.47</v>
      </c>
      <c r="H12" s="253">
        <f>портфель!M20</f>
        <v>435.56866666666667</v>
      </c>
      <c r="I12" s="253">
        <f>портфель!N20</f>
        <v>454.21</v>
      </c>
      <c r="J12" s="253">
        <f t="shared" si="1"/>
        <v>27252.6</v>
      </c>
      <c r="K12" s="253">
        <f>портфель!X20</f>
        <v>27252.6</v>
      </c>
      <c r="L12" s="253">
        <v>26507.4</v>
      </c>
      <c r="M12" s="254">
        <f t="shared" si="2"/>
        <v>1.0881579402009364E-2</v>
      </c>
      <c r="N12" s="254">
        <f t="shared" si="3"/>
        <v>2.8112904321057508E-2</v>
      </c>
      <c r="O12" s="273">
        <f t="shared" si="4"/>
        <v>11255042.040000001</v>
      </c>
      <c r="P12" s="253">
        <f t="shared" si="5"/>
        <v>11593528.566</v>
      </c>
    </row>
    <row r="13" spans="1:54" s="255" customFormat="1" x14ac:dyDescent="0.25">
      <c r="A13" s="266"/>
      <c r="B13" s="246" t="str">
        <f>портфель!A21</f>
        <v>IVV US</v>
      </c>
      <c r="C13" s="246" t="str">
        <f>портфель!B21</f>
        <v>ISHARES CORE S&amp;P 500 ETF</v>
      </c>
      <c r="D13" s="269" t="str">
        <f>портфель!C21</f>
        <v>USD</v>
      </c>
      <c r="E13" s="251">
        <f>портфель!F21</f>
        <v>37</v>
      </c>
      <c r="F13" s="252">
        <f>портфель!G21</f>
        <v>44399</v>
      </c>
      <c r="G13" s="253">
        <f>портфель!L21</f>
        <v>425.71</v>
      </c>
      <c r="H13" s="253">
        <f>портфель!M21</f>
        <v>436.67</v>
      </c>
      <c r="I13" s="253">
        <f>портфель!N21</f>
        <v>454.21</v>
      </c>
      <c r="J13" s="253">
        <f t="shared" si="1"/>
        <v>16805.77</v>
      </c>
      <c r="K13" s="253">
        <f>портфель!X21</f>
        <v>16805.77</v>
      </c>
      <c r="L13" s="253">
        <v>16346.230000000001</v>
      </c>
      <c r="M13" s="254">
        <f t="shared" si="2"/>
        <v>6.7103072979057743E-3</v>
      </c>
      <c r="N13" s="254">
        <f t="shared" si="3"/>
        <v>2.8112904321057508E-2</v>
      </c>
      <c r="O13" s="273">
        <f t="shared" si="4"/>
        <v>6940609.2580000013</v>
      </c>
      <c r="P13" s="253">
        <f t="shared" si="5"/>
        <v>7149342.6157000009</v>
      </c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</row>
    <row r="14" spans="1:54" x14ac:dyDescent="0.25">
      <c r="B14" s="246" t="str">
        <f>портфель!A22</f>
        <v>IVV US</v>
      </c>
      <c r="C14" s="246" t="str">
        <f>портфель!B22</f>
        <v>ISHARES CORE S&amp;P 500 ETF</v>
      </c>
      <c r="D14" s="269" t="str">
        <f>портфель!C22</f>
        <v>USD</v>
      </c>
      <c r="E14" s="251">
        <f>портфель!F22</f>
        <v>33</v>
      </c>
      <c r="F14" s="252">
        <f>портфель!G22</f>
        <v>44414</v>
      </c>
      <c r="G14" s="253">
        <f>портфель!L22</f>
        <v>424.32</v>
      </c>
      <c r="H14" s="253">
        <f>портфель!M22</f>
        <v>444.15</v>
      </c>
      <c r="I14" s="253">
        <f>портфель!N22</f>
        <v>454.21</v>
      </c>
      <c r="J14" s="253">
        <f t="shared" si="1"/>
        <v>14988.929999999998</v>
      </c>
      <c r="K14" s="253">
        <f>портфель!X22</f>
        <v>14988.929999999998</v>
      </c>
      <c r="L14" s="253">
        <f>E14*H14</f>
        <v>14656.949999999999</v>
      </c>
      <c r="M14" s="254">
        <f t="shared" si="2"/>
        <v>6.0168392681395049E-3</v>
      </c>
      <c r="N14" s="254">
        <f t="shared" si="3"/>
        <v>2.2650005628729097E-2</v>
      </c>
      <c r="O14" s="273">
        <f t="shared" si="4"/>
        <v>6219237.0239999993</v>
      </c>
      <c r="P14" s="253">
        <f t="shared" si="5"/>
        <v>6376440.7112999996</v>
      </c>
    </row>
    <row r="15" spans="1:54" s="255" customFormat="1" x14ac:dyDescent="0.25">
      <c r="B15" s="255" t="str">
        <f>портфель!A23</f>
        <v>IVV US</v>
      </c>
      <c r="C15" s="255" t="str">
        <f>портфель!B23</f>
        <v>ISHARES CORE S&amp;P 500 ETF</v>
      </c>
      <c r="D15" s="270" t="str">
        <f>портфель!C23</f>
        <v>USD</v>
      </c>
      <c r="E15" s="256">
        <f>портфель!F23</f>
        <v>40</v>
      </c>
      <c r="F15" s="257">
        <f>портфель!G23</f>
        <v>44427</v>
      </c>
      <c r="G15" s="258">
        <f>портфель!L23</f>
        <v>426.66</v>
      </c>
      <c r="H15" s="258">
        <f>портфель!M23</f>
        <v>439.59949999999998</v>
      </c>
      <c r="I15" s="258">
        <f>портфель!N23</f>
        <v>454.21</v>
      </c>
      <c r="J15" s="258">
        <f t="shared" si="1"/>
        <v>18168.399999999998</v>
      </c>
      <c r="K15" s="258">
        <f>портфель!X23</f>
        <v>18168.399999999998</v>
      </c>
      <c r="L15" s="258">
        <f>E15*H15</f>
        <v>17583.98</v>
      </c>
      <c r="M15" s="259">
        <f t="shared" si="2"/>
        <v>7.2184172937875685E-3</v>
      </c>
      <c r="N15" s="259">
        <f t="shared" si="3"/>
        <v>3.3235934071808471E-2</v>
      </c>
      <c r="O15" s="275">
        <f t="shared" si="4"/>
        <v>7502380.9068</v>
      </c>
      <c r="P15" s="258">
        <f t="shared" si="5"/>
        <v>7729019.0439999998</v>
      </c>
    </row>
    <row r="16" spans="1:54" x14ac:dyDescent="0.25">
      <c r="B16" s="246" t="str">
        <f>портфель!A24</f>
        <v>SUSA US</v>
      </c>
      <c r="C16" s="246" t="str">
        <f>портфель!B24</f>
        <v>ISHARES MSCI USA ESG SELECT ETF</v>
      </c>
      <c r="D16" s="269" t="str">
        <f>портфель!C24</f>
        <v>USD</v>
      </c>
      <c r="E16" s="251">
        <f>портфель!F24</f>
        <v>143</v>
      </c>
      <c r="F16" s="252">
        <f>портфель!G24</f>
        <v>44280</v>
      </c>
      <c r="G16" s="253">
        <f>портфель!L24</f>
        <v>423.36</v>
      </c>
      <c r="H16" s="253">
        <f>портфель!M24</f>
        <v>85.45</v>
      </c>
      <c r="I16" s="253">
        <f>портфель!N24</f>
        <v>101.64</v>
      </c>
      <c r="J16" s="253">
        <f t="shared" si="1"/>
        <v>14534.52</v>
      </c>
      <c r="K16" s="253">
        <f>портфель!X24</f>
        <v>14534.52</v>
      </c>
      <c r="L16" s="253">
        <v>14046.890000000001</v>
      </c>
      <c r="M16" s="254">
        <f t="shared" si="2"/>
        <v>5.7664029247037167E-3</v>
      </c>
      <c r="N16" s="254">
        <f t="shared" si="3"/>
        <v>3.4714445688689644E-2</v>
      </c>
      <c r="O16" s="273">
        <f t="shared" si="4"/>
        <v>5964309.4940000009</v>
      </c>
      <c r="P16" s="253">
        <f t="shared" si="5"/>
        <v>6183130.1532000005</v>
      </c>
    </row>
    <row r="17" spans="1:54" x14ac:dyDescent="0.25">
      <c r="B17" s="246" t="str">
        <f>портфель!A25</f>
        <v>SUSA US</v>
      </c>
      <c r="C17" s="246" t="str">
        <f>портфель!B25</f>
        <v>ISHARES MSCI USA ESG SELECT ETF</v>
      </c>
      <c r="D17" s="269" t="str">
        <f>портфель!C25</f>
        <v>USD</v>
      </c>
      <c r="E17" s="251">
        <f>портфель!F25</f>
        <v>140</v>
      </c>
      <c r="F17" s="252">
        <f>портфель!G25</f>
        <v>44280</v>
      </c>
      <c r="G17" s="253">
        <f>портфель!L25</f>
        <v>423.36</v>
      </c>
      <c r="H17" s="253">
        <f>портфель!M25</f>
        <v>85.15</v>
      </c>
      <c r="I17" s="253">
        <f>портфель!N25</f>
        <v>101.64</v>
      </c>
      <c r="J17" s="253">
        <f t="shared" si="1"/>
        <v>14229.6</v>
      </c>
      <c r="K17" s="253">
        <f>портфель!X25</f>
        <v>14229.6</v>
      </c>
      <c r="L17" s="253">
        <v>13752.2</v>
      </c>
      <c r="M17" s="254">
        <f t="shared" si="2"/>
        <v>5.64542943677287E-3</v>
      </c>
      <c r="N17" s="254">
        <f t="shared" si="3"/>
        <v>3.4714445688689866E-2</v>
      </c>
      <c r="O17" s="273">
        <f t="shared" si="4"/>
        <v>5839184.120000001</v>
      </c>
      <c r="P17" s="253">
        <f t="shared" si="5"/>
        <v>6053414.1360000009</v>
      </c>
    </row>
    <row r="18" spans="1:54" x14ac:dyDescent="0.25">
      <c r="B18" s="246" t="str">
        <f>портфель!A26</f>
        <v>SUSA US</v>
      </c>
      <c r="C18" s="246" t="str">
        <f>портфель!B26</f>
        <v>ISHARES MSCI USA ESG SELECT ETF</v>
      </c>
      <c r="D18" s="269" t="str">
        <f>портфель!C26</f>
        <v>USD</v>
      </c>
      <c r="E18" s="251">
        <f>портфель!F26</f>
        <v>164</v>
      </c>
      <c r="F18" s="252">
        <f>портфель!G26</f>
        <v>44293</v>
      </c>
      <c r="G18" s="253">
        <f>портфель!L26</f>
        <v>430.77</v>
      </c>
      <c r="H18" s="253">
        <f>портфель!M26</f>
        <v>89.78</v>
      </c>
      <c r="I18" s="253">
        <f>портфель!N26</f>
        <v>101.64</v>
      </c>
      <c r="J18" s="253">
        <f t="shared" si="1"/>
        <v>16668.96</v>
      </c>
      <c r="K18" s="253">
        <f>портфель!X26</f>
        <v>16668.96</v>
      </c>
      <c r="L18" s="253">
        <v>16109.720000000001</v>
      </c>
      <c r="M18" s="254">
        <f t="shared" si="2"/>
        <v>6.6132173402196478E-3</v>
      </c>
      <c r="N18" s="254">
        <f t="shared" si="3"/>
        <v>3.4714445688689644E-2</v>
      </c>
      <c r="O18" s="273">
        <f t="shared" si="4"/>
        <v>6840187.1120000007</v>
      </c>
      <c r="P18" s="253">
        <f t="shared" si="5"/>
        <v>7091142.2736</v>
      </c>
    </row>
    <row r="19" spans="1:54" s="255" customFormat="1" x14ac:dyDescent="0.25">
      <c r="A19" s="266"/>
      <c r="B19" s="246" t="str">
        <f>портфель!A27</f>
        <v>SUSA US</v>
      </c>
      <c r="C19" s="246" t="str">
        <f>портфель!B27</f>
        <v>ISHARES MSCI USA ESG SELECT ETF</v>
      </c>
      <c r="D19" s="269" t="str">
        <f>портфель!C27</f>
        <v>USD</v>
      </c>
      <c r="E19" s="251">
        <f>портфель!F27</f>
        <v>141</v>
      </c>
      <c r="F19" s="252">
        <f>портфель!G27</f>
        <v>44307</v>
      </c>
      <c r="G19" s="253">
        <f>портфель!L27</f>
        <v>432.01</v>
      </c>
      <c r="H19" s="253">
        <f>портфель!M27</f>
        <v>91.57</v>
      </c>
      <c r="I19" s="253">
        <f>портфель!N27</f>
        <v>101.64</v>
      </c>
      <c r="J19" s="253">
        <f t="shared" si="1"/>
        <v>14331.24</v>
      </c>
      <c r="K19" s="253">
        <f>портфель!X27</f>
        <v>14331.24</v>
      </c>
      <c r="L19" s="253">
        <v>13850.43</v>
      </c>
      <c r="M19" s="254">
        <f t="shared" si="2"/>
        <v>5.6857539327498183E-3</v>
      </c>
      <c r="N19" s="254">
        <f t="shared" si="3"/>
        <v>3.4714445688689866E-2</v>
      </c>
      <c r="O19" s="273">
        <f t="shared" si="4"/>
        <v>5880892.5780000007</v>
      </c>
      <c r="P19" s="253">
        <f t="shared" si="5"/>
        <v>6096652.8084000004</v>
      </c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6"/>
      <c r="AX19" s="266"/>
      <c r="AY19" s="266"/>
      <c r="AZ19" s="266"/>
      <c r="BA19" s="266"/>
      <c r="BB19" s="266"/>
    </row>
    <row r="20" spans="1:54" x14ac:dyDescent="0.25">
      <c r="B20" s="246" t="str">
        <f>портфель!A28</f>
        <v>SUSA US</v>
      </c>
      <c r="C20" s="246" t="str">
        <f>портфель!B28</f>
        <v>ISHARES MSCI USA ESG SELECT ETF</v>
      </c>
      <c r="D20" s="269" t="str">
        <f>портфель!C28</f>
        <v>USD</v>
      </c>
      <c r="E20" s="251">
        <f>портфель!F28</f>
        <v>132</v>
      </c>
      <c r="F20" s="252">
        <f>портфель!G28</f>
        <v>44321</v>
      </c>
      <c r="G20" s="253">
        <f>портфель!L28</f>
        <v>426.85</v>
      </c>
      <c r="H20" s="253">
        <f>портфель!M28</f>
        <v>91.89</v>
      </c>
      <c r="I20" s="253">
        <f>портфель!N28</f>
        <v>101.64</v>
      </c>
      <c r="J20" s="253">
        <f t="shared" si="1"/>
        <v>13416.48</v>
      </c>
      <c r="K20" s="253">
        <f>портфель!X28</f>
        <v>13416.48</v>
      </c>
      <c r="L20" s="253">
        <v>12966.36</v>
      </c>
      <c r="M20" s="254">
        <f t="shared" si="2"/>
        <v>5.3228334689572774E-3</v>
      </c>
      <c r="N20" s="254">
        <f t="shared" si="3"/>
        <v>3.4714445688689644E-2</v>
      </c>
      <c r="O20" s="273">
        <f t="shared" si="4"/>
        <v>5505516.4560000002</v>
      </c>
      <c r="P20" s="253">
        <f t="shared" si="5"/>
        <v>5707504.7568000006</v>
      </c>
    </row>
    <row r="21" spans="1:54" x14ac:dyDescent="0.25">
      <c r="B21" s="246" t="str">
        <f>портфель!A29</f>
        <v>SUSA US</v>
      </c>
      <c r="C21" s="246" t="str">
        <f>портфель!B29</f>
        <v>ISHARES MSCI USA ESG SELECT ETF</v>
      </c>
      <c r="D21" s="269" t="str">
        <f>портфель!C29</f>
        <v>USD</v>
      </c>
      <c r="E21" s="251">
        <f>портфель!F29</f>
        <v>69</v>
      </c>
      <c r="F21" s="252">
        <f>портфель!G29</f>
        <v>44343</v>
      </c>
      <c r="G21" s="253">
        <f>портфель!L29</f>
        <v>428.48</v>
      </c>
      <c r="H21" s="253">
        <f>портфель!M29</f>
        <v>92.99</v>
      </c>
      <c r="I21" s="253">
        <f>портфель!N29</f>
        <v>101.64</v>
      </c>
      <c r="J21" s="253">
        <f t="shared" si="1"/>
        <v>7013.16</v>
      </c>
      <c r="K21" s="253">
        <f>портфель!X29</f>
        <v>7013.16</v>
      </c>
      <c r="L21" s="253">
        <v>6777.87</v>
      </c>
      <c r="M21" s="254">
        <f t="shared" si="2"/>
        <v>2.7823902224094854E-3</v>
      </c>
      <c r="N21" s="254">
        <f t="shared" si="3"/>
        <v>3.4714445688689866E-2</v>
      </c>
      <c r="O21" s="273">
        <f t="shared" si="4"/>
        <v>2877883.602</v>
      </c>
      <c r="P21" s="253">
        <f t="shared" si="5"/>
        <v>2983468.3955999999</v>
      </c>
    </row>
    <row r="22" spans="1:54" s="255" customFormat="1" x14ac:dyDescent="0.25">
      <c r="B22" s="255" t="str">
        <f>портфель!A30</f>
        <v>SUSA US</v>
      </c>
      <c r="C22" s="255" t="str">
        <f>портфель!B30</f>
        <v>ISHARES MSCI USA ESG SELECT ETF</v>
      </c>
      <c r="D22" s="270" t="str">
        <f>портфель!C30</f>
        <v>USD</v>
      </c>
      <c r="E22" s="256">
        <f>портфель!F30</f>
        <v>102</v>
      </c>
      <c r="F22" s="257">
        <f>портфель!G30</f>
        <v>44414</v>
      </c>
      <c r="G22" s="258">
        <f>портфель!L30</f>
        <v>424.32</v>
      </c>
      <c r="H22" s="258">
        <f>портфель!M30</f>
        <v>99.12</v>
      </c>
      <c r="I22" s="258">
        <f>портфель!N30</f>
        <v>101.64</v>
      </c>
      <c r="J22" s="258">
        <f t="shared" si="1"/>
        <v>10367.280000000001</v>
      </c>
      <c r="K22" s="258">
        <f>портфель!X30</f>
        <v>10367.280000000001</v>
      </c>
      <c r="L22" s="258">
        <f>E22*H22</f>
        <v>10110.24</v>
      </c>
      <c r="M22" s="259">
        <f t="shared" si="2"/>
        <v>4.150364778641856E-3</v>
      </c>
      <c r="N22" s="259">
        <f t="shared" si="3"/>
        <v>2.5423728813559476E-2</v>
      </c>
      <c r="O22" s="275">
        <f t="shared" si="4"/>
        <v>4289977.0367999999</v>
      </c>
      <c r="P22" s="258">
        <f t="shared" si="5"/>
        <v>4410344.5848000003</v>
      </c>
    </row>
    <row r="23" spans="1:54" x14ac:dyDescent="0.25">
      <c r="B23" s="246" t="str">
        <f>портфель!A31</f>
        <v>RING US</v>
      </c>
      <c r="C23" s="246" t="str">
        <f>портфель!B31</f>
        <v>ISHARES MSCI GLOBAL GOLD MINERS ETF</v>
      </c>
      <c r="D23" s="269" t="str">
        <f>портфель!C31</f>
        <v>USD</v>
      </c>
      <c r="E23" s="251">
        <f>портфель!F31</f>
        <v>223</v>
      </c>
      <c r="F23" s="252">
        <f>портфель!G31</f>
        <v>44280</v>
      </c>
      <c r="G23" s="253">
        <f>портфель!L31</f>
        <v>423.36</v>
      </c>
      <c r="H23" s="253">
        <f>портфель!M31</f>
        <v>27.01</v>
      </c>
      <c r="I23" s="253">
        <f>портфель!N31</f>
        <v>26.51</v>
      </c>
      <c r="J23" s="253">
        <f t="shared" si="1"/>
        <v>5911.7300000000005</v>
      </c>
      <c r="K23" s="253">
        <f>портфель!X31</f>
        <v>5911.7300000000005</v>
      </c>
      <c r="L23" s="253">
        <v>6078.9800000000005</v>
      </c>
      <c r="M23" s="254">
        <f t="shared" si="2"/>
        <v>2.495488186439518E-3</v>
      </c>
      <c r="N23" s="254">
        <f t="shared" si="3"/>
        <v>-2.7512839325018357E-2</v>
      </c>
      <c r="O23" s="273">
        <f t="shared" si="4"/>
        <v>2581134.9080000003</v>
      </c>
      <c r="P23" s="253">
        <f t="shared" si="5"/>
        <v>2514909.0593000003</v>
      </c>
    </row>
    <row r="24" spans="1:54" x14ac:dyDescent="0.25">
      <c r="B24" s="246" t="str">
        <f>портфель!A32</f>
        <v>RING US</v>
      </c>
      <c r="C24" s="246" t="str">
        <f>портфель!B32</f>
        <v>ISHARES MSCI GLOBAL GOLD MINERS ETF</v>
      </c>
      <c r="D24" s="269" t="str">
        <f>портфель!C32</f>
        <v>USD</v>
      </c>
      <c r="E24" s="251">
        <f>портфель!F32</f>
        <v>218</v>
      </c>
      <c r="F24" s="252">
        <f>портфель!G32</f>
        <v>44280</v>
      </c>
      <c r="G24" s="253">
        <f>портфель!L32</f>
        <v>423.36</v>
      </c>
      <c r="H24" s="253">
        <f>портфель!M32</f>
        <v>27.1</v>
      </c>
      <c r="I24" s="253">
        <f>портфель!N32</f>
        <v>26.51</v>
      </c>
      <c r="J24" s="253">
        <f t="shared" si="1"/>
        <v>5779.18</v>
      </c>
      <c r="K24" s="253">
        <f>портфель!X32</f>
        <v>5779.18</v>
      </c>
      <c r="L24" s="253">
        <v>5942.68</v>
      </c>
      <c r="M24" s="254">
        <f t="shared" si="2"/>
        <v>2.4395355365193494E-3</v>
      </c>
      <c r="N24" s="254">
        <f t="shared" si="3"/>
        <v>-2.7512839325018357E-2</v>
      </c>
      <c r="O24" s="273">
        <f t="shared" si="4"/>
        <v>2523261.9280000003</v>
      </c>
      <c r="P24" s="253">
        <f t="shared" si="5"/>
        <v>2458520.9638000005</v>
      </c>
    </row>
    <row r="25" spans="1:54" s="255" customFormat="1" x14ac:dyDescent="0.25">
      <c r="A25" s="266"/>
      <c r="B25" s="246" t="str">
        <f>портфель!A33</f>
        <v>RING US</v>
      </c>
      <c r="C25" s="246" t="str">
        <f>портфель!B33</f>
        <v>ISHARES MSCI GLOBAL GOLD MINERS ETF</v>
      </c>
      <c r="D25" s="269" t="str">
        <f>портфель!C33</f>
        <v>USD</v>
      </c>
      <c r="E25" s="251">
        <f>портфель!F33</f>
        <v>255</v>
      </c>
      <c r="F25" s="252">
        <f>портфель!G33</f>
        <v>44293</v>
      </c>
      <c r="G25" s="253">
        <f>портфель!L33</f>
        <v>430.77</v>
      </c>
      <c r="H25" s="253">
        <f>портфель!M33</f>
        <v>28.47</v>
      </c>
      <c r="I25" s="253">
        <f>портфель!N33</f>
        <v>26.51</v>
      </c>
      <c r="J25" s="253">
        <f t="shared" si="1"/>
        <v>6760.05</v>
      </c>
      <c r="K25" s="253">
        <f>портфель!X33</f>
        <v>6760.05</v>
      </c>
      <c r="L25" s="253">
        <v>6951.3</v>
      </c>
      <c r="M25" s="254">
        <f t="shared" si="2"/>
        <v>2.8535851459285965E-3</v>
      </c>
      <c r="N25" s="254">
        <f t="shared" si="3"/>
        <v>-2.7512839325018357E-2</v>
      </c>
      <c r="O25" s="273">
        <f t="shared" si="4"/>
        <v>2951521.9800000004</v>
      </c>
      <c r="P25" s="253">
        <f t="shared" si="5"/>
        <v>2875792.8705000002</v>
      </c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</row>
    <row r="26" spans="1:54" x14ac:dyDescent="0.25">
      <c r="B26" s="246" t="str">
        <f>портфель!A34</f>
        <v>RING US</v>
      </c>
      <c r="C26" s="246" t="str">
        <f>портфель!B34</f>
        <v>ISHARES MSCI GLOBAL GOLD MINERS ETF</v>
      </c>
      <c r="D26" s="269" t="str">
        <f>портфель!C34</f>
        <v>USD</v>
      </c>
      <c r="E26" s="251">
        <f>портфель!F34</f>
        <v>210</v>
      </c>
      <c r="F26" s="252">
        <f>портфель!G34</f>
        <v>44307</v>
      </c>
      <c r="G26" s="253">
        <f>портфель!L34</f>
        <v>432.01</v>
      </c>
      <c r="H26" s="253">
        <f>портфель!M34</f>
        <v>30.73</v>
      </c>
      <c r="I26" s="253">
        <f>портфель!N34</f>
        <v>26.51</v>
      </c>
      <c r="J26" s="253">
        <f t="shared" si="1"/>
        <v>5567.1</v>
      </c>
      <c r="K26" s="253">
        <f>портфель!X34</f>
        <v>5567.1</v>
      </c>
      <c r="L26" s="253">
        <v>5724.6</v>
      </c>
      <c r="M26" s="254">
        <f t="shared" si="2"/>
        <v>2.3500112966470797E-3</v>
      </c>
      <c r="N26" s="254">
        <f t="shared" si="3"/>
        <v>-2.7512839325018357E-2</v>
      </c>
      <c r="O26" s="273">
        <f t="shared" si="4"/>
        <v>2430665.16</v>
      </c>
      <c r="P26" s="253">
        <f t="shared" si="5"/>
        <v>2368300.0110000004</v>
      </c>
    </row>
    <row r="27" spans="1:54" x14ac:dyDescent="0.25">
      <c r="B27" s="246" t="str">
        <f>портфель!A35</f>
        <v>RING US</v>
      </c>
      <c r="C27" s="246" t="str">
        <f>портфель!B35</f>
        <v>ISHARES MSCI GLOBAL GOLD MINERS ETF</v>
      </c>
      <c r="D27" s="269" t="str">
        <f>портфель!C35</f>
        <v>USD</v>
      </c>
      <c r="E27" s="251">
        <f>портфель!F35</f>
        <v>175</v>
      </c>
      <c r="F27" s="252">
        <f>портфель!G35</f>
        <v>44321</v>
      </c>
      <c r="G27" s="253">
        <f>портфель!L35</f>
        <v>426.85</v>
      </c>
      <c r="H27" s="253">
        <f>портфель!M35</f>
        <v>29.56</v>
      </c>
      <c r="I27" s="253">
        <f>портфель!N35</f>
        <v>26.51</v>
      </c>
      <c r="J27" s="253">
        <f t="shared" si="1"/>
        <v>4639.25</v>
      </c>
      <c r="K27" s="253">
        <f>портфель!X35</f>
        <v>4639.25</v>
      </c>
      <c r="L27" s="253">
        <v>4770.5</v>
      </c>
      <c r="M27" s="254">
        <f t="shared" si="2"/>
        <v>1.9583427472058997E-3</v>
      </c>
      <c r="N27" s="254">
        <f t="shared" si="3"/>
        <v>-2.7512839325018357E-2</v>
      </c>
      <c r="O27" s="273">
        <f t="shared" si="4"/>
        <v>2025554.3</v>
      </c>
      <c r="P27" s="253">
        <f t="shared" si="5"/>
        <v>1973583.3425</v>
      </c>
    </row>
    <row r="28" spans="1:54" s="255" customFormat="1" x14ac:dyDescent="0.25">
      <c r="B28" s="255" t="str">
        <f>портфель!A36</f>
        <v>RING US</v>
      </c>
      <c r="C28" s="255" t="str">
        <f>портфель!B36</f>
        <v>ISHARES MSCI GLOBAL GOLD MINERS ETF</v>
      </c>
      <c r="D28" s="270" t="str">
        <f>портфель!C36</f>
        <v>USD</v>
      </c>
      <c r="E28" s="256">
        <f>портфель!F36</f>
        <v>364</v>
      </c>
      <c r="F28" s="257">
        <f>портфель!G36</f>
        <v>44393</v>
      </c>
      <c r="G28" s="258">
        <f>портфель!L36</f>
        <v>426.47</v>
      </c>
      <c r="H28" s="258">
        <f>портфель!M36</f>
        <v>28.29</v>
      </c>
      <c r="I28" s="258">
        <f>портфель!N36</f>
        <v>26.51</v>
      </c>
      <c r="J28" s="258">
        <f t="shared" si="1"/>
        <v>9649.6400000000012</v>
      </c>
      <c r="K28" s="258">
        <f>портфель!X36</f>
        <v>9649.6400000000012</v>
      </c>
      <c r="L28" s="258">
        <v>9922.6400000000012</v>
      </c>
      <c r="M28" s="259">
        <f t="shared" si="2"/>
        <v>4.0733529141882717E-3</v>
      </c>
      <c r="N28" s="259">
        <f t="shared" si="3"/>
        <v>-2.7512839325018357E-2</v>
      </c>
      <c r="O28" s="275">
        <f t="shared" si="4"/>
        <v>4213152.9440000011</v>
      </c>
      <c r="P28" s="258">
        <f t="shared" si="5"/>
        <v>4105053.3524000007</v>
      </c>
    </row>
    <row r="29" spans="1:54" x14ac:dyDescent="0.25">
      <c r="B29" s="246" t="str">
        <f>портфель!A37</f>
        <v>CWI US</v>
      </c>
      <c r="C29" s="246" t="str">
        <f>портфель!B37</f>
        <v>SPDR State Street Global Advisors</v>
      </c>
      <c r="D29" s="269" t="str">
        <f>портфель!C37</f>
        <v>USD</v>
      </c>
      <c r="E29" s="251">
        <f>портфель!F37</f>
        <v>1475</v>
      </c>
      <c r="F29" s="252">
        <f>портфель!G37</f>
        <v>44280</v>
      </c>
      <c r="G29" s="253">
        <f>портфель!L37</f>
        <v>423.36</v>
      </c>
      <c r="H29" s="253">
        <f>портфель!M37</f>
        <v>28.45</v>
      </c>
      <c r="I29" s="253">
        <f>портфель!N37</f>
        <v>29.95</v>
      </c>
      <c r="J29" s="253">
        <f t="shared" si="1"/>
        <v>44176.25</v>
      </c>
      <c r="K29" s="253">
        <f>портфель!X37</f>
        <v>44176.25</v>
      </c>
      <c r="L29" s="253">
        <v>43940.25</v>
      </c>
      <c r="M29" s="254">
        <f t="shared" si="2"/>
        <v>1.8037956167679284E-2</v>
      </c>
      <c r="N29" s="254">
        <f t="shared" si="3"/>
        <v>5.3709298422288665E-3</v>
      </c>
      <c r="O29" s="273">
        <f t="shared" si="4"/>
        <v>18657030.150000002</v>
      </c>
      <c r="P29" s="253">
        <f t="shared" si="5"/>
        <v>18793018.512499999</v>
      </c>
    </row>
    <row r="30" spans="1:54" x14ac:dyDescent="0.25">
      <c r="B30" s="246" t="str">
        <f>портфель!A38</f>
        <v>CWI US</v>
      </c>
      <c r="C30" s="246" t="str">
        <f>портфель!B38</f>
        <v>SPDR State Street Global Advisors</v>
      </c>
      <c r="D30" s="269" t="str">
        <f>портфель!C38</f>
        <v>USD</v>
      </c>
      <c r="E30" s="251">
        <f>портфель!F38</f>
        <v>1507</v>
      </c>
      <c r="F30" s="252">
        <f>портфель!G38</f>
        <v>44280</v>
      </c>
      <c r="G30" s="253">
        <f>портфель!L38</f>
        <v>423.36</v>
      </c>
      <c r="H30" s="253">
        <f>портфель!M38</f>
        <v>28.535003317849998</v>
      </c>
      <c r="I30" s="253">
        <f>портфель!N38</f>
        <v>29.95</v>
      </c>
      <c r="J30" s="253">
        <f t="shared" si="1"/>
        <v>45134.65</v>
      </c>
      <c r="K30" s="253">
        <f>портфель!X38</f>
        <v>45134.65</v>
      </c>
      <c r="L30" s="253">
        <v>44893.53</v>
      </c>
      <c r="M30" s="254">
        <f t="shared" si="2"/>
        <v>1.8429288098096734E-2</v>
      </c>
      <c r="N30" s="254">
        <f t="shared" si="3"/>
        <v>5.3709298422290885E-3</v>
      </c>
      <c r="O30" s="273">
        <f t="shared" si="4"/>
        <v>19061792.838</v>
      </c>
      <c r="P30" s="253">
        <f t="shared" si="5"/>
        <v>19200731.456500001</v>
      </c>
    </row>
    <row r="31" spans="1:54" x14ac:dyDescent="0.25">
      <c r="B31" s="246" t="str">
        <f>портфель!A39</f>
        <v>CWI US</v>
      </c>
      <c r="C31" s="246" t="str">
        <f>портфель!B39</f>
        <v>SPDR State Street Global Advisors</v>
      </c>
      <c r="D31" s="269" t="str">
        <f>портфель!C39</f>
        <v>USD</v>
      </c>
      <c r="E31" s="251">
        <f>портфель!F39</f>
        <v>1727</v>
      </c>
      <c r="F31" s="252">
        <f>портфель!G39</f>
        <v>44293</v>
      </c>
      <c r="G31" s="253">
        <f>портфель!L39</f>
        <v>430.77</v>
      </c>
      <c r="H31" s="253">
        <f>портфель!M39</f>
        <v>29.315002895193999</v>
      </c>
      <c r="I31" s="253">
        <f>портфель!N39</f>
        <v>29.95</v>
      </c>
      <c r="J31" s="253">
        <f t="shared" si="1"/>
        <v>51723.65</v>
      </c>
      <c r="K31" s="253">
        <f>портфель!X39</f>
        <v>51723.65</v>
      </c>
      <c r="L31" s="253">
        <v>51447.33</v>
      </c>
      <c r="M31" s="254">
        <f t="shared" si="2"/>
        <v>2.1119695119716696E-2</v>
      </c>
      <c r="N31" s="254">
        <f t="shared" si="3"/>
        <v>5.3709298422288665E-3</v>
      </c>
      <c r="O31" s="273">
        <f t="shared" si="4"/>
        <v>21844536.318000004</v>
      </c>
      <c r="P31" s="253">
        <f t="shared" si="5"/>
        <v>22003757.946500003</v>
      </c>
    </row>
    <row r="32" spans="1:54" x14ac:dyDescent="0.25">
      <c r="B32" s="246" t="str">
        <f>портфель!A40</f>
        <v>CWI US</v>
      </c>
      <c r="C32" s="246" t="str">
        <f>портфель!B40</f>
        <v>SPDR State Street Global Advisors</v>
      </c>
      <c r="D32" s="269" t="str">
        <f>портфель!C40</f>
        <v>USD</v>
      </c>
      <c r="E32" s="251">
        <f>портфель!F40</f>
        <v>1736</v>
      </c>
      <c r="F32" s="252">
        <f>портфель!G40</f>
        <v>44307</v>
      </c>
      <c r="G32" s="253">
        <f>портфель!L40</f>
        <v>432.01</v>
      </c>
      <c r="H32" s="253">
        <f>портфель!M40</f>
        <v>29.538001152073701</v>
      </c>
      <c r="I32" s="253">
        <f>портфель!N40</f>
        <v>29.95</v>
      </c>
      <c r="J32" s="253">
        <f t="shared" si="1"/>
        <v>51993.2</v>
      </c>
      <c r="K32" s="253">
        <f>портфель!X40</f>
        <v>51993.2</v>
      </c>
      <c r="L32" s="253">
        <v>51715.439999999995</v>
      </c>
      <c r="M32" s="254">
        <f t="shared" si="2"/>
        <v>2.1229757225146601E-2</v>
      </c>
      <c r="N32" s="254">
        <f t="shared" si="3"/>
        <v>5.3709298422288665E-3</v>
      </c>
      <c r="O32" s="273">
        <f t="shared" si="4"/>
        <v>21958375.823999997</v>
      </c>
      <c r="P32" s="253">
        <f t="shared" si="5"/>
        <v>22118427.212000001</v>
      </c>
    </row>
    <row r="33" spans="1:54" x14ac:dyDescent="0.25">
      <c r="B33" s="246" t="str">
        <f>портфель!A41</f>
        <v>CWI US</v>
      </c>
      <c r="C33" s="246" t="str">
        <f>портфель!B41</f>
        <v>SPDR State Street Global Advisors</v>
      </c>
      <c r="D33" s="269" t="str">
        <f>портфель!C41</f>
        <v>USD</v>
      </c>
      <c r="E33" s="251">
        <f>портфель!F41</f>
        <v>1800</v>
      </c>
      <c r="F33" s="252">
        <f>портфель!G41</f>
        <v>44321</v>
      </c>
      <c r="G33" s="253">
        <f>портфель!L41</f>
        <v>426.85</v>
      </c>
      <c r="H33" s="253">
        <f>портфель!M41</f>
        <v>29.78</v>
      </c>
      <c r="I33" s="253">
        <f>портфель!N41</f>
        <v>29.95</v>
      </c>
      <c r="J33" s="253">
        <f t="shared" si="1"/>
        <v>53910</v>
      </c>
      <c r="K33" s="253">
        <f>портфель!X41</f>
        <v>53910</v>
      </c>
      <c r="L33" s="253">
        <v>53622</v>
      </c>
      <c r="M33" s="254">
        <f t="shared" si="2"/>
        <v>2.20124210859815E-2</v>
      </c>
      <c r="N33" s="254">
        <f t="shared" si="3"/>
        <v>5.3709298422288665E-3</v>
      </c>
      <c r="O33" s="273">
        <f t="shared" si="4"/>
        <v>22767901.200000003</v>
      </c>
      <c r="P33" s="253">
        <f t="shared" si="5"/>
        <v>22933853.100000001</v>
      </c>
    </row>
    <row r="34" spans="1:54" s="255" customFormat="1" x14ac:dyDescent="0.25">
      <c r="A34" s="266"/>
      <c r="B34" s="246" t="str">
        <f>портфель!A42</f>
        <v>CWI US</v>
      </c>
      <c r="C34" s="246" t="str">
        <f>портфель!B42</f>
        <v>SPDR State Street Global Advisors</v>
      </c>
      <c r="D34" s="269" t="str">
        <f>портфель!C42</f>
        <v>USD</v>
      </c>
      <c r="E34" s="251">
        <f>портфель!F42</f>
        <v>209</v>
      </c>
      <c r="F34" s="252">
        <f>портфель!G42</f>
        <v>44343</v>
      </c>
      <c r="G34" s="253">
        <f>портфель!L42</f>
        <v>428.48</v>
      </c>
      <c r="H34" s="253">
        <f>портфель!M42</f>
        <v>30.59</v>
      </c>
      <c r="I34" s="253">
        <f>портфель!N42</f>
        <v>29.95</v>
      </c>
      <c r="J34" s="253">
        <f t="shared" si="1"/>
        <v>6259.55</v>
      </c>
      <c r="K34" s="253">
        <f>портфель!X42</f>
        <v>6259.55</v>
      </c>
      <c r="L34" s="253">
        <v>6226.11</v>
      </c>
      <c r="M34" s="254">
        <f t="shared" si="2"/>
        <v>2.5558866705389632E-3</v>
      </c>
      <c r="N34" s="254">
        <f t="shared" si="3"/>
        <v>5.3709298422290885E-3</v>
      </c>
      <c r="O34" s="273">
        <f t="shared" si="4"/>
        <v>2643606.3059999999</v>
      </c>
      <c r="P34" s="253">
        <f t="shared" si="5"/>
        <v>2662875.1655000001</v>
      </c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6"/>
      <c r="AX34" s="266"/>
      <c r="AY34" s="266"/>
      <c r="AZ34" s="266"/>
      <c r="BA34" s="266"/>
      <c r="BB34" s="266"/>
    </row>
    <row r="35" spans="1:54" x14ac:dyDescent="0.25">
      <c r="B35" s="246" t="str">
        <f>портфель!A43</f>
        <v>CWI US</v>
      </c>
      <c r="C35" s="246" t="str">
        <f>портфель!B43</f>
        <v>SPDR State Street Global Advisors</v>
      </c>
      <c r="D35" s="269" t="str">
        <f>портфель!C43</f>
        <v>USD</v>
      </c>
      <c r="E35" s="251">
        <f>портфель!F43</f>
        <v>578</v>
      </c>
      <c r="F35" s="252">
        <f>портфель!G43</f>
        <v>44363</v>
      </c>
      <c r="G35" s="253">
        <f>портфель!L43</f>
        <v>425.63</v>
      </c>
      <c r="H35" s="253">
        <f>портфель!M43</f>
        <v>30.79</v>
      </c>
      <c r="I35" s="253">
        <f>портфель!N43</f>
        <v>29.95</v>
      </c>
      <c r="J35" s="253">
        <f t="shared" si="1"/>
        <v>17311.099999999999</v>
      </c>
      <c r="K35" s="253">
        <f>портфель!X43</f>
        <v>17311.099999999999</v>
      </c>
      <c r="L35" s="253">
        <v>17218.62</v>
      </c>
      <c r="M35" s="254">
        <f t="shared" si="2"/>
        <v>7.0684329931651703E-3</v>
      </c>
      <c r="N35" s="254">
        <f t="shared" si="3"/>
        <v>5.3709298422288665E-3</v>
      </c>
      <c r="O35" s="273">
        <f t="shared" si="4"/>
        <v>7311026.0520000001</v>
      </c>
      <c r="P35" s="253">
        <f t="shared" si="5"/>
        <v>7364315.051</v>
      </c>
    </row>
    <row r="36" spans="1:54" x14ac:dyDescent="0.25">
      <c r="B36" s="246" t="str">
        <f>портфель!A44</f>
        <v>CWI US</v>
      </c>
      <c r="C36" s="246" t="str">
        <f>портфель!B44</f>
        <v>SPDR State Street Global Advisors</v>
      </c>
      <c r="D36" s="269" t="str">
        <f>портфель!C44</f>
        <v>USD</v>
      </c>
      <c r="E36" s="251">
        <f>портфель!F44</f>
        <v>1234</v>
      </c>
      <c r="F36" s="252">
        <f>портфель!G44</f>
        <v>44393</v>
      </c>
      <c r="G36" s="253">
        <f>портфель!L44</f>
        <v>426.47</v>
      </c>
      <c r="H36" s="253">
        <f>портфель!M44</f>
        <v>29.78</v>
      </c>
      <c r="I36" s="253">
        <f>портфель!N44</f>
        <v>29.95</v>
      </c>
      <c r="J36" s="253">
        <f t="shared" si="1"/>
        <v>36958.299999999996</v>
      </c>
      <c r="K36" s="253">
        <f>портфель!X44</f>
        <v>36958.299999999996</v>
      </c>
      <c r="L36" s="253">
        <v>36760.86</v>
      </c>
      <c r="M36" s="254">
        <f t="shared" si="2"/>
        <v>1.5090737566722873E-2</v>
      </c>
      <c r="N36" s="254">
        <f t="shared" si="3"/>
        <v>5.3709298422288665E-3</v>
      </c>
      <c r="O36" s="273">
        <f t="shared" si="4"/>
        <v>15608661.156000001</v>
      </c>
      <c r="P36" s="253">
        <f t="shared" si="5"/>
        <v>15722430.402999999</v>
      </c>
    </row>
    <row r="37" spans="1:54" x14ac:dyDescent="0.25">
      <c r="B37" s="246" t="str">
        <f>портфель!A45</f>
        <v>CWI US</v>
      </c>
      <c r="C37" s="246" t="str">
        <f>портфель!B45</f>
        <v>SPDR State Street Global Advisors</v>
      </c>
      <c r="D37" s="269" t="str">
        <f>портфель!C45</f>
        <v>USD</v>
      </c>
      <c r="E37" s="251">
        <f>портфель!F45</f>
        <v>640</v>
      </c>
      <c r="F37" s="252">
        <f>портфель!G45</f>
        <v>44399</v>
      </c>
      <c r="G37" s="253">
        <f>портфель!L45</f>
        <v>425.71</v>
      </c>
      <c r="H37" s="253">
        <f>портфель!M45</f>
        <v>29.78</v>
      </c>
      <c r="I37" s="253">
        <f>портфель!N45</f>
        <v>29.95</v>
      </c>
      <c r="J37" s="253">
        <f t="shared" si="1"/>
        <v>19168</v>
      </c>
      <c r="K37" s="253">
        <f>портфель!X45</f>
        <v>19168</v>
      </c>
      <c r="L37" s="253">
        <v>19065.599999999999</v>
      </c>
      <c r="M37" s="254">
        <f t="shared" si="2"/>
        <v>7.8266386083489774E-3</v>
      </c>
      <c r="N37" s="254">
        <f t="shared" si="3"/>
        <v>5.3709298422290885E-3</v>
      </c>
      <c r="O37" s="273">
        <f t="shared" si="4"/>
        <v>8095253.7599999998</v>
      </c>
      <c r="P37" s="253">
        <f t="shared" si="5"/>
        <v>8154258.8800000008</v>
      </c>
    </row>
    <row r="38" spans="1:54" x14ac:dyDescent="0.25">
      <c r="B38" s="246" t="str">
        <f>портфель!A46</f>
        <v>CWI US</v>
      </c>
      <c r="C38" s="246" t="str">
        <f>портфель!B46</f>
        <v>SPDR State Street Global Advisors</v>
      </c>
      <c r="D38" s="269" t="str">
        <f>портфель!C46</f>
        <v>USD</v>
      </c>
      <c r="E38" s="251">
        <f>портфель!F46</f>
        <v>333</v>
      </c>
      <c r="F38" s="252">
        <f>портфель!G46</f>
        <v>44414</v>
      </c>
      <c r="G38" s="253">
        <f>портфель!L46</f>
        <v>424.32</v>
      </c>
      <c r="H38" s="253">
        <f>портфель!M46</f>
        <v>29.92</v>
      </c>
      <c r="I38" s="253">
        <f>портфель!N46</f>
        <v>29.95</v>
      </c>
      <c r="J38" s="253">
        <f t="shared" si="1"/>
        <v>9973.35</v>
      </c>
      <c r="K38" s="253">
        <f>портфель!X46</f>
        <v>9973.35</v>
      </c>
      <c r="L38" s="253">
        <f>E38*H38</f>
        <v>9963.36</v>
      </c>
      <c r="M38" s="254">
        <f t="shared" si="2"/>
        <v>4.0900689222935485E-3</v>
      </c>
      <c r="N38" s="254">
        <f t="shared" si="3"/>
        <v>1.0026737967914201E-3</v>
      </c>
      <c r="O38" s="273">
        <f t="shared" si="4"/>
        <v>4227652.9152000006</v>
      </c>
      <c r="P38" s="253">
        <f t="shared" si="5"/>
        <v>4242762.8234999999</v>
      </c>
    </row>
    <row r="39" spans="1:54" s="255" customFormat="1" x14ac:dyDescent="0.25">
      <c r="B39" s="255" t="str">
        <f>портфель!A47</f>
        <v>CWI US</v>
      </c>
      <c r="C39" s="255" t="str">
        <f>портфель!B47</f>
        <v>SPDR State Street Global Advisors</v>
      </c>
      <c r="D39" s="270" t="str">
        <f>портфель!C47</f>
        <v>USD</v>
      </c>
      <c r="E39" s="256">
        <f>портфель!F47</f>
        <v>718</v>
      </c>
      <c r="F39" s="257">
        <f>портфель!G47</f>
        <v>44427</v>
      </c>
      <c r="G39" s="258">
        <f>портфель!L47</f>
        <v>426.66</v>
      </c>
      <c r="H39" s="258">
        <f>портфель!M47</f>
        <v>29.16</v>
      </c>
      <c r="I39" s="258">
        <f>портфель!N47</f>
        <v>29.95</v>
      </c>
      <c r="J39" s="258">
        <f t="shared" si="1"/>
        <v>21504.1</v>
      </c>
      <c r="K39" s="258">
        <f>портфель!X47</f>
        <v>21504.1</v>
      </c>
      <c r="L39" s="258">
        <f>E39*H39</f>
        <v>20936.88</v>
      </c>
      <c r="M39" s="259">
        <f t="shared" si="2"/>
        <v>8.5948196409433523E-3</v>
      </c>
      <c r="N39" s="259">
        <f t="shared" si="3"/>
        <v>2.7091906721536274E-2</v>
      </c>
      <c r="O39" s="275">
        <f t="shared" si="4"/>
        <v>8932929.2208000012</v>
      </c>
      <c r="P39" s="258">
        <f t="shared" si="5"/>
        <v>9148059.1809999999</v>
      </c>
    </row>
    <row r="40" spans="1:54" x14ac:dyDescent="0.25">
      <c r="B40" s="246" t="str">
        <f>портфель!A48</f>
        <v>SCHE US</v>
      </c>
      <c r="C40" s="246" t="str">
        <f>портфель!B48</f>
        <v>SCHWAB EMERGING MARKETS EQUITY ETF</v>
      </c>
      <c r="D40" s="269" t="str">
        <f>портфель!C48</f>
        <v>USD</v>
      </c>
      <c r="E40" s="251">
        <f>портфель!F48</f>
        <v>1410</v>
      </c>
      <c r="F40" s="252">
        <f>портфель!G48</f>
        <v>44280</v>
      </c>
      <c r="G40" s="253">
        <f>портфель!L48</f>
        <v>423.36</v>
      </c>
      <c r="H40" s="253">
        <f>портфель!M48</f>
        <v>30.89</v>
      </c>
      <c r="I40" s="253">
        <f>портфель!N48</f>
        <v>31.15</v>
      </c>
      <c r="J40" s="253">
        <f t="shared" si="1"/>
        <v>43921.5</v>
      </c>
      <c r="K40" s="253">
        <f>портфель!X48</f>
        <v>43921.5</v>
      </c>
      <c r="L40" s="253">
        <v>44217.599999999999</v>
      </c>
      <c r="M40" s="254">
        <f t="shared" si="2"/>
        <v>1.8151811394791235E-2</v>
      </c>
      <c r="N40" s="254">
        <f t="shared" si="3"/>
        <v>-6.6964285714284921E-3</v>
      </c>
      <c r="O40" s="273">
        <f t="shared" si="4"/>
        <v>18774792.960000001</v>
      </c>
      <c r="P40" s="253">
        <f t="shared" si="5"/>
        <v>18684645.315000001</v>
      </c>
    </row>
    <row r="41" spans="1:54" x14ac:dyDescent="0.25">
      <c r="B41" s="246" t="str">
        <f>портфель!A49</f>
        <v>SCHE US</v>
      </c>
      <c r="C41" s="246" t="str">
        <f>портфель!B49</f>
        <v>SCHWAB EMERGING MARKETS EQUITY ETF</v>
      </c>
      <c r="D41" s="269" t="str">
        <f>портфель!C49</f>
        <v>USD</v>
      </c>
      <c r="E41" s="251">
        <f>портфель!F49</f>
        <v>1379</v>
      </c>
      <c r="F41" s="252">
        <f>портфель!G49</f>
        <v>44280</v>
      </c>
      <c r="G41" s="253">
        <f>портфель!L49</f>
        <v>423.36</v>
      </c>
      <c r="H41" s="253">
        <f>портфель!M49</f>
        <v>30.86</v>
      </c>
      <c r="I41" s="253">
        <f>портфель!N49</f>
        <v>31.15</v>
      </c>
      <c r="J41" s="253">
        <f t="shared" si="1"/>
        <v>42955.85</v>
      </c>
      <c r="K41" s="253">
        <f>портфель!X49</f>
        <v>42955.85</v>
      </c>
      <c r="L41" s="253">
        <v>43245.440000000002</v>
      </c>
      <c r="M41" s="254">
        <f t="shared" si="2"/>
        <v>1.7752729016607884E-2</v>
      </c>
      <c r="N41" s="254">
        <f t="shared" si="3"/>
        <v>-6.6964285714286031E-3</v>
      </c>
      <c r="O41" s="273">
        <f t="shared" si="4"/>
        <v>18362013.824000001</v>
      </c>
      <c r="P41" s="253">
        <f t="shared" si="5"/>
        <v>18273848.148499999</v>
      </c>
    </row>
    <row r="42" spans="1:54" x14ac:dyDescent="0.25">
      <c r="B42" s="246" t="str">
        <f>портфель!A50</f>
        <v>SCHE US</v>
      </c>
      <c r="C42" s="246" t="str">
        <f>портфель!B50</f>
        <v>SCHWAB EMERGING MARKETS EQUITY ETF</v>
      </c>
      <c r="D42" s="269" t="str">
        <f>портфель!C50</f>
        <v>USD</v>
      </c>
      <c r="E42" s="251">
        <f>портфель!F50</f>
        <v>1619</v>
      </c>
      <c r="F42" s="252">
        <f>портфель!G50</f>
        <v>44293</v>
      </c>
      <c r="G42" s="253">
        <f>портфель!L50</f>
        <v>430.77</v>
      </c>
      <c r="H42" s="253">
        <f>портфель!M50</f>
        <v>31.69</v>
      </c>
      <c r="I42" s="253">
        <f>портфель!N50</f>
        <v>31.15</v>
      </c>
      <c r="J42" s="253">
        <f t="shared" si="1"/>
        <v>50431.85</v>
      </c>
      <c r="K42" s="253">
        <f>портфель!X50</f>
        <v>50431.85</v>
      </c>
      <c r="L42" s="253">
        <v>50771.839999999997</v>
      </c>
      <c r="M42" s="254">
        <f t="shared" si="2"/>
        <v>2.0842399041253196E-2</v>
      </c>
      <c r="N42" s="254">
        <f t="shared" si="3"/>
        <v>-6.6964285714284921E-3</v>
      </c>
      <c r="O42" s="273">
        <f t="shared" si="4"/>
        <v>21557723.263999999</v>
      </c>
      <c r="P42" s="253">
        <f t="shared" si="5"/>
        <v>21454213.308499999</v>
      </c>
    </row>
    <row r="43" spans="1:54" s="255" customFormat="1" x14ac:dyDescent="0.25">
      <c r="A43" s="266"/>
      <c r="B43" s="246" t="str">
        <f>портфель!A51</f>
        <v>SCHE US</v>
      </c>
      <c r="C43" s="246" t="str">
        <f>портфель!B51</f>
        <v>SCHWAB EMERGING MARKETS EQUITY ETF</v>
      </c>
      <c r="D43" s="269" t="str">
        <f>портфель!C51</f>
        <v>USD</v>
      </c>
      <c r="E43" s="251">
        <f>портфель!F51</f>
        <v>1424</v>
      </c>
      <c r="F43" s="252">
        <f>портфель!G51</f>
        <v>44307</v>
      </c>
      <c r="G43" s="253">
        <f>портфель!L51</f>
        <v>432.01</v>
      </c>
      <c r="H43" s="253">
        <f>портфель!M51</f>
        <v>31.86</v>
      </c>
      <c r="I43" s="253">
        <f>портфель!N51</f>
        <v>31.15</v>
      </c>
      <c r="J43" s="253">
        <f t="shared" si="1"/>
        <v>44357.599999999999</v>
      </c>
      <c r="K43" s="253">
        <f>портфель!X51</f>
        <v>44357.599999999999</v>
      </c>
      <c r="L43" s="253">
        <v>44656.639999999999</v>
      </c>
      <c r="M43" s="254">
        <f t="shared" si="2"/>
        <v>1.8332042146228879E-2</v>
      </c>
      <c r="N43" s="254">
        <f t="shared" si="3"/>
        <v>-6.6964285714286031E-3</v>
      </c>
      <c r="O43" s="273">
        <f t="shared" si="4"/>
        <v>18961209.344000001</v>
      </c>
      <c r="P43" s="253">
        <f t="shared" si="5"/>
        <v>18870166.616</v>
      </c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6"/>
      <c r="AT43" s="266"/>
      <c r="AU43" s="266"/>
      <c r="AV43" s="266"/>
      <c r="AW43" s="266"/>
      <c r="AX43" s="266"/>
      <c r="AY43" s="266"/>
      <c r="AZ43" s="266"/>
      <c r="BA43" s="266"/>
      <c r="BB43" s="266"/>
    </row>
    <row r="44" spans="1:54" x14ac:dyDescent="0.25">
      <c r="B44" s="246" t="str">
        <f>портфель!A52</f>
        <v>SCHE US</v>
      </c>
      <c r="C44" s="246" t="str">
        <f>портфель!B52</f>
        <v>SCHWAB EMERGING MARKETS EQUITY ETF</v>
      </c>
      <c r="D44" s="269" t="str">
        <f>портфель!C52</f>
        <v>USD</v>
      </c>
      <c r="E44" s="251">
        <f>портфель!F52</f>
        <v>1336</v>
      </c>
      <c r="F44" s="252">
        <f>портфель!G52</f>
        <v>44321</v>
      </c>
      <c r="G44" s="253">
        <f>портфель!L52</f>
        <v>426.85</v>
      </c>
      <c r="H44" s="253">
        <f>портфель!M52</f>
        <v>31.97</v>
      </c>
      <c r="I44" s="253">
        <f>портфель!N52</f>
        <v>31.15</v>
      </c>
      <c r="J44" s="253">
        <f t="shared" si="1"/>
        <v>41616.400000000001</v>
      </c>
      <c r="K44" s="253">
        <f>портфель!X52</f>
        <v>41616.400000000001</v>
      </c>
      <c r="L44" s="253">
        <v>41896.959999999999</v>
      </c>
      <c r="M44" s="254">
        <f t="shared" si="2"/>
        <v>1.7199163137192261E-2</v>
      </c>
      <c r="N44" s="254">
        <f t="shared" si="3"/>
        <v>-6.6964285714284921E-3</v>
      </c>
      <c r="O44" s="273">
        <f t="shared" si="4"/>
        <v>17789449.216000002</v>
      </c>
      <c r="P44" s="253">
        <f t="shared" si="5"/>
        <v>17704032.724000003</v>
      </c>
    </row>
    <row r="45" spans="1:54" x14ac:dyDescent="0.25">
      <c r="B45" s="246" t="str">
        <f>портфель!A53</f>
        <v>SCHE US</v>
      </c>
      <c r="C45" s="246" t="str">
        <f>портфель!B53</f>
        <v>SCHWAB EMERGING MARKETS EQUITY ETF</v>
      </c>
      <c r="D45" s="269" t="str">
        <f>портфель!C53</f>
        <v>USD</v>
      </c>
      <c r="E45" s="251">
        <f>портфель!F53</f>
        <v>688</v>
      </c>
      <c r="F45" s="252">
        <f>портфель!G53</f>
        <v>44343</v>
      </c>
      <c r="G45" s="253">
        <f>портфель!L53</f>
        <v>428.48</v>
      </c>
      <c r="H45" s="253">
        <f>портфель!M53</f>
        <v>32.619999999999997</v>
      </c>
      <c r="I45" s="253">
        <f>портфель!N53</f>
        <v>31.15</v>
      </c>
      <c r="J45" s="253">
        <f t="shared" si="1"/>
        <v>21431.200000000001</v>
      </c>
      <c r="K45" s="253">
        <f>портфель!X53</f>
        <v>21431.200000000001</v>
      </c>
      <c r="L45" s="253">
        <v>21575.68</v>
      </c>
      <c r="M45" s="254">
        <f t="shared" si="2"/>
        <v>8.8570540706499074E-3</v>
      </c>
      <c r="N45" s="254">
        <f t="shared" si="3"/>
        <v>-6.6964285714286031E-3</v>
      </c>
      <c r="O45" s="273">
        <f t="shared" si="4"/>
        <v>9161033.7280000001</v>
      </c>
      <c r="P45" s="253">
        <f t="shared" si="5"/>
        <v>9117046.7920000013</v>
      </c>
    </row>
    <row r="46" spans="1:54" x14ac:dyDescent="0.25">
      <c r="B46" s="246" t="str">
        <f>портфель!A54</f>
        <v>SCHE US</v>
      </c>
      <c r="C46" s="246" t="str">
        <f>портфель!B54</f>
        <v>SCHWAB EMERGING MARKETS EQUITY ETF</v>
      </c>
      <c r="D46" s="269" t="str">
        <f>портфель!C54</f>
        <v>USD</v>
      </c>
      <c r="E46" s="251">
        <f>портфель!F54</f>
        <v>439</v>
      </c>
      <c r="F46" s="252">
        <f>портфель!G54</f>
        <v>44363</v>
      </c>
      <c r="G46" s="253">
        <f>портфель!L54</f>
        <v>425.63</v>
      </c>
      <c r="H46" s="253">
        <f>портфель!M54</f>
        <v>33.04</v>
      </c>
      <c r="I46" s="253">
        <f>портфель!N54</f>
        <v>31.15</v>
      </c>
      <c r="J46" s="253">
        <f t="shared" si="1"/>
        <v>13674.849999999999</v>
      </c>
      <c r="K46" s="253">
        <f>портфель!X54</f>
        <v>13674.849999999999</v>
      </c>
      <c r="L46" s="253">
        <v>13767.039999999999</v>
      </c>
      <c r="M46" s="254">
        <f t="shared" si="2"/>
        <v>5.6515214200803911E-3</v>
      </c>
      <c r="N46" s="254">
        <f t="shared" si="3"/>
        <v>-6.6964285714286031E-3</v>
      </c>
      <c r="O46" s="273">
        <f t="shared" si="4"/>
        <v>5845485.1840000004</v>
      </c>
      <c r="P46" s="253">
        <f t="shared" si="5"/>
        <v>5817417.9385000002</v>
      </c>
    </row>
    <row r="47" spans="1:54" x14ac:dyDescent="0.25">
      <c r="B47" s="246" t="str">
        <f>портфель!A55</f>
        <v>SCHE US</v>
      </c>
      <c r="C47" s="246" t="str">
        <f>портфель!B55</f>
        <v>SCHWAB EMERGING MARKETS EQUITY ETF</v>
      </c>
      <c r="D47" s="269" t="str">
        <f>портфель!C55</f>
        <v>USD</v>
      </c>
      <c r="E47" s="251">
        <f>портфель!F55</f>
        <v>1122</v>
      </c>
      <c r="F47" s="252">
        <f>портфель!G55</f>
        <v>44393</v>
      </c>
      <c r="G47" s="253">
        <f>портфель!L55</f>
        <v>426.47</v>
      </c>
      <c r="H47" s="253">
        <f>портфель!M55</f>
        <v>32.130000000000003</v>
      </c>
      <c r="I47" s="253">
        <f>портфель!N55</f>
        <v>31.15</v>
      </c>
      <c r="J47" s="253">
        <f t="shared" si="1"/>
        <v>34950.299999999996</v>
      </c>
      <c r="K47" s="253">
        <f>портфель!X55</f>
        <v>34950.299999999996</v>
      </c>
      <c r="L47" s="253">
        <v>35185.919999999998</v>
      </c>
      <c r="M47" s="254">
        <f t="shared" si="2"/>
        <v>1.4444207365216854E-2</v>
      </c>
      <c r="N47" s="254">
        <f t="shared" si="3"/>
        <v>-6.6964285714286031E-3</v>
      </c>
      <c r="O47" s="273">
        <f t="shared" si="4"/>
        <v>14939941.631999999</v>
      </c>
      <c r="P47" s="253">
        <f t="shared" si="5"/>
        <v>14868207.123</v>
      </c>
    </row>
    <row r="48" spans="1:54" x14ac:dyDescent="0.25">
      <c r="B48" s="246" t="str">
        <f>портфель!A56</f>
        <v>SCHE US</v>
      </c>
      <c r="C48" s="246" t="str">
        <f>портфель!B56</f>
        <v>SCHWAB EMERGING MARKETS EQUITY ETF</v>
      </c>
      <c r="D48" s="269" t="str">
        <f>портфель!C56</f>
        <v>USD</v>
      </c>
      <c r="E48" s="251">
        <f>портфель!F56</f>
        <v>600</v>
      </c>
      <c r="F48" s="252">
        <f>портфель!G56</f>
        <v>44399</v>
      </c>
      <c r="G48" s="253">
        <f>портфель!L56</f>
        <v>425.71</v>
      </c>
      <c r="H48" s="253">
        <f>портфель!M56</f>
        <v>31.86</v>
      </c>
      <c r="I48" s="253">
        <f>портфель!N56</f>
        <v>31.15</v>
      </c>
      <c r="J48" s="253">
        <f t="shared" si="1"/>
        <v>18690</v>
      </c>
      <c r="K48" s="253">
        <f>портфель!X56</f>
        <v>18690</v>
      </c>
      <c r="L48" s="253">
        <v>18816</v>
      </c>
      <c r="M48" s="254">
        <f t="shared" si="2"/>
        <v>7.7241750616132915E-3</v>
      </c>
      <c r="N48" s="254">
        <f t="shared" si="3"/>
        <v>-6.6964285714286031E-3</v>
      </c>
      <c r="O48" s="273">
        <f t="shared" si="4"/>
        <v>7989273.6000000006</v>
      </c>
      <c r="P48" s="253">
        <f t="shared" si="5"/>
        <v>7950912.9000000004</v>
      </c>
    </row>
    <row r="49" spans="2:16" x14ac:dyDescent="0.25">
      <c r="B49" s="246" t="str">
        <f>портфель!A57</f>
        <v>SCHE US</v>
      </c>
      <c r="C49" s="246" t="str">
        <f>портфель!B57</f>
        <v>SCHWAB EMERGING MARKETS EQUITY ETF</v>
      </c>
      <c r="D49" s="269" t="str">
        <f>портфель!C57</f>
        <v>USD</v>
      </c>
      <c r="E49" s="251">
        <f>портфель!F57</f>
        <v>555</v>
      </c>
      <c r="F49" s="252">
        <f>портфель!G57</f>
        <v>44414</v>
      </c>
      <c r="G49" s="253">
        <f>портфель!L57</f>
        <v>424.32</v>
      </c>
      <c r="H49" s="253">
        <f>портфель!M57</f>
        <v>30.9</v>
      </c>
      <c r="I49" s="253">
        <f>портфель!N57</f>
        <v>31.15</v>
      </c>
      <c r="J49" s="253">
        <f t="shared" si="1"/>
        <v>17288.25</v>
      </c>
      <c r="K49" s="253">
        <f>портфель!X57</f>
        <v>17288.25</v>
      </c>
      <c r="L49" s="253">
        <f>E49*H49</f>
        <v>17149.5</v>
      </c>
      <c r="M49" s="254">
        <f t="shared" si="2"/>
        <v>7.0400584725306727E-3</v>
      </c>
      <c r="N49" s="254">
        <f t="shared" si="3"/>
        <v>8.090614886731462E-3</v>
      </c>
      <c r="O49" s="273">
        <f t="shared" si="4"/>
        <v>7276875.8399999999</v>
      </c>
      <c r="P49" s="253">
        <f t="shared" si="5"/>
        <v>7354594.4325000001</v>
      </c>
    </row>
    <row r="50" spans="2:16" s="255" customFormat="1" x14ac:dyDescent="0.25">
      <c r="B50" s="255" t="str">
        <f>портфель!A58</f>
        <v>SCHE US</v>
      </c>
      <c r="C50" s="255" t="str">
        <f>портфель!B58</f>
        <v>SCHWAB EMERGING MARKETS EQUITY ETF</v>
      </c>
      <c r="D50" s="270" t="str">
        <f>портфель!C58</f>
        <v>USD</v>
      </c>
      <c r="E50" s="256">
        <f>портфель!F58</f>
        <v>695</v>
      </c>
      <c r="F50" s="257">
        <f>портфель!G58</f>
        <v>44427</v>
      </c>
      <c r="G50" s="258">
        <f>портфель!L58</f>
        <v>426.66</v>
      </c>
      <c r="H50" s="258">
        <f>портфель!M58</f>
        <v>29.767165467625901</v>
      </c>
      <c r="I50" s="258">
        <f>портфель!N58</f>
        <v>31.15</v>
      </c>
      <c r="J50" s="258">
        <f t="shared" si="1"/>
        <v>21649.25</v>
      </c>
      <c r="K50" s="258">
        <f>портфель!X58</f>
        <v>21649.25</v>
      </c>
      <c r="L50" s="258">
        <f>E50*H50</f>
        <v>20688.18</v>
      </c>
      <c r="M50" s="259">
        <f t="shared" si="2"/>
        <v>8.4927255541117595E-3</v>
      </c>
      <c r="N50" s="259">
        <f t="shared" si="3"/>
        <v>4.6455028910227902E-2</v>
      </c>
      <c r="O50" s="275">
        <f t="shared" si="4"/>
        <v>8826818.878800001</v>
      </c>
      <c r="P50" s="258">
        <f t="shared" si="5"/>
        <v>9209807.4425000008</v>
      </c>
    </row>
    <row r="51" spans="2:16" x14ac:dyDescent="0.25">
      <c r="B51" s="246" t="str">
        <f>портфель!A59</f>
        <v>FNDX US</v>
      </c>
      <c r="C51" s="246" t="str">
        <f>портфель!B59</f>
        <v>SCHWAB FUNDAMENTAL U.S. LARGE COMPANY INDEX ETF</v>
      </c>
      <c r="D51" s="269" t="str">
        <f>портфель!C59</f>
        <v>USD</v>
      </c>
      <c r="E51" s="251">
        <f>портфель!F59</f>
        <v>247</v>
      </c>
      <c r="F51" s="252">
        <f>портфель!G59</f>
        <v>44280</v>
      </c>
      <c r="G51" s="253">
        <f>портфель!L59</f>
        <v>423.36</v>
      </c>
      <c r="H51" s="253">
        <f>портфель!M59</f>
        <v>50.51</v>
      </c>
      <c r="I51" s="253">
        <f>портфель!N59</f>
        <v>56.13</v>
      </c>
      <c r="J51" s="253">
        <f t="shared" si="1"/>
        <v>13864.11</v>
      </c>
      <c r="K51" s="253">
        <f>портфель!X59</f>
        <v>13864.11</v>
      </c>
      <c r="L51" s="253">
        <v>13476.32</v>
      </c>
      <c r="M51" s="254">
        <f t="shared" si="2"/>
        <v>5.5321776608376078E-3</v>
      </c>
      <c r="N51" s="254">
        <f t="shared" si="3"/>
        <v>2.8775659824046951E-2</v>
      </c>
      <c r="O51" s="273">
        <f t="shared" si="4"/>
        <v>5722045.4720000001</v>
      </c>
      <c r="P51" s="253">
        <f t="shared" si="5"/>
        <v>5897931.0351000009</v>
      </c>
    </row>
    <row r="52" spans="2:16" x14ac:dyDescent="0.25">
      <c r="B52" s="246" t="str">
        <f>портфель!A60</f>
        <v>FNDX US</v>
      </c>
      <c r="C52" s="246" t="str">
        <f>портфель!B60</f>
        <v>SCHWAB FUNDAMENTAL U.S. LARGE COMPANY INDEX ETF</v>
      </c>
      <c r="D52" s="269" t="str">
        <f>портфель!C60</f>
        <v>USD</v>
      </c>
      <c r="E52" s="251">
        <f>портфель!F60</f>
        <v>242</v>
      </c>
      <c r="F52" s="252">
        <f>портфель!G60</f>
        <v>44280</v>
      </c>
      <c r="G52" s="253">
        <f>портфель!L60</f>
        <v>423.36</v>
      </c>
      <c r="H52" s="253">
        <f>портфель!M60</f>
        <v>49.85</v>
      </c>
      <c r="I52" s="253">
        <f>портфель!N60</f>
        <v>56.13</v>
      </c>
      <c r="J52" s="253">
        <f t="shared" si="1"/>
        <v>13583.460000000001</v>
      </c>
      <c r="K52" s="253">
        <f>портфель!X60</f>
        <v>13583.460000000001</v>
      </c>
      <c r="L52" s="253">
        <v>13203.52</v>
      </c>
      <c r="M52" s="254">
        <f t="shared" si="2"/>
        <v>5.4201902587963612E-3</v>
      </c>
      <c r="N52" s="254">
        <f t="shared" si="3"/>
        <v>2.8775659824046951E-2</v>
      </c>
      <c r="O52" s="273">
        <f t="shared" si="4"/>
        <v>5606214.5920000002</v>
      </c>
      <c r="P52" s="253">
        <f t="shared" si="5"/>
        <v>5778539.7186000012</v>
      </c>
    </row>
    <row r="53" spans="2:16" x14ac:dyDescent="0.25">
      <c r="B53" s="246" t="str">
        <f>портфель!A61</f>
        <v>FNDX US</v>
      </c>
      <c r="C53" s="246" t="str">
        <f>портфель!B61</f>
        <v>SCHWAB FUNDAMENTAL U.S. LARGE COMPANY INDEX ETF</v>
      </c>
      <c r="D53" s="269" t="str">
        <f>портфель!C61</f>
        <v>USD</v>
      </c>
      <c r="E53" s="251">
        <f>портфель!F61</f>
        <v>279</v>
      </c>
      <c r="F53" s="252">
        <f>портфель!G61</f>
        <v>44293</v>
      </c>
      <c r="G53" s="253">
        <f>портфель!L61</f>
        <v>430.77</v>
      </c>
      <c r="H53" s="253">
        <f>портфель!M61</f>
        <v>52.4</v>
      </c>
      <c r="I53" s="253">
        <f>портфель!N61</f>
        <v>56.13</v>
      </c>
      <c r="J53" s="253">
        <f t="shared" si="1"/>
        <v>15660.27</v>
      </c>
      <c r="K53" s="253">
        <f>портфель!X61</f>
        <v>15660.27</v>
      </c>
      <c r="L53" s="253">
        <v>15222.24</v>
      </c>
      <c r="M53" s="254">
        <f t="shared" si="2"/>
        <v>6.2488970339015897E-3</v>
      </c>
      <c r="N53" s="254">
        <f t="shared" si="3"/>
        <v>2.8775659824046951E-2</v>
      </c>
      <c r="O53" s="273">
        <f t="shared" si="4"/>
        <v>6463363.1040000003</v>
      </c>
      <c r="P53" s="253">
        <f t="shared" si="5"/>
        <v>6662035.4607000006</v>
      </c>
    </row>
    <row r="54" spans="2:16" x14ac:dyDescent="0.25">
      <c r="B54" s="246" t="str">
        <f>портфель!A62</f>
        <v>FNDX US</v>
      </c>
      <c r="C54" s="246" t="str">
        <f>портфель!B62</f>
        <v>SCHWAB FUNDAMENTAL U.S. LARGE COMPANY INDEX ETF</v>
      </c>
      <c r="D54" s="269" t="str">
        <f>портфель!C62</f>
        <v>USD</v>
      </c>
      <c r="E54" s="251">
        <f>портфель!F62</f>
        <v>245</v>
      </c>
      <c r="F54" s="252">
        <f>портфель!G62</f>
        <v>44307</v>
      </c>
      <c r="G54" s="253">
        <f>портфель!L62</f>
        <v>432.01</v>
      </c>
      <c r="H54" s="253">
        <f>портфель!M62</f>
        <v>52.71</v>
      </c>
      <c r="I54" s="253">
        <f>портфель!N62</f>
        <v>56.13</v>
      </c>
      <c r="J54" s="253">
        <f t="shared" si="1"/>
        <v>13751.85</v>
      </c>
      <c r="K54" s="253">
        <f>портфель!X62</f>
        <v>13751.85</v>
      </c>
      <c r="L54" s="253">
        <v>13367.2</v>
      </c>
      <c r="M54" s="254">
        <f t="shared" si="2"/>
        <v>5.4873827000211095E-3</v>
      </c>
      <c r="N54" s="254">
        <f t="shared" si="3"/>
        <v>2.8775659824046951E-2</v>
      </c>
      <c r="O54" s="273">
        <f t="shared" si="4"/>
        <v>5675713.120000001</v>
      </c>
      <c r="P54" s="253">
        <f t="shared" si="5"/>
        <v>5850174.5085000005</v>
      </c>
    </row>
    <row r="55" spans="2:16" x14ac:dyDescent="0.25">
      <c r="B55" s="246" t="str">
        <f>портфель!A63</f>
        <v>FNDX US</v>
      </c>
      <c r="C55" s="246" t="str">
        <f>портфель!B63</f>
        <v>SCHWAB FUNDAMENTAL U.S. LARGE COMPANY INDEX ETF</v>
      </c>
      <c r="D55" s="269" t="str">
        <f>портфель!C63</f>
        <v>USD</v>
      </c>
      <c r="E55" s="251">
        <f>портфель!F63</f>
        <v>222</v>
      </c>
      <c r="F55" s="252">
        <f>портфель!G63</f>
        <v>44321</v>
      </c>
      <c r="G55" s="253">
        <f>портфель!L63</f>
        <v>426.85</v>
      </c>
      <c r="H55" s="253">
        <f>портфель!M63</f>
        <v>54.34</v>
      </c>
      <c r="I55" s="253">
        <f>портфель!N63</f>
        <v>56.13</v>
      </c>
      <c r="J55" s="253">
        <f t="shared" si="1"/>
        <v>12460.86</v>
      </c>
      <c r="K55" s="253">
        <f>портфель!X63</f>
        <v>12460.86</v>
      </c>
      <c r="L55" s="253">
        <v>12112.32</v>
      </c>
      <c r="M55" s="254">
        <f t="shared" si="2"/>
        <v>4.9722406506313727E-3</v>
      </c>
      <c r="N55" s="254">
        <f t="shared" si="3"/>
        <v>2.8775659824046951E-2</v>
      </c>
      <c r="O55" s="273">
        <f t="shared" si="4"/>
        <v>5142891.0719999997</v>
      </c>
      <c r="P55" s="253">
        <f t="shared" si="5"/>
        <v>5300974.4526000004</v>
      </c>
    </row>
    <row r="56" spans="2:16" x14ac:dyDescent="0.25">
      <c r="B56" s="246" t="str">
        <f>портфель!A64</f>
        <v>FNDX US</v>
      </c>
      <c r="C56" s="246" t="str">
        <f>портфель!B64</f>
        <v>SCHWAB FUNDAMENTAL U.S. LARGE COMPANY INDEX ETF</v>
      </c>
      <c r="D56" s="269" t="str">
        <f>портфель!C64</f>
        <v>USD</v>
      </c>
      <c r="E56" s="251">
        <f>портфель!F64</f>
        <v>106</v>
      </c>
      <c r="F56" s="252">
        <f>портфель!G64</f>
        <v>44343</v>
      </c>
      <c r="G56" s="253">
        <f>портфель!L64</f>
        <v>428.48</v>
      </c>
      <c r="H56" s="253">
        <f>портфель!M64</f>
        <v>55.34</v>
      </c>
      <c r="I56" s="253">
        <f>портфель!N64</f>
        <v>56.13</v>
      </c>
      <c r="J56" s="253">
        <f t="shared" si="1"/>
        <v>5949.7800000000007</v>
      </c>
      <c r="K56" s="253">
        <f>портфель!X64</f>
        <v>5949.7800000000007</v>
      </c>
      <c r="L56" s="253">
        <v>5783.3600000000006</v>
      </c>
      <c r="M56" s="254">
        <f t="shared" si="2"/>
        <v>2.3741329232744393E-3</v>
      </c>
      <c r="N56" s="254">
        <f t="shared" si="3"/>
        <v>2.8775659824046951E-2</v>
      </c>
      <c r="O56" s="273">
        <f t="shared" si="4"/>
        <v>2455614.6560000004</v>
      </c>
      <c r="P56" s="253">
        <f t="shared" si="5"/>
        <v>2531095.9098000005</v>
      </c>
    </row>
    <row r="57" spans="2:16" x14ac:dyDescent="0.25">
      <c r="B57" s="246" t="str">
        <f>портфель!A65</f>
        <v>FNDX US</v>
      </c>
      <c r="C57" s="246" t="str">
        <f>портфель!B65</f>
        <v>SCHWAB FUNDAMENTAL U.S. LARGE COMPANY INDEX ETF</v>
      </c>
      <c r="D57" s="269" t="str">
        <f>портфель!C65</f>
        <v>USD</v>
      </c>
      <c r="E57" s="251">
        <f>портфель!F65</f>
        <v>192</v>
      </c>
      <c r="F57" s="252">
        <f>портфель!G65</f>
        <v>44393</v>
      </c>
      <c r="G57" s="253">
        <f>портфель!L65</f>
        <v>426.47</v>
      </c>
      <c r="H57" s="253">
        <f>портфель!M65</f>
        <v>54.32</v>
      </c>
      <c r="I57" s="253">
        <f>портфель!N65</f>
        <v>56.13</v>
      </c>
      <c r="J57" s="253">
        <f t="shared" si="1"/>
        <v>10776.960000000001</v>
      </c>
      <c r="K57" s="253">
        <f>портфель!X65</f>
        <v>10776.960000000001</v>
      </c>
      <c r="L57" s="253">
        <v>10475.52</v>
      </c>
      <c r="M57" s="254">
        <f t="shared" si="2"/>
        <v>4.3003162383838901E-3</v>
      </c>
      <c r="N57" s="254">
        <f t="shared" si="3"/>
        <v>2.8775659824046951E-2</v>
      </c>
      <c r="O57" s="273">
        <f t="shared" si="4"/>
        <v>4447905.7920000004</v>
      </c>
      <c r="P57" s="253">
        <f t="shared" si="5"/>
        <v>4584626.5536000002</v>
      </c>
    </row>
    <row r="58" spans="2:16" s="255" customFormat="1" x14ac:dyDescent="0.25">
      <c r="B58" s="255" t="str">
        <f>портфель!A66</f>
        <v>FNDX US</v>
      </c>
      <c r="C58" s="255" t="str">
        <f>портфель!B66</f>
        <v>SCHWAB FUNDAMENTAL U.S. LARGE COMPANY INDEX ETF</v>
      </c>
      <c r="D58" s="270" t="str">
        <f>портфель!C66</f>
        <v>USD</v>
      </c>
      <c r="E58" s="256">
        <f>портфель!F66</f>
        <v>184</v>
      </c>
      <c r="F58" s="257">
        <f>портфель!G66</f>
        <v>44414</v>
      </c>
      <c r="G58" s="258">
        <f>портфель!L66</f>
        <v>424.32</v>
      </c>
      <c r="H58" s="258">
        <f>портфель!M66</f>
        <v>55.35</v>
      </c>
      <c r="I58" s="258">
        <f>портфель!N66</f>
        <v>56.13</v>
      </c>
      <c r="J58" s="258">
        <f t="shared" si="1"/>
        <v>10327.92</v>
      </c>
      <c r="K58" s="258">
        <f>портфель!X66</f>
        <v>10327.92</v>
      </c>
      <c r="L58" s="258">
        <f>E58*H58</f>
        <v>10184.4</v>
      </c>
      <c r="M58" s="259">
        <f t="shared" si="2"/>
        <v>4.1808082747392863E-3</v>
      </c>
      <c r="N58" s="259">
        <f t="shared" si="3"/>
        <v>1.4092140921409202E-2</v>
      </c>
      <c r="O58" s="275">
        <f t="shared" si="4"/>
        <v>4321444.608</v>
      </c>
      <c r="P58" s="258">
        <f t="shared" si="5"/>
        <v>4393600.4472000003</v>
      </c>
    </row>
    <row r="59" spans="2:16" x14ac:dyDescent="0.25">
      <c r="B59" s="246" t="str">
        <f>портфель!A67</f>
        <v>GDX US</v>
      </c>
      <c r="C59" s="246" t="str">
        <f>портфель!B67</f>
        <v>VanEck Vectors Gold Miners ETF</v>
      </c>
      <c r="D59" s="269" t="str">
        <f>портфель!C67</f>
        <v>USD</v>
      </c>
      <c r="E59" s="251">
        <f>портфель!F67</f>
        <v>1703</v>
      </c>
      <c r="F59" s="252">
        <f>портфель!G67</f>
        <v>44280</v>
      </c>
      <c r="G59" s="253">
        <f>портфель!L67</f>
        <v>423.36</v>
      </c>
      <c r="H59" s="253">
        <f>портфель!M67</f>
        <v>32.130000000000003</v>
      </c>
      <c r="I59" s="253">
        <f>портфель!N67</f>
        <v>32.17</v>
      </c>
      <c r="J59" s="253">
        <f t="shared" si="1"/>
        <v>54785.51</v>
      </c>
      <c r="K59" s="253">
        <f>портфель!X67</f>
        <v>54785.51</v>
      </c>
      <c r="L59" s="253">
        <v>56454.45</v>
      </c>
      <c r="M59" s="254">
        <f t="shared" si="2"/>
        <v>2.3175172980819222E-2</v>
      </c>
      <c r="N59" s="254">
        <f t="shared" si="3"/>
        <v>-2.9562594268476516E-2</v>
      </c>
      <c r="O59" s="273">
        <f t="shared" si="4"/>
        <v>23970559.469999999</v>
      </c>
      <c r="P59" s="253">
        <f t="shared" si="5"/>
        <v>23306303.809100002</v>
      </c>
    </row>
    <row r="60" spans="2:16" x14ac:dyDescent="0.25">
      <c r="B60" s="246" t="str">
        <f>портфель!A68</f>
        <v>GDX US</v>
      </c>
      <c r="C60" s="246" t="str">
        <f>портфель!B68</f>
        <v>VanEck Vectors Gold Miners ETF</v>
      </c>
      <c r="D60" s="269" t="str">
        <f>портфель!C68</f>
        <v>USD</v>
      </c>
      <c r="E60" s="251">
        <f>портфель!F68</f>
        <v>1666</v>
      </c>
      <c r="F60" s="252">
        <f>портфель!G68</f>
        <v>44280</v>
      </c>
      <c r="G60" s="253">
        <f>портфель!L68</f>
        <v>423.36</v>
      </c>
      <c r="H60" s="253">
        <f>портфель!M68</f>
        <v>32.229999999999997</v>
      </c>
      <c r="I60" s="253">
        <f>портфель!N68</f>
        <v>32.17</v>
      </c>
      <c r="J60" s="253">
        <f t="shared" si="1"/>
        <v>53595.22</v>
      </c>
      <c r="K60" s="253">
        <f>портфель!X68</f>
        <v>53595.22</v>
      </c>
      <c r="L60" s="253">
        <v>55227.899999999994</v>
      </c>
      <c r="M60" s="254">
        <f t="shared" si="2"/>
        <v>2.2671660708188386E-2</v>
      </c>
      <c r="N60" s="254">
        <f t="shared" si="3"/>
        <v>-2.9562594268476516E-2</v>
      </c>
      <c r="O60" s="273">
        <f t="shared" si="4"/>
        <v>23449766.34</v>
      </c>
      <c r="P60" s="253">
        <f t="shared" si="5"/>
        <v>22799942.540200002</v>
      </c>
    </row>
    <row r="61" spans="2:16" x14ac:dyDescent="0.25">
      <c r="B61" s="246" t="str">
        <f>портфель!A69</f>
        <v>GDX US</v>
      </c>
      <c r="C61" s="246" t="str">
        <f>портфель!B69</f>
        <v>VanEck Vectors Gold Miners ETF</v>
      </c>
      <c r="D61" s="269" t="str">
        <f>портфель!C69</f>
        <v>USD</v>
      </c>
      <c r="E61" s="251">
        <f>портфель!F69</f>
        <v>1904</v>
      </c>
      <c r="F61" s="252">
        <f>портфель!G69</f>
        <v>44293</v>
      </c>
      <c r="G61" s="253">
        <f>портфель!L69</f>
        <v>430.77</v>
      </c>
      <c r="H61" s="253">
        <f>портфель!M69</f>
        <v>33.96</v>
      </c>
      <c r="I61" s="253">
        <f>портфель!N69</f>
        <v>32.17</v>
      </c>
      <c r="J61" s="253">
        <f t="shared" si="1"/>
        <v>61251.68</v>
      </c>
      <c r="K61" s="253">
        <f>портфель!X69</f>
        <v>61251.68</v>
      </c>
      <c r="L61" s="253">
        <v>63117.599999999999</v>
      </c>
      <c r="M61" s="254">
        <f t="shared" si="2"/>
        <v>2.5910469380786727E-2</v>
      </c>
      <c r="N61" s="254">
        <f t="shared" si="3"/>
        <v>-2.9562594268476627E-2</v>
      </c>
      <c r="O61" s="273">
        <f t="shared" si="4"/>
        <v>26799732.960000001</v>
      </c>
      <c r="P61" s="253">
        <f t="shared" si="5"/>
        <v>26057077.188800003</v>
      </c>
    </row>
    <row r="62" spans="2:16" x14ac:dyDescent="0.25">
      <c r="B62" s="246" t="str">
        <f>портфель!A70</f>
        <v>GDX US</v>
      </c>
      <c r="C62" s="246" t="str">
        <f>портфель!B70</f>
        <v>VanEck Vectors Gold Miners ETF</v>
      </c>
      <c r="D62" s="269" t="str">
        <f>портфель!C70</f>
        <v>USD</v>
      </c>
      <c r="E62" s="251">
        <f>портфель!F70</f>
        <v>1408</v>
      </c>
      <c r="F62" s="252">
        <f>портфель!G70</f>
        <v>44307</v>
      </c>
      <c r="G62" s="253">
        <f>портфель!L70</f>
        <v>432.01</v>
      </c>
      <c r="H62" s="253">
        <f>портфель!M70</f>
        <v>36.635490056818199</v>
      </c>
      <c r="I62" s="253">
        <f>портфель!N70</f>
        <v>32.17</v>
      </c>
      <c r="J62" s="253">
        <f t="shared" si="1"/>
        <v>45295.360000000001</v>
      </c>
      <c r="K62" s="253">
        <f>портфель!X70</f>
        <v>45295.360000000001</v>
      </c>
      <c r="L62" s="253">
        <v>46675.199999999997</v>
      </c>
      <c r="M62" s="254">
        <f t="shared" si="2"/>
        <v>1.916068323957338E-2</v>
      </c>
      <c r="N62" s="254">
        <f t="shared" si="3"/>
        <v>-2.9562594268476516E-2</v>
      </c>
      <c r="O62" s="273">
        <f t="shared" si="4"/>
        <v>19818289.919999998</v>
      </c>
      <c r="P62" s="253">
        <f t="shared" si="5"/>
        <v>19269099.097600002</v>
      </c>
    </row>
    <row r="63" spans="2:16" x14ac:dyDescent="0.25">
      <c r="B63" s="246" t="str">
        <f>портфель!A71</f>
        <v>GDX US</v>
      </c>
      <c r="C63" s="246" t="str">
        <f>портфель!B71</f>
        <v>VanEck Vectors Gold Miners ETF</v>
      </c>
      <c r="D63" s="269" t="str">
        <f>портфель!C71</f>
        <v>USD</v>
      </c>
      <c r="E63" s="251">
        <f>портфель!F71</f>
        <v>1358</v>
      </c>
      <c r="F63" s="252">
        <f>портфель!G71</f>
        <v>44321</v>
      </c>
      <c r="G63" s="253">
        <f>портфель!L71</f>
        <v>426.85</v>
      </c>
      <c r="H63" s="253">
        <f>портфель!M71</f>
        <v>35.354270986745199</v>
      </c>
      <c r="I63" s="253">
        <f>портфель!N71</f>
        <v>32.17</v>
      </c>
      <c r="J63" s="253">
        <f t="shared" si="1"/>
        <v>43686.86</v>
      </c>
      <c r="K63" s="253">
        <f>портфель!X71</f>
        <v>43686.86</v>
      </c>
      <c r="L63" s="253">
        <v>45017.7</v>
      </c>
      <c r="M63" s="254">
        <f t="shared" si="2"/>
        <v>1.8480261249531709E-2</v>
      </c>
      <c r="N63" s="254">
        <f t="shared" si="3"/>
        <v>-2.9562594268476516E-2</v>
      </c>
      <c r="O63" s="273">
        <f t="shared" si="4"/>
        <v>19114515.419999998</v>
      </c>
      <c r="P63" s="253">
        <f t="shared" si="5"/>
        <v>18584827.112600002</v>
      </c>
    </row>
    <row r="64" spans="2:16" x14ac:dyDescent="0.25">
      <c r="B64" s="246" t="str">
        <f>портфель!A72</f>
        <v>GDX US</v>
      </c>
      <c r="C64" s="246" t="str">
        <f>портфель!B72</f>
        <v>VanEck Vectors Gold Miners ETF</v>
      </c>
      <c r="D64" s="269" t="str">
        <f>портфель!C72</f>
        <v>USD</v>
      </c>
      <c r="E64" s="251">
        <f>портфель!F72</f>
        <v>865</v>
      </c>
      <c r="F64" s="252">
        <f>портфель!G72</f>
        <v>44363</v>
      </c>
      <c r="G64" s="253">
        <f>портфель!L72</f>
        <v>425.63</v>
      </c>
      <c r="H64" s="253">
        <f>портфель!M72</f>
        <v>37.65</v>
      </c>
      <c r="I64" s="253">
        <f>портфель!N72</f>
        <v>32.17</v>
      </c>
      <c r="J64" s="253">
        <f t="shared" si="1"/>
        <v>27827.050000000003</v>
      </c>
      <c r="K64" s="253">
        <f>портфель!X72</f>
        <v>27827.050000000003</v>
      </c>
      <c r="L64" s="253">
        <v>28674.75</v>
      </c>
      <c r="M64" s="254">
        <f t="shared" si="2"/>
        <v>1.1771300427720862E-2</v>
      </c>
      <c r="N64" s="254">
        <f t="shared" si="3"/>
        <v>-2.9562594268476516E-2</v>
      </c>
      <c r="O64" s="273">
        <f t="shared" si="4"/>
        <v>12175298.850000001</v>
      </c>
      <c r="P64" s="253">
        <f t="shared" si="5"/>
        <v>11837905.340500003</v>
      </c>
    </row>
    <row r="65" spans="1:54" x14ac:dyDescent="0.25">
      <c r="B65" s="246" t="str">
        <f>портфель!A73</f>
        <v>GDX US</v>
      </c>
      <c r="C65" s="246" t="str">
        <f>портфель!B73</f>
        <v>VanEck Vectors Gold Miners ETF</v>
      </c>
      <c r="D65" s="269" t="str">
        <f>портфель!C73</f>
        <v>USD</v>
      </c>
      <c r="E65" s="251">
        <f>портфель!F73</f>
        <v>1662</v>
      </c>
      <c r="F65" s="252">
        <f>портфель!G73</f>
        <v>44393</v>
      </c>
      <c r="G65" s="253">
        <f>портфель!L73</f>
        <v>426.47</v>
      </c>
      <c r="H65" s="253">
        <f>портфель!M73</f>
        <v>34.25</v>
      </c>
      <c r="I65" s="253">
        <f>портфель!N73</f>
        <v>32.17</v>
      </c>
      <c r="J65" s="253">
        <f t="shared" si="1"/>
        <v>53466.54</v>
      </c>
      <c r="K65" s="253">
        <f>портфель!X73</f>
        <v>53466.54</v>
      </c>
      <c r="L65" s="253">
        <v>55095.299999999996</v>
      </c>
      <c r="M65" s="254">
        <f t="shared" si="2"/>
        <v>2.2617226948985054E-2</v>
      </c>
      <c r="N65" s="254">
        <f t="shared" si="3"/>
        <v>-2.9562594268476516E-2</v>
      </c>
      <c r="O65" s="273">
        <f t="shared" si="4"/>
        <v>23393464.379999999</v>
      </c>
      <c r="P65" s="253">
        <f t="shared" si="5"/>
        <v>22745200.781400003</v>
      </c>
    </row>
    <row r="66" spans="1:54" x14ac:dyDescent="0.25">
      <c r="B66" s="246" t="str">
        <f>портфель!A74</f>
        <v>GDX US</v>
      </c>
      <c r="C66" s="246" t="str">
        <f>портфель!B74</f>
        <v>VanEck Vectors Gold Miners ETF</v>
      </c>
      <c r="D66" s="269" t="str">
        <f>портфель!C74</f>
        <v>USD</v>
      </c>
      <c r="E66" s="251">
        <f>портфель!F74</f>
        <v>726</v>
      </c>
      <c r="F66" s="252">
        <f>портфель!G74</f>
        <v>44399</v>
      </c>
      <c r="G66" s="253">
        <f>портфель!L74</f>
        <v>425.71</v>
      </c>
      <c r="H66" s="253">
        <f>портфель!M74</f>
        <v>33.39</v>
      </c>
      <c r="I66" s="253">
        <f>портфель!N74</f>
        <v>32.17</v>
      </c>
      <c r="J66" s="253">
        <f t="shared" si="1"/>
        <v>23355.420000000002</v>
      </c>
      <c r="K66" s="253">
        <f>портфель!X74</f>
        <v>23355.420000000002</v>
      </c>
      <c r="L66" s="253">
        <v>24066.899999999998</v>
      </c>
      <c r="M66" s="254">
        <f t="shared" si="2"/>
        <v>9.879727295405023E-3</v>
      </c>
      <c r="N66" s="254">
        <f t="shared" si="3"/>
        <v>-2.9562594268476405E-2</v>
      </c>
      <c r="O66" s="273">
        <f t="shared" si="4"/>
        <v>10218805.74</v>
      </c>
      <c r="P66" s="253">
        <f t="shared" si="5"/>
        <v>9935629.2222000007</v>
      </c>
    </row>
    <row r="67" spans="1:54" s="255" customFormat="1" x14ac:dyDescent="0.25">
      <c r="B67" s="255" t="str">
        <f>портфель!A75</f>
        <v>GDX US</v>
      </c>
      <c r="C67" s="255" t="str">
        <f>портфель!B75</f>
        <v>VanEck Vectors Gold Miners ETF</v>
      </c>
      <c r="D67" s="270" t="str">
        <f>портфель!C75</f>
        <v>USD</v>
      </c>
      <c r="E67" s="256">
        <f>портфель!F75</f>
        <v>653</v>
      </c>
      <c r="F67" s="257">
        <f>портфель!G75</f>
        <v>44414</v>
      </c>
      <c r="G67" s="258">
        <f>портфель!L75</f>
        <v>424.32</v>
      </c>
      <c r="H67" s="258">
        <f>портфель!M75</f>
        <v>33.18</v>
      </c>
      <c r="I67" s="258">
        <f>портфель!N75</f>
        <v>32.17</v>
      </c>
      <c r="J67" s="258">
        <f t="shared" si="1"/>
        <v>21007.010000000002</v>
      </c>
      <c r="K67" s="258">
        <f>портфель!X75</f>
        <v>21007.010000000002</v>
      </c>
      <c r="L67" s="258">
        <f>E67*H67</f>
        <v>21666.54</v>
      </c>
      <c r="M67" s="259">
        <f t="shared" si="2"/>
        <v>8.894353100523323E-3</v>
      </c>
      <c r="N67" s="259">
        <f t="shared" si="3"/>
        <v>-3.044002411091018E-2</v>
      </c>
      <c r="O67" s="275">
        <f t="shared" si="4"/>
        <v>9193546.2528000008</v>
      </c>
      <c r="P67" s="258">
        <f t="shared" si="5"/>
        <v>8936592.1241000015</v>
      </c>
    </row>
    <row r="68" spans="1:54" x14ac:dyDescent="0.25">
      <c r="B68" s="246" t="str">
        <f>портфель!A76</f>
        <v>VOO US</v>
      </c>
      <c r="C68" s="246" t="str">
        <f>портфель!B76</f>
        <v>VANGUARD S&amp;P 500 ETF</v>
      </c>
      <c r="D68" s="269" t="str">
        <f>портфель!C76</f>
        <v>USD</v>
      </c>
      <c r="E68" s="251">
        <f>портфель!F76</f>
        <v>153</v>
      </c>
      <c r="F68" s="252">
        <f>портфель!G76</f>
        <v>44280</v>
      </c>
      <c r="G68" s="253">
        <f>портфель!L76</f>
        <v>423.36</v>
      </c>
      <c r="H68" s="253">
        <f>портфель!M76</f>
        <v>355.66</v>
      </c>
      <c r="I68" s="253">
        <f>портфель!N76</f>
        <v>415.75</v>
      </c>
      <c r="J68" s="253">
        <f t="shared" si="1"/>
        <v>63609.75</v>
      </c>
      <c r="K68" s="253">
        <f>портфель!X76</f>
        <v>63609.75</v>
      </c>
      <c r="L68" s="253">
        <v>61870.14</v>
      </c>
      <c r="M68" s="254">
        <f t="shared" si="2"/>
        <v>2.5398373323050755E-2</v>
      </c>
      <c r="N68" s="254">
        <f t="shared" si="3"/>
        <v>2.8117117562688643E-2</v>
      </c>
      <c r="O68" s="273">
        <f t="shared" si="4"/>
        <v>26270061.444000002</v>
      </c>
      <c r="P68" s="253">
        <f t="shared" si="5"/>
        <v>27060223.747500002</v>
      </c>
    </row>
    <row r="69" spans="1:54" x14ac:dyDescent="0.25">
      <c r="B69" s="246" t="str">
        <f>портфель!A77</f>
        <v>VOO US</v>
      </c>
      <c r="C69" s="246" t="str">
        <f>портфель!B77</f>
        <v>VANGUARD S&amp;P 500 ETF</v>
      </c>
      <c r="D69" s="269" t="str">
        <f>портфель!C77</f>
        <v>USD</v>
      </c>
      <c r="E69" s="251">
        <f>портфель!F77</f>
        <v>156</v>
      </c>
      <c r="F69" s="252">
        <f>портфель!G77</f>
        <v>44280</v>
      </c>
      <c r="G69" s="253">
        <f>портфель!L77</f>
        <v>423.36</v>
      </c>
      <c r="H69" s="253">
        <f>портфель!M77</f>
        <v>357.1</v>
      </c>
      <c r="I69" s="253">
        <f>портфель!N77</f>
        <v>415.75</v>
      </c>
      <c r="J69" s="253">
        <f t="shared" si="1"/>
        <v>64857</v>
      </c>
      <c r="K69" s="253">
        <f>портфель!X77</f>
        <v>64857</v>
      </c>
      <c r="L69" s="253">
        <v>63083.28</v>
      </c>
      <c r="M69" s="254">
        <f t="shared" si="2"/>
        <v>2.5896380643110572E-2</v>
      </c>
      <c r="N69" s="254">
        <f t="shared" si="3"/>
        <v>2.8117117562688643E-2</v>
      </c>
      <c r="O69" s="273">
        <f t="shared" si="4"/>
        <v>26785160.688000001</v>
      </c>
      <c r="P69" s="253">
        <f t="shared" si="5"/>
        <v>27590816.370000001</v>
      </c>
    </row>
    <row r="70" spans="1:54" x14ac:dyDescent="0.25">
      <c r="B70" s="246" t="str">
        <f>портфель!A78</f>
        <v>VOO US</v>
      </c>
      <c r="C70" s="246" t="str">
        <f>портфель!B78</f>
        <v>VANGUARD S&amp;P 500 ETF</v>
      </c>
      <c r="D70" s="269" t="str">
        <f>портфель!C78</f>
        <v>USD</v>
      </c>
      <c r="E70" s="251">
        <f>портфель!F78</f>
        <v>178</v>
      </c>
      <c r="F70" s="252">
        <f>портфель!G78</f>
        <v>44293</v>
      </c>
      <c r="G70" s="253">
        <f>портфель!L78</f>
        <v>430.77</v>
      </c>
      <c r="H70" s="253">
        <f>портфель!M78</f>
        <v>373.11</v>
      </c>
      <c r="I70" s="253">
        <f>портфель!N78</f>
        <v>415.75</v>
      </c>
      <c r="J70" s="253">
        <f t="shared" ref="J70:J84" si="6">E70*I70</f>
        <v>74003.5</v>
      </c>
      <c r="K70" s="253">
        <f>портфель!X78</f>
        <v>74003.5</v>
      </c>
      <c r="L70" s="253">
        <v>71979.64</v>
      </c>
      <c r="M70" s="254">
        <f>L70/$L$87</f>
        <v>2.9548434323549241E-2</v>
      </c>
      <c r="N70" s="254">
        <f t="shared" ref="N70:N84" si="7">K70/L70-1</f>
        <v>2.8117117562688643E-2</v>
      </c>
      <c r="O70" s="273">
        <f t="shared" ref="O70:O84" si="8">IF(F70&lt;$G$2,L70*$O$2,L70*G70)</f>
        <v>30562555.144000001</v>
      </c>
      <c r="P70" s="253">
        <f t="shared" ref="P70:P84" si="9">K70*$K$2</f>
        <v>31481828.935000002</v>
      </c>
    </row>
    <row r="71" spans="1:54" x14ac:dyDescent="0.25">
      <c r="B71" s="246" t="str">
        <f>портфель!A79</f>
        <v>VOO US</v>
      </c>
      <c r="C71" s="246" t="str">
        <f>портфель!B79</f>
        <v>VANGUARD S&amp;P 500 ETF</v>
      </c>
      <c r="D71" s="269" t="str">
        <f>портфель!C79</f>
        <v>USD</v>
      </c>
      <c r="E71" s="251">
        <f>портфель!F79</f>
        <v>161</v>
      </c>
      <c r="F71" s="252">
        <f>портфель!G79</f>
        <v>44308</v>
      </c>
      <c r="G71" s="253">
        <f>портфель!L79</f>
        <v>432.21</v>
      </c>
      <c r="H71" s="253">
        <f>портфель!M79</f>
        <v>382.21</v>
      </c>
      <c r="I71" s="253">
        <f>портфель!N79</f>
        <v>415.75</v>
      </c>
      <c r="J71" s="253">
        <f t="shared" si="6"/>
        <v>66935.75</v>
      </c>
      <c r="K71" s="253">
        <f>портфель!X79</f>
        <v>66935.75</v>
      </c>
      <c r="L71" s="253">
        <v>65105.18</v>
      </c>
      <c r="M71" s="254">
        <f>L71/$L$87</f>
        <v>2.6726392843210271E-2</v>
      </c>
      <c r="N71" s="254">
        <f t="shared" si="7"/>
        <v>2.8117117562688643E-2</v>
      </c>
      <c r="O71" s="273">
        <f t="shared" si="8"/>
        <v>27643659.428000003</v>
      </c>
      <c r="P71" s="253">
        <f t="shared" si="9"/>
        <v>28475137.407500003</v>
      </c>
    </row>
    <row r="72" spans="1:54" s="255" customFormat="1" x14ac:dyDescent="0.25">
      <c r="A72" s="266"/>
      <c r="B72" s="246" t="str">
        <f>портфель!A80</f>
        <v>VOO US</v>
      </c>
      <c r="C72" s="246" t="str">
        <f>портфель!B80</f>
        <v>VANGUARD S&amp;P 500 ETF</v>
      </c>
      <c r="D72" s="269" t="str">
        <f>портфель!C80</f>
        <v>USD</v>
      </c>
      <c r="E72" s="251">
        <f>портфель!F80</f>
        <v>130</v>
      </c>
      <c r="F72" s="252">
        <f>портфель!G80</f>
        <v>44321</v>
      </c>
      <c r="G72" s="253">
        <f>портфель!L80</f>
        <v>426.85</v>
      </c>
      <c r="H72" s="253">
        <f>портфель!M80</f>
        <v>382.85</v>
      </c>
      <c r="I72" s="253">
        <f>портфель!N80</f>
        <v>415.75</v>
      </c>
      <c r="J72" s="253">
        <f t="shared" si="6"/>
        <v>54047.5</v>
      </c>
      <c r="K72" s="253">
        <f>портфель!X80</f>
        <v>54047.5</v>
      </c>
      <c r="L72" s="253">
        <v>52569.4</v>
      </c>
      <c r="M72" s="254">
        <f>L72/$L$87</f>
        <v>2.1580317202592143E-2</v>
      </c>
      <c r="N72" s="254">
        <f t="shared" si="7"/>
        <v>2.8117117562688643E-2</v>
      </c>
      <c r="O72" s="273">
        <f t="shared" si="8"/>
        <v>22320967.240000002</v>
      </c>
      <c r="P72" s="253">
        <f t="shared" si="9"/>
        <v>22992346.975000001</v>
      </c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6"/>
      <c r="AT72" s="266"/>
      <c r="AU72" s="266"/>
      <c r="AV72" s="266"/>
      <c r="AW72" s="266"/>
      <c r="AX72" s="266"/>
      <c r="AY72" s="266"/>
      <c r="AZ72" s="266"/>
      <c r="BA72" s="266"/>
      <c r="BB72" s="266"/>
    </row>
    <row r="73" spans="1:54" s="266" customFormat="1" x14ac:dyDescent="0.25">
      <c r="B73" s="246" t="str">
        <f>портфель!A81</f>
        <v>VOO US</v>
      </c>
      <c r="C73" s="246" t="str">
        <f>портфель!B81</f>
        <v>VANGUARD S&amp;P 500 ETF</v>
      </c>
      <c r="D73" s="269" t="str">
        <f>портфель!C81</f>
        <v>USD</v>
      </c>
      <c r="E73" s="251">
        <f>портфель!F81</f>
        <v>75</v>
      </c>
      <c r="F73" s="252">
        <f>портфель!G81</f>
        <v>44343</v>
      </c>
      <c r="G73" s="253">
        <f>портфель!L81</f>
        <v>428.48</v>
      </c>
      <c r="H73" s="253">
        <f>портфель!M81</f>
        <v>385.86</v>
      </c>
      <c r="I73" s="253">
        <f>портфель!N81</f>
        <v>415.75</v>
      </c>
      <c r="J73" s="253">
        <f t="shared" si="6"/>
        <v>31181.25</v>
      </c>
      <c r="K73" s="253">
        <f>портфель!X81</f>
        <v>31181.25</v>
      </c>
      <c r="L73" s="253">
        <v>30328.5</v>
      </c>
      <c r="M73" s="254">
        <f>L73/$L$87</f>
        <v>1.2450183001495467E-2</v>
      </c>
      <c r="N73" s="254">
        <f t="shared" si="7"/>
        <v>2.8117117562688643E-2</v>
      </c>
      <c r="O73" s="273">
        <f t="shared" si="8"/>
        <v>12877481.100000001</v>
      </c>
      <c r="P73" s="253">
        <f t="shared" si="9"/>
        <v>13264815.5625</v>
      </c>
    </row>
    <row r="74" spans="1:54" s="266" customFormat="1" x14ac:dyDescent="0.25">
      <c r="B74" s="246" t="str">
        <f>портфель!A82</f>
        <v>VOO US</v>
      </c>
      <c r="C74" s="246" t="str">
        <f>портфель!B82</f>
        <v>VANGUARD S&amp;P 500 ETF</v>
      </c>
      <c r="D74" s="269" t="str">
        <f>портфель!C82</f>
        <v>USD</v>
      </c>
      <c r="E74" s="251">
        <f>портфель!F82</f>
        <v>38</v>
      </c>
      <c r="F74" s="252">
        <f>портфель!G82</f>
        <v>44363</v>
      </c>
      <c r="G74" s="253">
        <f>портфель!L82</f>
        <v>425.63</v>
      </c>
      <c r="H74" s="253">
        <f>портфель!M82</f>
        <v>389.56</v>
      </c>
      <c r="I74" s="253">
        <f>портфель!N82</f>
        <v>415.75</v>
      </c>
      <c r="J74" s="253">
        <f t="shared" si="6"/>
        <v>15798.5</v>
      </c>
      <c r="K74" s="253">
        <f>портфель!X82</f>
        <v>15798.5</v>
      </c>
      <c r="L74" s="253">
        <v>15366.44</v>
      </c>
      <c r="M74" s="254">
        <f>L74/$L$87</f>
        <v>6.3080927207577039E-3</v>
      </c>
      <c r="N74" s="254">
        <f t="shared" si="7"/>
        <v>2.8117117562688421E-2</v>
      </c>
      <c r="O74" s="273">
        <f t="shared" si="8"/>
        <v>6524590.4240000006</v>
      </c>
      <c r="P74" s="253">
        <f t="shared" si="9"/>
        <v>6720839.8850000007</v>
      </c>
    </row>
    <row r="75" spans="1:54" s="266" customFormat="1" x14ac:dyDescent="0.25">
      <c r="B75" s="246" t="str">
        <f>портфель!A83</f>
        <v>VOO US</v>
      </c>
      <c r="C75" s="246" t="str">
        <f>портфель!B83</f>
        <v>VANGUARD S&amp;P 500 ETF</v>
      </c>
      <c r="D75" s="269" t="str">
        <f>портфель!C83</f>
        <v>USD</v>
      </c>
      <c r="E75" s="251">
        <f>портфель!F83</f>
        <v>92</v>
      </c>
      <c r="F75" s="252">
        <f>портфель!G83</f>
        <v>44393</v>
      </c>
      <c r="G75" s="253">
        <f>портфель!L83</f>
        <v>426.47</v>
      </c>
      <c r="H75" s="253">
        <f>портфель!M83</f>
        <v>398.78</v>
      </c>
      <c r="I75" s="253">
        <f>портфель!N83</f>
        <v>415.75</v>
      </c>
      <c r="J75" s="253">
        <f t="shared" si="6"/>
        <v>38249</v>
      </c>
      <c r="K75" s="253">
        <f>портфель!X83</f>
        <v>38249</v>
      </c>
      <c r="L75" s="253">
        <v>37202.959999999999</v>
      </c>
      <c r="M75" s="254">
        <f>L75/$L$87</f>
        <v>1.527222448183444E-2</v>
      </c>
      <c r="N75" s="254">
        <f t="shared" si="7"/>
        <v>2.8117117562688643E-2</v>
      </c>
      <c r="O75" s="273">
        <f t="shared" si="8"/>
        <v>15796376.816</v>
      </c>
      <c r="P75" s="253">
        <f t="shared" si="9"/>
        <v>16271507.090000002</v>
      </c>
    </row>
    <row r="76" spans="1:54" s="266" customFormat="1" x14ac:dyDescent="0.25">
      <c r="B76" s="246" t="str">
        <f>портфель!A84</f>
        <v>VOO US</v>
      </c>
      <c r="C76" s="246" t="str">
        <f>портфель!B84</f>
        <v>VANGUARD S&amp;P 500 ETF</v>
      </c>
      <c r="D76" s="269" t="str">
        <f>портфель!C84</f>
        <v>USD</v>
      </c>
      <c r="E76" s="251">
        <f>портфель!F84</f>
        <v>61</v>
      </c>
      <c r="F76" s="252">
        <f>портфель!G84</f>
        <v>44399</v>
      </c>
      <c r="G76" s="253">
        <f>портфель!L84</f>
        <v>425.71</v>
      </c>
      <c r="H76" s="253">
        <f>портфель!M84</f>
        <v>399.74</v>
      </c>
      <c r="I76" s="253">
        <f>портфель!N84</f>
        <v>415.75</v>
      </c>
      <c r="J76" s="253">
        <f t="shared" si="6"/>
        <v>25360.75</v>
      </c>
      <c r="K76" s="253">
        <f>портфель!X84</f>
        <v>25360.75</v>
      </c>
      <c r="L76" s="253">
        <v>24667.18</v>
      </c>
      <c r="M76" s="254">
        <f>L76/$L$87</f>
        <v>1.0126148841216313E-2</v>
      </c>
      <c r="N76" s="254">
        <f t="shared" si="7"/>
        <v>2.8117117562688643E-2</v>
      </c>
      <c r="O76" s="273">
        <f t="shared" si="8"/>
        <v>10473684.628</v>
      </c>
      <c r="P76" s="253">
        <f t="shared" si="9"/>
        <v>10788716.657500001</v>
      </c>
    </row>
    <row r="77" spans="1:54" s="266" customFormat="1" x14ac:dyDescent="0.25">
      <c r="B77" s="246" t="str">
        <f>портфель!A85</f>
        <v>VOO US</v>
      </c>
      <c r="C77" s="246" t="str">
        <f>портфель!B85</f>
        <v>VANGUARD S&amp;P 500 ETF</v>
      </c>
      <c r="D77" s="269" t="str">
        <f>портфель!C85</f>
        <v>USD</v>
      </c>
      <c r="E77" s="251">
        <f>портфель!F85</f>
        <v>36</v>
      </c>
      <c r="F77" s="252">
        <f>портфель!G85</f>
        <v>44414</v>
      </c>
      <c r="G77" s="253">
        <f>портфель!L85</f>
        <v>424.32</v>
      </c>
      <c r="H77" s="253">
        <f>портфель!M85</f>
        <v>406.56</v>
      </c>
      <c r="I77" s="253">
        <f>портфель!N85</f>
        <v>415.75</v>
      </c>
      <c r="J77" s="253">
        <f t="shared" si="6"/>
        <v>14967</v>
      </c>
      <c r="K77" s="253">
        <f>портфель!X85</f>
        <v>14967</v>
      </c>
      <c r="L77" s="253">
        <f>E77*H77</f>
        <v>14636.16</v>
      </c>
      <c r="M77" s="254">
        <f>L77/$L$87</f>
        <v>6.0083047443549101E-3</v>
      </c>
      <c r="N77" s="254">
        <f t="shared" si="7"/>
        <v>2.2604289649744258E-2</v>
      </c>
      <c r="O77" s="273">
        <f t="shared" si="8"/>
        <v>6210415.4112</v>
      </c>
      <c r="P77" s="253">
        <f t="shared" si="9"/>
        <v>6367111.4700000007</v>
      </c>
    </row>
    <row r="78" spans="1:54" s="255" customFormat="1" x14ac:dyDescent="0.25">
      <c r="B78" s="255" t="str">
        <f>портфель!A86</f>
        <v>VOO US</v>
      </c>
      <c r="C78" s="255" t="str">
        <f>портфель!B86</f>
        <v>VANGUARD S&amp;P 500 ETF</v>
      </c>
      <c r="D78" s="270" t="str">
        <f>портфель!C86</f>
        <v>USD</v>
      </c>
      <c r="E78" s="256">
        <f>портфель!F86</f>
        <v>67</v>
      </c>
      <c r="F78" s="257">
        <f>портфель!G86</f>
        <v>44427</v>
      </c>
      <c r="G78" s="258">
        <f>портфель!L86</f>
        <v>426.66</v>
      </c>
      <c r="H78" s="258">
        <f>портфель!M86</f>
        <v>403.6050746268657</v>
      </c>
      <c r="I78" s="258">
        <f>портфель!N86</f>
        <v>415.75</v>
      </c>
      <c r="J78" s="258">
        <f t="shared" si="6"/>
        <v>27855.25</v>
      </c>
      <c r="K78" s="258">
        <f>портфель!X86</f>
        <v>27855.25</v>
      </c>
      <c r="L78" s="258">
        <f>E78*H78</f>
        <v>27041.54</v>
      </c>
      <c r="M78" s="259">
        <f>L78/$L$87</f>
        <v>1.1100849749979713E-2</v>
      </c>
      <c r="N78" s="259">
        <f t="shared" si="7"/>
        <v>3.0091111674852788E-2</v>
      </c>
      <c r="O78" s="275">
        <f t="shared" si="8"/>
        <v>11537543.456400001</v>
      </c>
      <c r="P78" s="258">
        <f t="shared" si="9"/>
        <v>11849901.9025</v>
      </c>
    </row>
    <row r="79" spans="1:54" s="266" customFormat="1" x14ac:dyDescent="0.25">
      <c r="B79" s="246" t="str">
        <f>портфель!A87</f>
        <v>FREL US</v>
      </c>
      <c r="C79" s="246" t="str">
        <f>портфель!B87</f>
        <v>FIDELITY MSCI REAL ESTATE INDEX ETF</v>
      </c>
      <c r="D79" s="269" t="str">
        <f>портфель!C87</f>
        <v>USD</v>
      </c>
      <c r="E79" s="251">
        <f>портфель!F87</f>
        <v>4116</v>
      </c>
      <c r="F79" s="252">
        <f>портфель!G87</f>
        <v>44337</v>
      </c>
      <c r="G79" s="253">
        <f>портфель!L87</f>
        <v>428.86</v>
      </c>
      <c r="H79" s="253">
        <f>портфель!M87</f>
        <v>29.318804664723</v>
      </c>
      <c r="I79" s="253">
        <f>портфель!N87</f>
        <v>32.24</v>
      </c>
      <c r="J79" s="253">
        <f t="shared" si="6"/>
        <v>132699.84</v>
      </c>
      <c r="K79" s="253">
        <f>портфель!X87</f>
        <v>132699.84</v>
      </c>
      <c r="L79" s="253">
        <v>130065.60000000001</v>
      </c>
      <c r="M79" s="254">
        <f>L79/$L$87</f>
        <v>5.3393360113401879E-2</v>
      </c>
      <c r="N79" s="254">
        <f t="shared" si="7"/>
        <v>2.0253164556961911E-2</v>
      </c>
      <c r="O79" s="273">
        <f t="shared" si="8"/>
        <v>55225853.760000005</v>
      </c>
      <c r="P79" s="253">
        <f t="shared" si="9"/>
        <v>56451838.9344</v>
      </c>
    </row>
    <row r="80" spans="1:54" s="266" customFormat="1" x14ac:dyDescent="0.25">
      <c r="B80" s="246" t="str">
        <f>портфель!A88</f>
        <v>FREL US</v>
      </c>
      <c r="C80" s="246" t="str">
        <f>портфель!B88</f>
        <v>FIDELITY MSCI REAL ESTATE INDEX ETF</v>
      </c>
      <c r="D80" s="269" t="str">
        <f>портфель!C88</f>
        <v>USD</v>
      </c>
      <c r="E80" s="251">
        <f>портфель!F88</f>
        <v>1839</v>
      </c>
      <c r="F80" s="252">
        <f>портфель!G88</f>
        <v>44343</v>
      </c>
      <c r="G80" s="253">
        <f>портфель!L88</f>
        <v>428.48</v>
      </c>
      <c r="H80" s="253">
        <f>портфель!M88</f>
        <v>29.778999456226199</v>
      </c>
      <c r="I80" s="253">
        <f>портфель!N88</f>
        <v>32.24</v>
      </c>
      <c r="J80" s="253">
        <f t="shared" si="6"/>
        <v>59289.36</v>
      </c>
      <c r="K80" s="253">
        <f>портфель!X88</f>
        <v>59289.36</v>
      </c>
      <c r="L80" s="253">
        <v>58112.4</v>
      </c>
      <c r="M80" s="254">
        <f>L80/$L$87</f>
        <v>2.3855779700812939E-2</v>
      </c>
      <c r="N80" s="254">
        <f t="shared" si="7"/>
        <v>2.0253164556961911E-2</v>
      </c>
      <c r="O80" s="273">
        <f t="shared" si="8"/>
        <v>24674525.040000003</v>
      </c>
      <c r="P80" s="253">
        <f t="shared" si="9"/>
        <v>25222286.637600001</v>
      </c>
    </row>
    <row r="81" spans="2:17" s="266" customFormat="1" x14ac:dyDescent="0.25">
      <c r="B81" s="246" t="str">
        <f>портфель!A89</f>
        <v>FREL US</v>
      </c>
      <c r="C81" s="246" t="str">
        <f>портфель!B89</f>
        <v>FIDELITY MSCI REAL ESTATE INDEX ETF</v>
      </c>
      <c r="D81" s="269" t="str">
        <f>портфель!C89</f>
        <v>USD</v>
      </c>
      <c r="E81" s="251">
        <f>портфель!F89</f>
        <v>1682</v>
      </c>
      <c r="F81" s="271">
        <f>портфель!G89</f>
        <v>44363</v>
      </c>
      <c r="G81" s="273">
        <f>портфель!L89</f>
        <v>425.63</v>
      </c>
      <c r="H81" s="253">
        <f>портфель!M89</f>
        <v>31.337336504161701</v>
      </c>
      <c r="I81" s="253">
        <f>портфель!N89</f>
        <v>32.24</v>
      </c>
      <c r="J81" s="253">
        <f t="shared" si="6"/>
        <v>54227.68</v>
      </c>
      <c r="K81" s="253">
        <f>портфель!X89</f>
        <v>54227.68</v>
      </c>
      <c r="L81" s="273">
        <v>53151.200000000004</v>
      </c>
      <c r="M81" s="254">
        <f>L81/$L$87</f>
        <v>2.1819152505039352E-2</v>
      </c>
      <c r="N81" s="254">
        <f t="shared" si="7"/>
        <v>2.0253164556961911E-2</v>
      </c>
      <c r="O81" s="273">
        <f t="shared" si="8"/>
        <v>22567999.520000003</v>
      </c>
      <c r="P81" s="253">
        <f t="shared" si="9"/>
        <v>23068997.3488</v>
      </c>
    </row>
    <row r="82" spans="2:17" s="266" customFormat="1" x14ac:dyDescent="0.25">
      <c r="B82" s="246" t="str">
        <f>портфель!A90</f>
        <v>FREL US</v>
      </c>
      <c r="C82" s="246" t="str">
        <f>портфель!B90</f>
        <v>FIDELITY MSCI REAL ESTATE INDEX ETF</v>
      </c>
      <c r="D82" s="269" t="str">
        <f>портфель!C90</f>
        <v>USD</v>
      </c>
      <c r="E82" s="251">
        <f>портфель!F90</f>
        <v>1487</v>
      </c>
      <c r="F82" s="252">
        <f>портфель!G90</f>
        <v>44393</v>
      </c>
      <c r="G82" s="253">
        <f>портфель!L90</f>
        <v>426.47</v>
      </c>
      <c r="H82" s="253">
        <f>портфель!M90</f>
        <v>31.64899798251513</v>
      </c>
      <c r="I82" s="253">
        <f>портфель!N90</f>
        <v>32.24</v>
      </c>
      <c r="J82" s="253">
        <f t="shared" si="6"/>
        <v>47940.880000000005</v>
      </c>
      <c r="K82" s="253">
        <f>портфель!X90</f>
        <v>47940.880000000005</v>
      </c>
      <c r="L82" s="253">
        <v>46989.200000000004</v>
      </c>
      <c r="M82" s="254">
        <f>L82/$L$87</f>
        <v>1.928958369500209E-2</v>
      </c>
      <c r="N82" s="254">
        <f t="shared" si="7"/>
        <v>2.0253164556962133E-2</v>
      </c>
      <c r="O82" s="273">
        <f t="shared" si="8"/>
        <v>19951614.320000004</v>
      </c>
      <c r="P82" s="253">
        <f t="shared" si="9"/>
        <v>20394529.760800004</v>
      </c>
    </row>
    <row r="83" spans="2:17" s="266" customFormat="1" x14ac:dyDescent="0.25">
      <c r="B83" s="246" t="str">
        <f>портфель!A91</f>
        <v>FREL US</v>
      </c>
      <c r="C83" s="246" t="str">
        <f>портфель!B91</f>
        <v>FIDELITY MSCI REAL ESTATE INDEX ETF</v>
      </c>
      <c r="D83" s="269" t="str">
        <f>портфель!C91</f>
        <v>USD</v>
      </c>
      <c r="E83" s="251">
        <f>портфель!F91</f>
        <v>600</v>
      </c>
      <c r="F83" s="252">
        <f>портфель!G91</f>
        <v>44399</v>
      </c>
      <c r="G83" s="253">
        <f>портфель!L91</f>
        <v>425.71</v>
      </c>
      <c r="H83" s="253">
        <f>портфель!M91</f>
        <v>31.29</v>
      </c>
      <c r="I83" s="253">
        <f>портфель!N91</f>
        <v>32.24</v>
      </c>
      <c r="J83" s="253">
        <f t="shared" si="6"/>
        <v>19344</v>
      </c>
      <c r="K83" s="253">
        <f>портфель!X91</f>
        <v>19344</v>
      </c>
      <c r="L83" s="253">
        <v>18960</v>
      </c>
      <c r="M83" s="254">
        <f>L83/$L$87</f>
        <v>7.7832886462684955E-3</v>
      </c>
      <c r="N83" s="254">
        <f t="shared" si="7"/>
        <v>2.0253164556962133E-2</v>
      </c>
      <c r="O83" s="273">
        <f t="shared" si="8"/>
        <v>8050416</v>
      </c>
      <c r="P83" s="253">
        <f t="shared" si="9"/>
        <v>8229131.04</v>
      </c>
    </row>
    <row r="84" spans="2:17" s="255" customFormat="1" x14ac:dyDescent="0.25">
      <c r="B84" s="255" t="str">
        <f>портфель!A92</f>
        <v>FREL US</v>
      </c>
      <c r="C84" s="255" t="str">
        <f>портфель!B92</f>
        <v>FIDELITY MSCI REAL ESTATE INDEX ETF</v>
      </c>
      <c r="D84" s="270" t="str">
        <f>портфель!C92</f>
        <v>USD</v>
      </c>
      <c r="E84" s="256">
        <f>портфель!F92</f>
        <v>555</v>
      </c>
      <c r="F84" s="257">
        <f>портфель!G92</f>
        <v>44414</v>
      </c>
      <c r="G84" s="258">
        <f>портфель!L92</f>
        <v>424.32</v>
      </c>
      <c r="H84" s="258">
        <f>портфель!M92</f>
        <v>32.029009009009009</v>
      </c>
      <c r="I84" s="258">
        <f>портфель!N92</f>
        <v>32.24</v>
      </c>
      <c r="J84" s="258">
        <f t="shared" si="6"/>
        <v>17893.2</v>
      </c>
      <c r="K84" s="258">
        <f>портфель!X92</f>
        <v>17893.2</v>
      </c>
      <c r="L84" s="258">
        <f>E84*H84</f>
        <v>17776.099999999999</v>
      </c>
      <c r="M84" s="259">
        <f>L84/$L$87</f>
        <v>7.2972846679817188E-3</v>
      </c>
      <c r="N84" s="259">
        <f t="shared" si="7"/>
        <v>6.5874966950008051E-3</v>
      </c>
      <c r="O84" s="275">
        <f t="shared" si="8"/>
        <v>7542754.7519999994</v>
      </c>
      <c r="P84" s="258">
        <f t="shared" si="9"/>
        <v>7611946.2120000012</v>
      </c>
    </row>
    <row r="85" spans="2:17" s="266" customFormat="1" x14ac:dyDescent="0.25">
      <c r="B85" s="246"/>
      <c r="C85" s="246"/>
      <c r="D85" s="269"/>
      <c r="E85" s="251"/>
      <c r="F85" s="252"/>
      <c r="G85" s="253"/>
      <c r="H85" s="253"/>
      <c r="I85" s="253"/>
      <c r="J85" s="253"/>
      <c r="K85" s="253"/>
      <c r="L85" s="253"/>
      <c r="M85" s="254"/>
      <c r="N85" s="254"/>
      <c r="O85" s="253"/>
      <c r="P85" s="253"/>
    </row>
    <row r="86" spans="2:17" s="266" customFormat="1" x14ac:dyDescent="0.25">
      <c r="B86" s="246"/>
      <c r="C86" s="246"/>
      <c r="D86" s="269"/>
      <c r="E86" s="251"/>
      <c r="F86" s="274">
        <f>IF(F81&gt;$G$2,1,0)</f>
        <v>0</v>
      </c>
      <c r="G86" s="253"/>
      <c r="H86" s="253"/>
      <c r="I86" s="253"/>
      <c r="J86" s="253"/>
      <c r="K86" s="253"/>
      <c r="L86" s="253"/>
      <c r="M86" s="254"/>
      <c r="N86" s="254"/>
      <c r="O86" s="253"/>
      <c r="P86" s="253"/>
    </row>
    <row r="87" spans="2:17" x14ac:dyDescent="0.25">
      <c r="D87" s="250"/>
      <c r="E87" s="251"/>
      <c r="F87" s="252"/>
      <c r="G87" s="253"/>
      <c r="H87" s="253"/>
      <c r="I87" s="253"/>
      <c r="J87" s="253">
        <f>SUM(J5:J84)</f>
        <v>2458426.7600000002</v>
      </c>
      <c r="K87" s="253">
        <f>SUM(K5:K84)</f>
        <v>2458426.7600000002</v>
      </c>
      <c r="L87" s="253">
        <f>SUM(L5:L84)</f>
        <v>2435988.2899999991</v>
      </c>
      <c r="M87" s="254"/>
      <c r="N87" s="254">
        <f>SUMPRODUCT(M5:M84,N5:N84)</f>
        <v>9.2112388602656279E-3</v>
      </c>
      <c r="O87" s="253">
        <f>SUM(O5:O84)</f>
        <v>1034465784.0188</v>
      </c>
      <c r="P87" s="253">
        <f>SUM(P5:P84)</f>
        <v>1045839327.9715998</v>
      </c>
    </row>
    <row r="88" spans="2:17" x14ac:dyDescent="0.25">
      <c r="D88" s="250"/>
      <c r="E88" s="251"/>
      <c r="F88" s="252"/>
      <c r="G88" s="253"/>
      <c r="H88" s="253"/>
      <c r="I88" s="253"/>
      <c r="J88" s="253"/>
      <c r="K88" s="253"/>
      <c r="L88" s="253"/>
      <c r="M88" s="254"/>
      <c r="N88" s="254"/>
      <c r="O88" s="254">
        <f>K2/O2-1</f>
        <v>1.9076778144135886E-3</v>
      </c>
      <c r="P88" s="254">
        <f>P87/O87-1</f>
        <v>1.0994606229134618E-2</v>
      </c>
    </row>
    <row r="89" spans="2:17" x14ac:dyDescent="0.25">
      <c r="D89" s="250"/>
      <c r="E89" s="251"/>
      <c r="F89" s="252"/>
      <c r="G89" s="253"/>
      <c r="H89" s="253"/>
      <c r="I89" s="253"/>
      <c r="J89" s="253"/>
      <c r="K89" s="253"/>
      <c r="L89" s="254"/>
      <c r="M89" s="254"/>
      <c r="N89" s="254"/>
      <c r="O89" s="253"/>
      <c r="P89" s="253"/>
    </row>
    <row r="90" spans="2:17" x14ac:dyDescent="0.25">
      <c r="D90" s="250"/>
      <c r="E90" s="251"/>
      <c r="F90" s="252"/>
      <c r="G90" s="253"/>
      <c r="H90" s="253"/>
      <c r="I90" s="253"/>
      <c r="J90" s="253"/>
      <c r="K90" s="253"/>
      <c r="L90" s="253"/>
      <c r="M90" s="254"/>
      <c r="N90" s="254"/>
      <c r="O90" s="253"/>
      <c r="P90" s="253"/>
    </row>
    <row r="91" spans="2:17" x14ac:dyDescent="0.25">
      <c r="D91" s="250"/>
      <c r="E91" s="251"/>
      <c r="F91" s="252"/>
      <c r="G91" s="253"/>
      <c r="H91" s="250" t="s">
        <v>229</v>
      </c>
      <c r="I91" s="253"/>
      <c r="J91" s="250" t="s">
        <v>233</v>
      </c>
      <c r="K91" s="250" t="s">
        <v>233</v>
      </c>
      <c r="L91" s="250" t="s">
        <v>234</v>
      </c>
      <c r="O91" s="250" t="s">
        <v>234</v>
      </c>
      <c r="P91" s="250" t="s">
        <v>235</v>
      </c>
      <c r="Q91" s="267" t="s">
        <v>235</v>
      </c>
    </row>
    <row r="92" spans="2:17" x14ac:dyDescent="0.25">
      <c r="D92" s="250"/>
      <c r="E92" s="251"/>
      <c r="F92" s="252"/>
      <c r="G92" s="253"/>
      <c r="H92" s="250"/>
      <c r="I92" s="253"/>
      <c r="J92" s="250" t="s">
        <v>2</v>
      </c>
      <c r="K92" s="250" t="s">
        <v>1</v>
      </c>
      <c r="L92" s="250" t="s">
        <v>2</v>
      </c>
      <c r="O92" s="250" t="s">
        <v>1</v>
      </c>
      <c r="P92" s="250" t="s">
        <v>2</v>
      </c>
      <c r="Q92" s="267" t="s">
        <v>1</v>
      </c>
    </row>
    <row r="93" spans="2:17" x14ac:dyDescent="0.25">
      <c r="C93" s="246" t="s">
        <v>236</v>
      </c>
      <c r="D93" s="250"/>
      <c r="E93" s="251"/>
      <c r="F93" s="252"/>
      <c r="G93" s="253"/>
      <c r="H93" s="254">
        <f>SUM(K5:K15,K68:K78)/$K$87</f>
        <v>0.32884386191761106</v>
      </c>
      <c r="I93" s="254">
        <f>K93/$G$127</f>
        <v>0.15213650947306115</v>
      </c>
      <c r="J93" s="253">
        <f>SUM(J5:J15,J68:J78)</f>
        <v>808438.55</v>
      </c>
      <c r="K93" s="253">
        <f>J93*$K$2</f>
        <v>343917843.55550003</v>
      </c>
      <c r="L93" s="253">
        <f>SUM(L5:L15,L68:L78)</f>
        <v>786347.38000000012</v>
      </c>
      <c r="O93" s="253">
        <f>SUM(O5:O15,O68:O78)</f>
        <v>333966824.04840004</v>
      </c>
      <c r="P93" s="254">
        <f t="shared" ref="P93:P99" si="10">J93/L93-1</f>
        <v>2.8093398111150192E-2</v>
      </c>
      <c r="Q93" s="268">
        <f t="shared" ref="Q93:Q99" si="11">K93/O93-1</f>
        <v>2.9796431233714005E-2</v>
      </c>
    </row>
    <row r="94" spans="2:17" x14ac:dyDescent="0.25">
      <c r="C94" s="246" t="s">
        <v>237</v>
      </c>
      <c r="D94" s="250"/>
      <c r="E94" s="251"/>
      <c r="F94" s="252"/>
      <c r="G94" s="253"/>
      <c r="H94" s="254">
        <f>SUM(K51:K58)/$K$87</f>
        <v>3.9201985419325645E-2</v>
      </c>
      <c r="I94" s="254">
        <f>K94/$G$127</f>
        <v>1.8136428611838531E-2</v>
      </c>
      <c r="J94" s="253">
        <f>SUM(J51:J58)</f>
        <v>96375.209999999992</v>
      </c>
      <c r="K94" s="253">
        <f t="shared" ref="K94:K96" si="12">J94*$K$2</f>
        <v>40998978.086099997</v>
      </c>
      <c r="L94" s="253">
        <f>SUM(L51:L58)</f>
        <v>93824.88</v>
      </c>
      <c r="O94" s="253">
        <f>SUM(O51:O58)</f>
        <v>39835192.416000001</v>
      </c>
      <c r="P94" s="254">
        <f t="shared" si="10"/>
        <v>2.7181809345239616E-2</v>
      </c>
      <c r="Q94" s="268">
        <f t="shared" si="11"/>
        <v>2.9215013145827307E-2</v>
      </c>
    </row>
    <row r="95" spans="2:17" x14ac:dyDescent="0.25">
      <c r="C95" s="246" t="s">
        <v>238</v>
      </c>
      <c r="D95" s="250"/>
      <c r="E95" s="251"/>
      <c r="F95" s="252"/>
      <c r="G95" s="253"/>
      <c r="H95" s="254">
        <f>SUM(K79:K84)/$K$87</f>
        <v>0.13479960655813883</v>
      </c>
      <c r="I95" s="254">
        <f>K95/$G$127</f>
        <v>6.2363765893356661E-2</v>
      </c>
      <c r="J95" s="253">
        <f>SUM(J79:J84)</f>
        <v>331394.96000000002</v>
      </c>
      <c r="K95" s="253">
        <f>J95*$K$2</f>
        <v>140978729.93360001</v>
      </c>
      <c r="L95" s="253">
        <f>SUM(L79:L84)</f>
        <v>325054.5</v>
      </c>
      <c r="O95" s="253">
        <f>SUM(O79:O84)</f>
        <v>138013163.39200002</v>
      </c>
      <c r="P95" s="254">
        <f t="shared" si="10"/>
        <v>1.9505836713535896E-2</v>
      </c>
      <c r="Q95" s="268">
        <f t="shared" si="11"/>
        <v>2.1487562988298903E-2</v>
      </c>
    </row>
    <row r="96" spans="2:17" x14ac:dyDescent="0.25">
      <c r="C96" s="246" t="s">
        <v>239</v>
      </c>
      <c r="D96" s="250"/>
      <c r="E96" s="251"/>
      <c r="F96" s="252"/>
      <c r="G96" s="253"/>
      <c r="H96" s="254">
        <f>SUM(K29:K39)/$K$87</f>
        <v>0.14566720303679084</v>
      </c>
      <c r="I96" s="254">
        <f>K96/$G$127</f>
        <v>6.739155684856106E-2</v>
      </c>
      <c r="J96" s="253">
        <f>SUM(J29:J39)</f>
        <v>358112.14999999991</v>
      </c>
      <c r="K96" s="253">
        <f t="shared" si="12"/>
        <v>152344489.73149997</v>
      </c>
      <c r="L96" s="253">
        <f>SUM(L29:L39)</f>
        <v>355789.97999999992</v>
      </c>
      <c r="O96" s="253">
        <f>SUM(O29:O39)</f>
        <v>151108765.74000001</v>
      </c>
      <c r="P96" s="254">
        <f t="shared" si="10"/>
        <v>6.5267998834592778E-3</v>
      </c>
      <c r="Q96" s="268">
        <f t="shared" si="11"/>
        <v>8.1777121628150429E-3</v>
      </c>
    </row>
    <row r="97" spans="3:17" x14ac:dyDescent="0.25">
      <c r="C97" s="246" t="s">
        <v>240</v>
      </c>
      <c r="D97" s="250"/>
      <c r="E97" s="251"/>
      <c r="F97" s="252"/>
      <c r="G97" s="253"/>
      <c r="H97" s="254">
        <f>SUM(K40:K50)/$K$87</f>
        <v>0.1427608321347755</v>
      </c>
      <c r="I97" s="254">
        <f>K97/$G$127</f>
        <v>6.6046951777667368E-2</v>
      </c>
      <c r="J97" s="253">
        <f>SUM(J40:J50)</f>
        <v>350967.05000000005</v>
      </c>
      <c r="K97" s="253">
        <f>J97*$K$2</f>
        <v>149304892.74050003</v>
      </c>
      <c r="L97" s="253">
        <f>SUM(L40:L50)</f>
        <v>351970.8</v>
      </c>
      <c r="O97" s="253">
        <f>SUM(O40:O50)</f>
        <v>149484617.47080001</v>
      </c>
      <c r="P97" s="254">
        <f t="shared" si="10"/>
        <v>-2.8517990696953488E-3</v>
      </c>
      <c r="Q97" s="268">
        <f t="shared" si="11"/>
        <v>-1.2022958170601061E-3</v>
      </c>
    </row>
    <row r="98" spans="3:17" x14ac:dyDescent="0.25">
      <c r="C98" s="246" t="s">
        <v>241</v>
      </c>
      <c r="D98" s="250"/>
      <c r="E98" s="251"/>
      <c r="F98" s="252"/>
      <c r="G98" s="253"/>
      <c r="H98" s="254">
        <f>SUM(K23:K28,K59:K67)/$K$87</f>
        <v>0.17188944038341003</v>
      </c>
      <c r="I98" s="254">
        <f>K98/$G$127</f>
        <v>7.9523027502218235E-2</v>
      </c>
      <c r="J98" s="253">
        <f>SUM(J23:J28,J59:J67)</f>
        <v>422577.59999999992</v>
      </c>
      <c r="K98" s="253">
        <f>J98*$K$2</f>
        <v>179768736.81599998</v>
      </c>
      <c r="L98" s="253">
        <f>SUM(L23:L28,L59:L67)</f>
        <v>435387.04</v>
      </c>
      <c r="O98" s="253">
        <f>SUM(O23:O28,O59:O67)</f>
        <v>184859270.5528</v>
      </c>
      <c r="P98" s="254">
        <f t="shared" si="10"/>
        <v>-2.9420811423325977E-2</v>
      </c>
      <c r="Q98" s="268">
        <f t="shared" si="11"/>
        <v>-2.7537346228714288E-2</v>
      </c>
    </row>
    <row r="99" spans="3:17" x14ac:dyDescent="0.25">
      <c r="C99" s="246" t="s">
        <v>242</v>
      </c>
      <c r="D99" s="250"/>
      <c r="E99" s="251"/>
      <c r="F99" s="252"/>
      <c r="G99" s="253"/>
      <c r="H99" s="254">
        <f>SUM(K16:K22)/$K$87</f>
        <v>3.6837070549947969E-2</v>
      </c>
      <c r="I99" s="254">
        <f>K99/$G$127</f>
        <v>1.7042323064816938E-2</v>
      </c>
      <c r="J99" s="253">
        <f>SUM(J16:J22)</f>
        <v>90561.24</v>
      </c>
      <c r="K99" s="253">
        <f>J99*$K$2</f>
        <v>38525657.108400002</v>
      </c>
      <c r="L99" s="253">
        <f>SUM(L16:L22)</f>
        <v>87613.71</v>
      </c>
      <c r="O99" s="253">
        <f>SUM(O16:O22)</f>
        <v>37197950.398800001</v>
      </c>
      <c r="P99" s="254">
        <f t="shared" si="10"/>
        <v>3.3642337483482887E-2</v>
      </c>
      <c r="Q99" s="268">
        <f t="shared" si="11"/>
        <v>3.569300715135193E-2</v>
      </c>
    </row>
    <row r="100" spans="3:17" x14ac:dyDescent="0.25">
      <c r="D100" s="250"/>
      <c r="E100" s="251"/>
      <c r="F100" s="252"/>
      <c r="G100" s="253"/>
      <c r="H100" s="253"/>
      <c r="I100" s="253"/>
      <c r="J100" s="253"/>
      <c r="K100" s="253"/>
      <c r="L100" s="253"/>
      <c r="M100" s="254"/>
      <c r="N100" s="254"/>
      <c r="O100" s="253"/>
      <c r="P100" s="253"/>
    </row>
    <row r="101" spans="3:17" x14ac:dyDescent="0.25">
      <c r="D101" s="250"/>
      <c r="E101" s="251"/>
      <c r="F101" s="252"/>
      <c r="G101" s="253"/>
      <c r="H101" s="253"/>
      <c r="I101" s="253"/>
      <c r="J101" s="253"/>
      <c r="K101" s="253"/>
      <c r="L101" s="253"/>
      <c r="M101" s="254"/>
      <c r="N101" s="254"/>
      <c r="O101" s="253"/>
      <c r="P101" s="253"/>
    </row>
    <row r="102" spans="3:17" x14ac:dyDescent="0.25">
      <c r="D102" s="250"/>
      <c r="E102" s="251"/>
      <c r="F102" s="252"/>
      <c r="G102" s="253"/>
      <c r="H102" s="253"/>
      <c r="I102" s="253"/>
      <c r="J102" s="253"/>
      <c r="K102" s="253"/>
      <c r="L102" s="253"/>
      <c r="M102" s="254"/>
      <c r="N102" s="254"/>
      <c r="O102" s="253"/>
      <c r="P102" s="253"/>
    </row>
    <row r="103" spans="3:17" x14ac:dyDescent="0.25">
      <c r="D103" s="250"/>
      <c r="E103" t="s">
        <v>243</v>
      </c>
      <c r="F103" s="260" t="s">
        <v>244</v>
      </c>
      <c r="G103" s="253"/>
      <c r="H103" s="253"/>
      <c r="I103" s="253"/>
      <c r="J103" s="253"/>
      <c r="K103" s="253"/>
      <c r="L103" s="253"/>
      <c r="M103" s="254"/>
      <c r="N103" s="254"/>
      <c r="O103" s="253"/>
      <c r="P103" s="253"/>
    </row>
    <row r="104" spans="3:17" x14ac:dyDescent="0.25">
      <c r="D104" s="250"/>
      <c r="E104"/>
      <c r="F104" s="260"/>
      <c r="G104" s="253"/>
      <c r="H104" s="253"/>
      <c r="I104" s="253"/>
      <c r="J104" s="253"/>
      <c r="K104" s="253"/>
      <c r="L104" s="253"/>
      <c r="M104" s="254"/>
      <c r="N104" s="254"/>
      <c r="O104" s="253"/>
      <c r="P104" s="253"/>
    </row>
    <row r="105" spans="3:17" x14ac:dyDescent="0.25">
      <c r="C105" s="261" t="s">
        <v>242</v>
      </c>
      <c r="D105" s="250"/>
      <c r="E105" s="262">
        <f>P99</f>
        <v>3.3642337483482887E-2</v>
      </c>
      <c r="F105" s="263">
        <f>H99</f>
        <v>3.6837070549947969E-2</v>
      </c>
      <c r="G105" s="253"/>
      <c r="H105" s="253"/>
      <c r="I105" s="253"/>
      <c r="J105" s="253"/>
      <c r="K105" s="253"/>
      <c r="L105" s="253"/>
      <c r="M105" s="254"/>
      <c r="N105" s="254"/>
      <c r="O105" s="253"/>
      <c r="P105" s="253"/>
    </row>
    <row r="106" spans="3:17" x14ac:dyDescent="0.25">
      <c r="C106" s="261" t="s">
        <v>236</v>
      </c>
      <c r="D106" s="250"/>
      <c r="E106" s="262">
        <f>P93</f>
        <v>2.8093398111150192E-2</v>
      </c>
      <c r="F106" s="263">
        <f>H93</f>
        <v>0.32884386191761106</v>
      </c>
      <c r="G106" s="253"/>
      <c r="H106" s="253"/>
      <c r="I106" s="253"/>
      <c r="J106" s="253"/>
      <c r="K106" s="253"/>
      <c r="L106" s="253"/>
      <c r="M106" s="254"/>
      <c r="N106" s="254"/>
      <c r="O106" s="253"/>
      <c r="P106" s="253"/>
    </row>
    <row r="107" spans="3:17" x14ac:dyDescent="0.25">
      <c r="C107" s="261" t="s">
        <v>237</v>
      </c>
      <c r="E107" s="262">
        <f>P94</f>
        <v>2.7181809345239616E-2</v>
      </c>
      <c r="F107" s="263">
        <f>H94</f>
        <v>3.9201985419325645E-2</v>
      </c>
    </row>
    <row r="108" spans="3:17" x14ac:dyDescent="0.25">
      <c r="C108" s="261" t="s">
        <v>238</v>
      </c>
      <c r="D108" s="250"/>
      <c r="E108" s="262">
        <f>P95</f>
        <v>1.9505836713535896E-2</v>
      </c>
      <c r="F108" s="263">
        <f>H95</f>
        <v>0.13479960655813883</v>
      </c>
      <c r="G108" s="253"/>
      <c r="H108" s="253"/>
      <c r="I108" s="253"/>
      <c r="J108" s="253"/>
      <c r="K108" s="253"/>
      <c r="L108" s="253"/>
      <c r="M108" s="254"/>
      <c r="N108" s="254"/>
      <c r="O108" s="253"/>
      <c r="P108" s="253"/>
    </row>
    <row r="109" spans="3:17" x14ac:dyDescent="0.25">
      <c r="C109" s="261" t="s">
        <v>239</v>
      </c>
      <c r="E109" s="262">
        <f>P96</f>
        <v>6.5267998834592778E-3</v>
      </c>
      <c r="F109" s="263">
        <f>H96</f>
        <v>0.14566720303679084</v>
      </c>
    </row>
    <row r="110" spans="3:17" x14ac:dyDescent="0.25">
      <c r="C110" s="261" t="s">
        <v>240</v>
      </c>
      <c r="E110" s="262">
        <f>P97</f>
        <v>-2.8517990696953488E-3</v>
      </c>
      <c r="F110" s="263">
        <f>H97</f>
        <v>0.1427608321347755</v>
      </c>
    </row>
    <row r="111" spans="3:17" x14ac:dyDescent="0.25">
      <c r="C111" s="261" t="s">
        <v>241</v>
      </c>
      <c r="E111" s="262">
        <f>P98</f>
        <v>-2.9420811423325977E-2</v>
      </c>
      <c r="F111" s="263">
        <f>H98</f>
        <v>0.17188944038341003</v>
      </c>
    </row>
    <row r="113" spans="3:7" x14ac:dyDescent="0.25">
      <c r="E113" s="262"/>
      <c r="F113" s="263"/>
    </row>
    <row r="114" spans="3:7" x14ac:dyDescent="0.25">
      <c r="E114" s="262"/>
      <c r="F114" s="263"/>
    </row>
    <row r="115" spans="3:7" x14ac:dyDescent="0.25">
      <c r="E115"/>
      <c r="F115" s="260"/>
      <c r="G115" t="s">
        <v>245</v>
      </c>
    </row>
    <row r="116" spans="3:7" x14ac:dyDescent="0.25">
      <c r="C116" s="246" t="s">
        <v>246</v>
      </c>
      <c r="E116" s="264">
        <f>SUM(P68:P78)/1000000</f>
        <v>202.86324600250001</v>
      </c>
      <c r="F116" s="260"/>
      <c r="G116" s="265">
        <f>E116/($G$127/1000000)</f>
        <v>8.9739182556297759E-2</v>
      </c>
    </row>
    <row r="117" spans="3:7" x14ac:dyDescent="0.25">
      <c r="C117" s="246" t="s">
        <v>247</v>
      </c>
      <c r="E117" s="264">
        <f>SUM(P59:P67)/1000000</f>
        <v>163.47257721650001</v>
      </c>
      <c r="F117" s="260"/>
      <c r="G117" s="265">
        <f>E117/($G$127/1000000)</f>
        <v>7.2314210379928509E-2</v>
      </c>
    </row>
    <row r="118" spans="3:7" x14ac:dyDescent="0.25">
      <c r="C118" s="246" t="s">
        <v>248</v>
      </c>
      <c r="E118" s="264">
        <f>SUM(P29:P39)/1000000</f>
        <v>152.3444897315</v>
      </c>
      <c r="F118" s="260"/>
      <c r="G118" s="265">
        <f>E118/($G$127/1000000)</f>
        <v>6.7391556848561074E-2</v>
      </c>
    </row>
    <row r="119" spans="3:7" x14ac:dyDescent="0.25">
      <c r="C119" s="246" t="s">
        <v>249</v>
      </c>
      <c r="E119" s="264">
        <f>SUM(P40:P50)/1000000</f>
        <v>149.30489274050001</v>
      </c>
      <c r="F119" s="260"/>
      <c r="G119" s="265">
        <f>E119/($G$127/1000000)</f>
        <v>6.6046951777667354E-2</v>
      </c>
    </row>
    <row r="120" spans="3:7" x14ac:dyDescent="0.25">
      <c r="C120" s="246" t="s">
        <v>250</v>
      </c>
      <c r="E120" s="264">
        <f>SUM(P5:P15)/1000000</f>
        <v>141.05459755300001</v>
      </c>
      <c r="F120" s="260"/>
      <c r="G120" s="265">
        <f>E120/($G$127/1000000)</f>
        <v>6.2397326916763356E-2</v>
      </c>
    </row>
    <row r="121" spans="3:7" x14ac:dyDescent="0.25">
      <c r="C121" s="246" t="s">
        <v>251</v>
      </c>
      <c r="E121" s="264">
        <f>SUM(P79:P84)/1000000</f>
        <v>140.97872993360002</v>
      </c>
      <c r="F121" s="260"/>
      <c r="G121" s="265">
        <f>E121/($G$127/1000000)</f>
        <v>6.2363765893356661E-2</v>
      </c>
    </row>
    <row r="122" spans="3:7" x14ac:dyDescent="0.25">
      <c r="C122" s="246" t="s">
        <v>253</v>
      </c>
      <c r="E122" s="264">
        <f>SUM(P51:P58)/1000000</f>
        <v>40.998978086100003</v>
      </c>
      <c r="F122" s="260"/>
      <c r="G122" s="265">
        <f>E122/($G$127/1000000)</f>
        <v>1.8136428611838531E-2</v>
      </c>
    </row>
    <row r="123" spans="3:7" x14ac:dyDescent="0.25">
      <c r="C123" s="246" t="s">
        <v>252</v>
      </c>
      <c r="E123" s="264">
        <f>SUM(P16:P22)/1000000</f>
        <v>38.525657108400004</v>
      </c>
      <c r="F123" s="260"/>
      <c r="G123" s="265">
        <f>E123/($G$127/1000000)</f>
        <v>1.7042323064816938E-2</v>
      </c>
    </row>
    <row r="124" spans="3:7" x14ac:dyDescent="0.25">
      <c r="C124" s="246" t="s">
        <v>254</v>
      </c>
      <c r="E124" s="264">
        <f>SUM(P23:P28)/1000000</f>
        <v>16.296159599500001</v>
      </c>
      <c r="F124" s="260"/>
      <c r="G124" s="265">
        <f>E124/($G$127/1000000)</f>
        <v>7.2088171222897263E-3</v>
      </c>
    </row>
    <row r="126" spans="3:7" x14ac:dyDescent="0.25">
      <c r="E126"/>
      <c r="F126" s="260"/>
      <c r="G126"/>
    </row>
    <row r="127" spans="3:7" x14ac:dyDescent="0.25">
      <c r="E127"/>
      <c r="F127" s="260"/>
      <c r="G127" s="253">
        <f>портфель!Y139</f>
        <v>2260587184.1459441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C9D-0ABC-46C0-8FF6-CA911F899A6C}">
  <dimension ref="B6:P49"/>
  <sheetViews>
    <sheetView topLeftCell="A4" zoomScale="80" zoomScaleNormal="80" workbookViewId="0">
      <selection activeCell="D37" sqref="D37:D48"/>
    </sheetView>
  </sheetViews>
  <sheetFormatPr defaultRowHeight="12.75" x14ac:dyDescent="0.2"/>
  <cols>
    <col min="2" max="2" width="12.85546875" bestFit="1" customWidth="1"/>
    <col min="3" max="3" width="52.28515625" bestFit="1" customWidth="1"/>
    <col min="4" max="4" width="25.85546875" bestFit="1" customWidth="1"/>
    <col min="5" max="5" width="12.140625" customWidth="1"/>
    <col min="6" max="6" width="9.85546875" bestFit="1" customWidth="1"/>
    <col min="7" max="7" width="19.42578125" customWidth="1"/>
    <col min="8" max="8" width="16.140625" customWidth="1"/>
    <col min="9" max="9" width="17.42578125" customWidth="1"/>
    <col min="10" max="10" width="18.85546875" customWidth="1"/>
    <col min="11" max="11" width="16.140625" customWidth="1"/>
    <col min="12" max="12" width="21.5703125" customWidth="1"/>
    <col min="13" max="13" width="14.5703125" customWidth="1"/>
    <col min="16" max="16" width="15.5703125" customWidth="1"/>
  </cols>
  <sheetData>
    <row r="6" spans="2:16" ht="38.25" x14ac:dyDescent="0.2">
      <c r="B6" s="276" t="s">
        <v>220</v>
      </c>
      <c r="C6" s="276" t="s">
        <v>221</v>
      </c>
      <c r="D6" s="276" t="s">
        <v>222</v>
      </c>
      <c r="E6" s="276" t="s">
        <v>223</v>
      </c>
      <c r="F6" s="276" t="s">
        <v>224</v>
      </c>
      <c r="G6" s="276" t="s">
        <v>226</v>
      </c>
      <c r="H6" s="276" t="s">
        <v>227</v>
      </c>
      <c r="I6" s="276" t="s">
        <v>228</v>
      </c>
      <c r="J6" s="276" t="s">
        <v>228</v>
      </c>
      <c r="K6" s="277" t="s">
        <v>268</v>
      </c>
      <c r="L6" s="276" t="s">
        <v>229</v>
      </c>
      <c r="M6" s="276" t="s">
        <v>230</v>
      </c>
      <c r="P6" s="276" t="s">
        <v>256</v>
      </c>
    </row>
    <row r="7" spans="2:16" s="246" customFormat="1" ht="14.25" x14ac:dyDescent="0.25">
      <c r="B7" s="246" t="str">
        <f>портфель!A95</f>
        <v>NTK182_2709</v>
      </c>
      <c r="C7" s="246" t="str">
        <f>портфель!B95</f>
        <v>ГУ "НАЦИОНАЛЬНЫЙ БАНК РЕСПУБЛИКИ КАЗАХСТАН"</v>
      </c>
      <c r="D7" s="250" t="str">
        <f>портфель!C95</f>
        <v>KZT</v>
      </c>
      <c r="E7" s="251">
        <f>портфель!F95</f>
        <v>602330</v>
      </c>
      <c r="F7" s="252">
        <f>портфель!G95</f>
        <v>44281</v>
      </c>
      <c r="G7" s="253">
        <f>портфель!M95</f>
        <v>95.724900004980597</v>
      </c>
      <c r="H7" s="253">
        <f>портфель!N95</f>
        <v>99.4375</v>
      </c>
      <c r="I7" s="253">
        <f>H7*E7</f>
        <v>59894189.375</v>
      </c>
      <c r="J7" s="253">
        <f>портфель!Y95</f>
        <v>59894189.375</v>
      </c>
      <c r="K7" s="253">
        <v>59410156.987000003</v>
      </c>
      <c r="L7" s="254">
        <f>K7/$K$26</f>
        <v>4.9333795075528222E-2</v>
      </c>
      <c r="M7" s="254">
        <f t="shared" ref="M7:M18" si="0">J7/K7-1</f>
        <v>8.1473002689744778E-3</v>
      </c>
      <c r="N7" s="250"/>
      <c r="O7" s="250"/>
      <c r="P7" s="278">
        <f>J7/1000000</f>
        <v>59.894189375000003</v>
      </c>
    </row>
    <row r="8" spans="2:16" ht="14.25" x14ac:dyDescent="0.25">
      <c r="B8" s="246" t="str">
        <f>портфель!A96</f>
        <v>NTK182_2715</v>
      </c>
      <c r="C8" s="246" t="str">
        <f>портфель!B96</f>
        <v>ГУ "Национальный Банк Республики Казахстан"</v>
      </c>
      <c r="D8" s="250" t="str">
        <f>портфель!C96</f>
        <v>KZT</v>
      </c>
      <c r="E8" s="251">
        <f>портфель!F96</f>
        <v>866820</v>
      </c>
      <c r="F8" s="252">
        <f>портфель!G96</f>
        <v>44309</v>
      </c>
      <c r="G8" s="253">
        <f>портфель!M96</f>
        <v>95.751300000000001</v>
      </c>
      <c r="H8" s="253">
        <f>портфель!N96</f>
        <v>98.800299999999993</v>
      </c>
      <c r="I8" s="253">
        <f t="shared" ref="I8:I23" si="1">H8*E8</f>
        <v>85642076.045999989</v>
      </c>
      <c r="J8" s="253">
        <f>портфель!Y96</f>
        <v>85642076.046000004</v>
      </c>
      <c r="K8" s="253">
        <v>84924002.357999995</v>
      </c>
      <c r="L8" s="254">
        <f t="shared" ref="L8:L23" si="2">K8/$K$26</f>
        <v>7.0520320796997923E-2</v>
      </c>
      <c r="M8" s="254">
        <f t="shared" ref="M8:M23" si="3">J8/K8-1</f>
        <v>8.4554857055951782E-3</v>
      </c>
      <c r="P8" s="278">
        <f t="shared" ref="P8:P19" si="4">J8/1000000</f>
        <v>85.642076046</v>
      </c>
    </row>
    <row r="9" spans="2:16" ht="14.25" x14ac:dyDescent="0.25">
      <c r="B9" s="246" t="str">
        <f>портфель!A97</f>
        <v>NTK091_2724</v>
      </c>
      <c r="C9" s="246" t="str">
        <f>портфель!B97</f>
        <v>ГУ "Национальный Банк Республики Казахстан"</v>
      </c>
      <c r="D9" s="250" t="str">
        <f>портфель!C97</f>
        <v>KZT</v>
      </c>
      <c r="E9" s="251">
        <f>портфель!F97</f>
        <v>807031</v>
      </c>
      <c r="F9" s="252">
        <f>портфель!G97</f>
        <v>44358</v>
      </c>
      <c r="G9" s="253">
        <f>портфель!M97</f>
        <v>97.889399999999995</v>
      </c>
      <c r="H9" s="253">
        <f>портфель!N97</f>
        <v>99.756900000000002</v>
      </c>
      <c r="I9" s="253">
        <f t="shared" si="1"/>
        <v>80506910.763899997</v>
      </c>
      <c r="J9" s="253">
        <f>портфель!Y97</f>
        <v>80506910.763899997</v>
      </c>
      <c r="K9" s="253">
        <v>79863787.760000005</v>
      </c>
      <c r="L9" s="254">
        <f t="shared" si="2"/>
        <v>6.6318352603738417E-2</v>
      </c>
      <c r="M9" s="254">
        <f t="shared" si="3"/>
        <v>8.0527485852868175E-3</v>
      </c>
      <c r="P9" s="278">
        <f t="shared" si="4"/>
        <v>80.506910763899995</v>
      </c>
    </row>
    <row r="10" spans="2:16" ht="14.25" x14ac:dyDescent="0.25">
      <c r="B10" s="246" t="str">
        <f>портфель!A98</f>
        <v>NTK182_2727</v>
      </c>
      <c r="C10" s="246" t="str">
        <f>портфель!B98</f>
        <v>ГУ "Национальный Банк Республики Казахстан"</v>
      </c>
      <c r="D10" s="250" t="str">
        <f>портфель!C98</f>
        <v>KZT</v>
      </c>
      <c r="E10" s="251">
        <f>портфель!F98</f>
        <v>1597890</v>
      </c>
      <c r="F10" s="252">
        <f>портфель!G98</f>
        <v>44372</v>
      </c>
      <c r="G10" s="253">
        <f>портфель!M98</f>
        <v>95.750699998122499</v>
      </c>
      <c r="H10" s="253">
        <f>портфель!N98</f>
        <v>97.270399999999995</v>
      </c>
      <c r="I10" s="253">
        <f t="shared" si="1"/>
        <v>155427399.456</v>
      </c>
      <c r="J10" s="253">
        <f>портфель!Y98</f>
        <v>155427399.456</v>
      </c>
      <c r="K10" s="253">
        <v>154117129.65599999</v>
      </c>
      <c r="L10" s="254">
        <f t="shared" si="2"/>
        <v>0.12797782866895013</v>
      </c>
      <c r="M10" s="254">
        <f t="shared" si="3"/>
        <v>8.5017791528081421E-3</v>
      </c>
      <c r="P10" s="278">
        <f t="shared" si="4"/>
        <v>155.42739945599999</v>
      </c>
    </row>
    <row r="11" spans="2:16" ht="14.25" x14ac:dyDescent="0.25">
      <c r="B11" s="246" t="str">
        <f>портфель!A100</f>
        <v>NTK091_2736</v>
      </c>
      <c r="C11" s="246" t="str">
        <f>портфель!B100</f>
        <v>ГУ "Национальный Банк Республики Казахстан"</v>
      </c>
      <c r="D11" s="250" t="str">
        <f>портфель!C100</f>
        <v>KZT</v>
      </c>
      <c r="E11" s="251">
        <f>портфель!F100</f>
        <v>1186300</v>
      </c>
      <c r="F11" s="252">
        <f>портфель!G100</f>
        <v>44414</v>
      </c>
      <c r="G11" s="253">
        <f>портфель!M100</f>
        <v>97.866299999999995</v>
      </c>
      <c r="H11" s="253">
        <f>портфель!N100</f>
        <v>98.470799999999997</v>
      </c>
      <c r="I11" s="253">
        <f t="shared" si="1"/>
        <v>116815910.03999999</v>
      </c>
      <c r="J11" s="253">
        <f>портфель!Y100</f>
        <v>116815910.04000001</v>
      </c>
      <c r="K11" s="253">
        <f>E11*G11</f>
        <v>116098791.69</v>
      </c>
      <c r="L11" s="254">
        <f t="shared" si="2"/>
        <v>9.6407656337353195E-2</v>
      </c>
      <c r="M11" s="254">
        <f t="shared" si="3"/>
        <v>6.176794259106666E-3</v>
      </c>
      <c r="P11" s="278">
        <f t="shared" si="4"/>
        <v>116.81591004000001</v>
      </c>
    </row>
    <row r="12" spans="2:16" ht="14.25" x14ac:dyDescent="0.25">
      <c r="B12" s="246" t="str">
        <f>портфель!A101</f>
        <v>NTK028_2737</v>
      </c>
      <c r="C12" s="246" t="str">
        <f>портфель!B101</f>
        <v>ГУ "Национальный Банк Республики Казахстан"</v>
      </c>
      <c r="D12" s="250" t="str">
        <f>портфель!C101</f>
        <v>KZT</v>
      </c>
      <c r="E12" s="251">
        <f>портфель!F101</f>
        <v>515180</v>
      </c>
      <c r="F12" s="252">
        <f>портфель!G101</f>
        <v>44419</v>
      </c>
      <c r="G12" s="253">
        <f>портфель!M101</f>
        <v>99.366500000000002</v>
      </c>
      <c r="H12" s="253">
        <f>портфель!N101</f>
        <v>99.804000000000002</v>
      </c>
      <c r="I12" s="253">
        <f t="shared" si="1"/>
        <v>51417024.719999999</v>
      </c>
      <c r="J12" s="253">
        <f>портфель!Y101</f>
        <v>51417024.719999999</v>
      </c>
      <c r="K12" s="253">
        <f t="shared" ref="K12:K14" si="5">E12*G12</f>
        <v>51191633.469999999</v>
      </c>
      <c r="L12" s="254">
        <f t="shared" si="2"/>
        <v>4.2509188382436877E-2</v>
      </c>
      <c r="M12" s="254">
        <f t="shared" si="3"/>
        <v>4.4028923228653927E-3</v>
      </c>
      <c r="P12" s="278">
        <f t="shared" si="4"/>
        <v>51.417024720000001</v>
      </c>
    </row>
    <row r="13" spans="2:16" ht="14.25" x14ac:dyDescent="0.25">
      <c r="B13" s="246" t="str">
        <f>портфель!A102</f>
        <v>NTK182_2739</v>
      </c>
      <c r="C13" s="246" t="str">
        <f>портфель!B102</f>
        <v>ГУ "Национальный Банк Республики Казахстан"</v>
      </c>
      <c r="D13" s="250" t="str">
        <f>портфель!C102</f>
        <v>KZT</v>
      </c>
      <c r="E13" s="251">
        <f>портфель!F102</f>
        <v>2456300</v>
      </c>
      <c r="F13" s="252">
        <f>портфель!G102</f>
        <v>44428</v>
      </c>
      <c r="G13" s="253">
        <f>портфель!M102</f>
        <v>95.674800000000005</v>
      </c>
      <c r="H13" s="253">
        <f>портфель!N102</f>
        <v>95.867000000000004</v>
      </c>
      <c r="I13" s="253">
        <f t="shared" si="1"/>
        <v>235478112.10000002</v>
      </c>
      <c r="J13" s="253">
        <f>портфель!Y102</f>
        <v>235478112.09999999</v>
      </c>
      <c r="K13" s="253">
        <f t="shared" si="5"/>
        <v>235006011.24000001</v>
      </c>
      <c r="L13" s="254">
        <f t="shared" si="2"/>
        <v>0.19514741229464111</v>
      </c>
      <c r="M13" s="254">
        <f t="shared" si="3"/>
        <v>2.0088884429336762E-3</v>
      </c>
      <c r="P13" s="278">
        <f t="shared" si="4"/>
        <v>235.4781121</v>
      </c>
    </row>
    <row r="14" spans="2:16" ht="14.25" x14ac:dyDescent="0.25">
      <c r="B14" s="246" t="str">
        <f>портфель!A103</f>
        <v>NTK028_2740</v>
      </c>
      <c r="C14" s="246" t="str">
        <f>портфель!B103</f>
        <v>ГУ "Национальный Банк Республики Казахстан"</v>
      </c>
      <c r="D14" s="250" t="str">
        <f>портфель!C103</f>
        <v>KZT</v>
      </c>
      <c r="E14" s="251">
        <f>портфель!F103</f>
        <v>506190</v>
      </c>
      <c r="F14" s="252">
        <f>портфель!G103</f>
        <v>44433</v>
      </c>
      <c r="G14" s="253">
        <f>портфель!M103</f>
        <v>99.369100000000003</v>
      </c>
      <c r="H14" s="253">
        <f>портфель!N103</f>
        <v>99.482600000000005</v>
      </c>
      <c r="I14" s="253">
        <f t="shared" si="1"/>
        <v>50357097.294</v>
      </c>
      <c r="J14" s="253">
        <f>портфель!Y103</f>
        <v>50357097.294</v>
      </c>
      <c r="K14" s="253">
        <f t="shared" si="5"/>
        <v>50299644.729000002</v>
      </c>
      <c r="L14" s="254">
        <f t="shared" si="2"/>
        <v>4.176848692682885E-2</v>
      </c>
      <c r="M14" s="254">
        <f t="shared" si="3"/>
        <v>1.1422061787818016E-3</v>
      </c>
      <c r="P14" s="278">
        <f t="shared" si="4"/>
        <v>50.357097293999999</v>
      </c>
    </row>
    <row r="15" spans="2:16" ht="14.25" x14ac:dyDescent="0.25">
      <c r="B15" s="246" t="str">
        <f>портфель!A105</f>
        <v>MUM132_0004</v>
      </c>
      <c r="C15" s="246" t="str">
        <f>портфель!B105</f>
        <v>МИНИСТЕРСТВО ФИНАНСОВ РК</v>
      </c>
      <c r="D15" s="250" t="str">
        <f>портфель!C105</f>
        <v>KZT</v>
      </c>
      <c r="E15" s="251">
        <f>портфель!F105</f>
        <v>27770</v>
      </c>
      <c r="F15" s="252">
        <f>портфель!G105</f>
        <v>44293</v>
      </c>
      <c r="G15" s="253">
        <f>портфель!M105</f>
        <v>95.440399999999997</v>
      </c>
      <c r="H15" s="253">
        <f>портфель!N105</f>
        <v>96.598399999999998</v>
      </c>
      <c r="I15" s="253">
        <f t="shared" si="1"/>
        <v>2682537.568</v>
      </c>
      <c r="J15" s="253">
        <f>портфель!Y105</f>
        <v>27133414.404999997</v>
      </c>
      <c r="K15" s="253">
        <v>26927879.37833333</v>
      </c>
      <c r="L15" s="254">
        <f t="shared" si="2"/>
        <v>2.2360730057655431E-2</v>
      </c>
      <c r="M15" s="254">
        <f t="shared" si="3"/>
        <v>7.6327966186615637E-3</v>
      </c>
      <c r="P15" s="278">
        <f t="shared" si="4"/>
        <v>27.133414404999996</v>
      </c>
    </row>
    <row r="16" spans="2:16" ht="14.25" x14ac:dyDescent="0.25">
      <c r="B16" s="246" t="str">
        <f>портфель!A106</f>
        <v>MUM120_0011</v>
      </c>
      <c r="C16" s="246" t="str">
        <f>портфель!B106</f>
        <v>МИНИСТЕРСТВО ФИНАНСОВ РК</v>
      </c>
      <c r="D16" s="250" t="str">
        <f>портфель!C106</f>
        <v>KZT</v>
      </c>
      <c r="E16" s="251">
        <f>портфель!F106</f>
        <v>106210</v>
      </c>
      <c r="F16" s="252">
        <f>портфель!G106</f>
        <v>44295</v>
      </c>
      <c r="G16" s="253">
        <f>портфель!M106</f>
        <v>96.642700000000005</v>
      </c>
      <c r="H16" s="253">
        <f>портфель!N106</f>
        <v>97.814300000000003</v>
      </c>
      <c r="I16" s="253">
        <f t="shared" si="1"/>
        <v>10388856.803000001</v>
      </c>
      <c r="J16" s="253">
        <f>портфель!Y106</f>
        <v>106406040.05777778</v>
      </c>
      <c r="K16" s="253">
        <v>105601959.55111112</v>
      </c>
      <c r="L16" s="254">
        <f t="shared" si="2"/>
        <v>8.7691157476805212E-2</v>
      </c>
      <c r="M16" s="254">
        <f t="shared" si="3"/>
        <v>7.6142574445077216E-3</v>
      </c>
      <c r="P16" s="278">
        <f t="shared" si="4"/>
        <v>106.40604005777777</v>
      </c>
    </row>
    <row r="17" spans="2:16" ht="14.25" x14ac:dyDescent="0.25">
      <c r="B17" s="246" t="str">
        <f>портфель!A107</f>
        <v>MUM084_0017</v>
      </c>
      <c r="C17" s="246" t="str">
        <f>портфель!B107</f>
        <v>МИНИСТЕРСТВО ФИНАНСОВ РК</v>
      </c>
      <c r="D17" s="250" t="str">
        <f>портфель!C107</f>
        <v>KZT</v>
      </c>
      <c r="E17" s="251">
        <f>портфель!F107</f>
        <v>98080</v>
      </c>
      <c r="F17" s="252">
        <f>портфель!G107</f>
        <v>44309</v>
      </c>
      <c r="G17" s="253">
        <f>портфель!M107</f>
        <v>99.760099999999994</v>
      </c>
      <c r="H17" s="253">
        <f>портфель!N107</f>
        <v>99.029899999999998</v>
      </c>
      <c r="I17" s="253">
        <f t="shared" si="1"/>
        <v>9712852.5920000002</v>
      </c>
      <c r="J17" s="253">
        <f>портфель!Y107</f>
        <v>102563792.58666666</v>
      </c>
      <c r="K17" s="253">
        <v>101578807.83999999</v>
      </c>
      <c r="L17" s="254">
        <f t="shared" si="2"/>
        <v>8.4350359334878944E-2</v>
      </c>
      <c r="M17" s="254">
        <f t="shared" si="3"/>
        <v>9.696754348782477E-3</v>
      </c>
      <c r="P17" s="278">
        <f t="shared" si="4"/>
        <v>102.56379258666666</v>
      </c>
    </row>
    <row r="18" spans="2:16" ht="14.25" x14ac:dyDescent="0.25">
      <c r="B18" s="246" t="str">
        <f>портфель!A108</f>
        <v>MUM180_0003</v>
      </c>
      <c r="C18" s="246" t="str">
        <f>портфель!B108</f>
        <v>МИНИСТЕРСТВО ФИНАНСОВ РК</v>
      </c>
      <c r="D18" s="250" t="str">
        <f>портфель!C108</f>
        <v>KZT</v>
      </c>
      <c r="E18" s="251">
        <f>портфель!F108</f>
        <v>100000</v>
      </c>
      <c r="F18" s="252">
        <f>портфель!G108</f>
        <v>44309</v>
      </c>
      <c r="G18" s="253">
        <f>портфель!M108</f>
        <v>84.131900000000002</v>
      </c>
      <c r="H18" s="253">
        <f>портфель!N108</f>
        <v>85.398099999999999</v>
      </c>
      <c r="I18" s="253">
        <f t="shared" si="1"/>
        <v>8539810</v>
      </c>
      <c r="J18" s="253">
        <f>портфель!Y108</f>
        <v>89691433.333333328</v>
      </c>
      <c r="K18" s="253">
        <v>88518466.666666672</v>
      </c>
      <c r="L18" s="254">
        <f t="shared" si="2"/>
        <v>7.3505139801076036E-2</v>
      </c>
      <c r="M18" s="254">
        <f t="shared" si="3"/>
        <v>1.325109562825677E-2</v>
      </c>
      <c r="P18" s="278">
        <f t="shared" si="4"/>
        <v>89.691433333333322</v>
      </c>
    </row>
    <row r="19" spans="2:16" ht="14.25" x14ac:dyDescent="0.25">
      <c r="B19" s="246" t="str">
        <f>портфель!A109</f>
        <v>MUM072_0013</v>
      </c>
      <c r="C19" s="246" t="str">
        <f>портфель!B109</f>
        <v>МИНИСТЕРСТВО ФИНАНСОВ РК</v>
      </c>
      <c r="D19" s="250" t="str">
        <f>портфель!C109</f>
        <v>KZT</v>
      </c>
      <c r="E19" s="251">
        <f>портфель!F109</f>
        <v>49200</v>
      </c>
      <c r="F19" s="252">
        <f>портфель!G109</f>
        <v>44391</v>
      </c>
      <c r="G19" s="253">
        <f>портфель!M109</f>
        <v>99.95</v>
      </c>
      <c r="H19" s="253">
        <f>портфель!N109</f>
        <v>101.64400000000001</v>
      </c>
      <c r="I19" s="253">
        <f t="shared" si="1"/>
        <v>5000884.8</v>
      </c>
      <c r="J19" s="253">
        <f>портфель!Y109</f>
        <v>51444394.666666672</v>
      </c>
      <c r="K19" s="253">
        <v>50710396.266666673</v>
      </c>
      <c r="L19" s="254">
        <f t="shared" si="2"/>
        <v>4.2109572243109697E-2</v>
      </c>
      <c r="M19" s="254">
        <f t="shared" si="3"/>
        <v>1.4474317971016726E-2</v>
      </c>
      <c r="P19" s="278">
        <f t="shared" si="4"/>
        <v>51.444394666666675</v>
      </c>
    </row>
    <row r="20" spans="2:16" ht="14.25" x14ac:dyDescent="0.25">
      <c r="B20" s="246"/>
      <c r="C20" s="246"/>
      <c r="D20" s="250"/>
      <c r="E20" s="250"/>
      <c r="F20" s="252"/>
      <c r="G20" s="253"/>
      <c r="H20" s="253"/>
      <c r="I20" s="253"/>
      <c r="J20" s="253"/>
      <c r="K20" s="253"/>
      <c r="L20" s="254"/>
      <c r="M20" s="254"/>
    </row>
    <row r="21" spans="2:16" ht="14.25" x14ac:dyDescent="0.25">
      <c r="B21" s="246"/>
      <c r="C21" s="246"/>
      <c r="D21" s="250"/>
      <c r="E21" s="250"/>
      <c r="F21" s="252"/>
      <c r="G21" s="253"/>
      <c r="H21" s="253"/>
      <c r="I21" s="253"/>
      <c r="J21" s="253"/>
      <c r="K21" s="253"/>
      <c r="L21" s="254"/>
      <c r="M21" s="254"/>
    </row>
    <row r="22" spans="2:16" ht="14.25" x14ac:dyDescent="0.25">
      <c r="B22" s="246"/>
      <c r="C22" s="246"/>
      <c r="D22" s="250"/>
      <c r="E22" s="250"/>
      <c r="F22" s="252"/>
      <c r="G22" s="253"/>
      <c r="H22" s="253"/>
      <c r="I22" s="253"/>
      <c r="J22" s="253"/>
      <c r="K22" s="253"/>
      <c r="L22" s="254"/>
      <c r="M22" s="254"/>
    </row>
    <row r="23" spans="2:16" ht="14.25" x14ac:dyDescent="0.25">
      <c r="B23" s="246"/>
      <c r="C23" s="246"/>
      <c r="D23" s="250"/>
      <c r="E23" s="250"/>
      <c r="F23" s="252"/>
      <c r="G23" s="253"/>
      <c r="H23" s="253"/>
      <c r="I23" s="253"/>
      <c r="J23" s="253"/>
      <c r="K23" s="253"/>
      <c r="L23" s="254"/>
      <c r="M23" s="254"/>
    </row>
    <row r="24" spans="2:16" ht="14.25" x14ac:dyDescent="0.25">
      <c r="B24" s="246"/>
      <c r="C24" s="246"/>
      <c r="D24" s="250"/>
      <c r="E24" s="251"/>
      <c r="F24" s="252"/>
      <c r="G24" s="253"/>
      <c r="H24" s="253"/>
      <c r="I24" s="253"/>
      <c r="J24" s="253"/>
      <c r="K24" s="253"/>
    </row>
    <row r="25" spans="2:16" ht="14.25" x14ac:dyDescent="0.25">
      <c r="B25" s="246"/>
      <c r="C25" s="246"/>
      <c r="D25" s="250"/>
      <c r="E25" s="251"/>
      <c r="F25" s="252"/>
      <c r="G25" s="253"/>
      <c r="H25" s="253"/>
      <c r="I25" s="253"/>
      <c r="J25" s="253"/>
      <c r="K25" s="253"/>
    </row>
    <row r="26" spans="2:16" ht="14.25" x14ac:dyDescent="0.2">
      <c r="J26" s="253">
        <f>SUM(J7:J19)</f>
        <v>1212777794.8443446</v>
      </c>
      <c r="K26" s="253">
        <f>SUM(K7:K19)</f>
        <v>1204248667.5927777</v>
      </c>
      <c r="L26" s="254">
        <f>SUMPRODUCT(L7:L19,M7:M19)</f>
        <v>7.0825299467557976E-3</v>
      </c>
    </row>
    <row r="27" spans="2:16" ht="14.25" x14ac:dyDescent="0.2">
      <c r="K27" s="253"/>
    </row>
    <row r="29" spans="2:16" ht="25.5" x14ac:dyDescent="0.2">
      <c r="E29" s="276" t="s">
        <v>229</v>
      </c>
      <c r="F29" s="276" t="s">
        <v>230</v>
      </c>
    </row>
    <row r="30" spans="2:16" x14ac:dyDescent="0.2">
      <c r="C30" t="s">
        <v>257</v>
      </c>
      <c r="E30" s="265">
        <f>SUM(J7:J14)/J26</f>
        <v>0.68894625490907691</v>
      </c>
      <c r="F30" s="265">
        <f>SUM(J7:J14)/SUM(K7:K14)-1</f>
        <v>5.5692619613523231E-3</v>
      </c>
      <c r="H30" s="265">
        <f>SUM(J7:J14)/H32</f>
        <v>0.36961136719465604</v>
      </c>
    </row>
    <row r="31" spans="2:16" x14ac:dyDescent="0.2">
      <c r="C31" t="s">
        <v>258</v>
      </c>
      <c r="E31" s="265">
        <f>SUM(J15:J19)/J26</f>
        <v>0.31105374509092298</v>
      </c>
      <c r="F31" s="265">
        <f>SUM(J15:J19)/SUM(K15:K19)-1</f>
        <v>1.0450504557586004E-2</v>
      </c>
      <c r="H31" s="265">
        <f>SUM(J15:J19)/H32</f>
        <v>0.16687658750572204</v>
      </c>
    </row>
    <row r="32" spans="2:16" x14ac:dyDescent="0.2">
      <c r="H32">
        <f>портфель!Y139</f>
        <v>2260587184.1459441</v>
      </c>
    </row>
    <row r="36" spans="2:7" x14ac:dyDescent="0.2">
      <c r="B36" s="276" t="s">
        <v>220</v>
      </c>
      <c r="C36" s="276" t="s">
        <v>221</v>
      </c>
      <c r="D36" s="276" t="s">
        <v>256</v>
      </c>
    </row>
    <row r="37" spans="2:7" x14ac:dyDescent="0.2">
      <c r="B37" s="261" t="s">
        <v>269</v>
      </c>
      <c r="C37" s="261" t="str">
        <f>INDEX($C$7:$C$19,MATCH(D37,$P$7:$P$19,0))</f>
        <v>ГУ "Национальный Банк Республики Казахстан"</v>
      </c>
      <c r="D37" s="279">
        <v>235.4781121</v>
      </c>
      <c r="G37" s="261" t="str">
        <f>INDEX($B$7:$B$19,MATCH(D37,$P$7:$P$19,0))</f>
        <v>NTK182_2739</v>
      </c>
    </row>
    <row r="38" spans="2:7" x14ac:dyDescent="0.2">
      <c r="B38" s="261" t="s">
        <v>259</v>
      </c>
      <c r="C38" s="261" t="str">
        <f t="shared" ref="C38:C49" si="6">INDEX($C$7:$C$19,MATCH(D38,$P$7:$P$19,0))</f>
        <v>ГУ "Национальный Банк Республики Казахстан"</v>
      </c>
      <c r="D38" s="279">
        <v>155.42739945599999</v>
      </c>
      <c r="G38" s="261" t="str">
        <f t="shared" ref="G38:G49" si="7">INDEX($B$7:$B$19,MATCH(D38,$P$7:$P$19,0))</f>
        <v>NTK182_2727</v>
      </c>
    </row>
    <row r="39" spans="2:7" x14ac:dyDescent="0.2">
      <c r="B39" s="261" t="s">
        <v>270</v>
      </c>
      <c r="C39" s="261" t="str">
        <f t="shared" si="6"/>
        <v>ГУ "Национальный Банк Республики Казахстан"</v>
      </c>
      <c r="D39" s="279">
        <v>116.81591004000001</v>
      </c>
      <c r="G39" s="261" t="str">
        <f t="shared" si="7"/>
        <v>NTK091_2736</v>
      </c>
    </row>
    <row r="40" spans="2:7" x14ac:dyDescent="0.2">
      <c r="B40" s="261" t="s">
        <v>260</v>
      </c>
      <c r="C40" s="261" t="str">
        <f t="shared" si="6"/>
        <v>МИНИСТЕРСТВО ФИНАНСОВ РК</v>
      </c>
      <c r="D40" s="279">
        <v>106.40604005777777</v>
      </c>
      <c r="G40" s="261" t="str">
        <f t="shared" si="7"/>
        <v>MUM120_0011</v>
      </c>
    </row>
    <row r="41" spans="2:7" x14ac:dyDescent="0.2">
      <c r="B41" s="261" t="s">
        <v>261</v>
      </c>
      <c r="C41" s="261" t="str">
        <f t="shared" si="6"/>
        <v>МИНИСТЕРСТВО ФИНАНСОВ РК</v>
      </c>
      <c r="D41" s="279">
        <v>102.56379258666666</v>
      </c>
      <c r="G41" s="261" t="str">
        <f t="shared" si="7"/>
        <v>MUM084_0017</v>
      </c>
    </row>
    <row r="42" spans="2:7" x14ac:dyDescent="0.2">
      <c r="B42" s="261" t="s">
        <v>262</v>
      </c>
      <c r="C42" s="261" t="str">
        <f t="shared" si="6"/>
        <v>МИНИСТЕРСТВО ФИНАНСОВ РК</v>
      </c>
      <c r="D42" s="279">
        <v>89.691433333333322</v>
      </c>
      <c r="G42" s="261" t="str">
        <f t="shared" si="7"/>
        <v>MUM180_0003</v>
      </c>
    </row>
    <row r="43" spans="2:7" x14ac:dyDescent="0.2">
      <c r="B43" s="261" t="s">
        <v>263</v>
      </c>
      <c r="C43" s="261" t="str">
        <f t="shared" si="6"/>
        <v>ГУ "Национальный Банк Республики Казахстан"</v>
      </c>
      <c r="D43" s="279">
        <v>85.642076046</v>
      </c>
      <c r="G43" s="261" t="str">
        <f t="shared" si="7"/>
        <v>NTK182_2715</v>
      </c>
    </row>
    <row r="44" spans="2:7" x14ac:dyDescent="0.2">
      <c r="B44" s="261" t="s">
        <v>264</v>
      </c>
      <c r="C44" s="261" t="str">
        <f t="shared" si="6"/>
        <v>ГУ "Национальный Банк Республики Казахстан"</v>
      </c>
      <c r="D44" s="279">
        <v>80.506910763899995</v>
      </c>
      <c r="G44" s="261" t="str">
        <f t="shared" si="7"/>
        <v>NTK091_2724</v>
      </c>
    </row>
    <row r="45" spans="2:7" x14ac:dyDescent="0.2">
      <c r="B45" s="261" t="s">
        <v>265</v>
      </c>
      <c r="C45" s="261" t="str">
        <f t="shared" si="6"/>
        <v>ГУ "НАЦИОНАЛЬНЫЙ БАНК РЕСПУБЛИКИ КАЗАХСТАН"</v>
      </c>
      <c r="D45" s="279">
        <v>59.894189375000003</v>
      </c>
      <c r="G45" s="261" t="str">
        <f t="shared" si="7"/>
        <v>NTK182_2709</v>
      </c>
    </row>
    <row r="46" spans="2:7" x14ac:dyDescent="0.2">
      <c r="B46" s="261" t="s">
        <v>266</v>
      </c>
      <c r="C46" s="261" t="str">
        <f t="shared" si="6"/>
        <v>МИНИСТЕРСТВО ФИНАНСОВ РК</v>
      </c>
      <c r="D46" s="279">
        <v>51.444394666666675</v>
      </c>
      <c r="G46" s="261" t="str">
        <f t="shared" si="7"/>
        <v>MUM072_0013</v>
      </c>
    </row>
    <row r="47" spans="2:7" x14ac:dyDescent="0.2">
      <c r="B47" s="261" t="s">
        <v>271</v>
      </c>
      <c r="C47" s="261" t="str">
        <f t="shared" si="6"/>
        <v>ГУ "Национальный Банк Республики Казахстан"</v>
      </c>
      <c r="D47" s="279">
        <v>51.417024720000001</v>
      </c>
      <c r="G47" s="261" t="str">
        <f t="shared" si="7"/>
        <v>NTK028_2737</v>
      </c>
    </row>
    <row r="48" spans="2:7" x14ac:dyDescent="0.2">
      <c r="B48" s="261" t="s">
        <v>272</v>
      </c>
      <c r="C48" s="261" t="str">
        <f t="shared" si="6"/>
        <v>ГУ "Национальный Банк Республики Казахстан"</v>
      </c>
      <c r="D48" s="279">
        <v>50.357097293999999</v>
      </c>
      <c r="G48" s="261" t="str">
        <f t="shared" si="7"/>
        <v>NTK028_2740</v>
      </c>
    </row>
    <row r="49" spans="2:7" x14ac:dyDescent="0.2">
      <c r="B49" s="261" t="s">
        <v>267</v>
      </c>
      <c r="C49" s="261" t="str">
        <f t="shared" si="6"/>
        <v>МИНИСТЕРСТВО ФИНАНСОВ РК</v>
      </c>
      <c r="D49" s="279">
        <v>27.133414404999996</v>
      </c>
      <c r="G49" s="261" t="str">
        <f t="shared" si="7"/>
        <v>MUM132_0004</v>
      </c>
    </row>
  </sheetData>
  <autoFilter ref="D36:D48" xr:uid="{C344B8C1-5BB4-4697-97DF-8D5FDBE5B1AF}">
    <sortState xmlns:xlrd2="http://schemas.microsoft.com/office/spreadsheetml/2017/richdata2" ref="B37:D49">
      <sortCondition descending="1" ref="D36:D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B478-3B3C-4997-8A4D-22BFFD3B57EF}">
  <dimension ref="A2:AJ87"/>
  <sheetViews>
    <sheetView topLeftCell="A49" zoomScaleNormal="100" workbookViewId="0">
      <pane xSplit="3" topLeftCell="AA1" activePane="topRight" state="frozen"/>
      <selection pane="topRight" activeCell="A70" sqref="A70"/>
    </sheetView>
  </sheetViews>
  <sheetFormatPr defaultRowHeight="12.75" outlineLevelRow="1" outlineLevelCol="1" x14ac:dyDescent="0.2"/>
  <cols>
    <col min="1" max="1" width="16.28515625" bestFit="1" customWidth="1"/>
    <col min="2" max="2" width="34.85546875" customWidth="1"/>
    <col min="3" max="3" width="23.42578125" customWidth="1"/>
    <col min="4" max="33" width="19.140625" customWidth="1" outlineLevel="1"/>
    <col min="34" max="34" width="18.7109375" customWidth="1" outlineLevel="1"/>
    <col min="35" max="35" width="16.140625" customWidth="1"/>
  </cols>
  <sheetData>
    <row r="2" spans="1:36" x14ac:dyDescent="0.2">
      <c r="B2" t="s">
        <v>104</v>
      </c>
    </row>
    <row r="5" spans="1:36" x14ac:dyDescent="0.2">
      <c r="B5" s="119" t="s">
        <v>99</v>
      </c>
      <c r="C5" s="120" t="s">
        <v>97</v>
      </c>
      <c r="D5" s="118">
        <v>44256</v>
      </c>
      <c r="E5" s="118">
        <v>44257</v>
      </c>
      <c r="F5" s="118">
        <v>44258</v>
      </c>
      <c r="G5" s="118">
        <v>44259</v>
      </c>
      <c r="H5" s="118">
        <v>44260</v>
      </c>
      <c r="I5" s="118">
        <v>44261</v>
      </c>
      <c r="J5" s="118">
        <v>44262</v>
      </c>
      <c r="K5" s="118">
        <v>44263</v>
      </c>
      <c r="L5" s="118">
        <v>44264</v>
      </c>
      <c r="M5" s="118">
        <v>44265</v>
      </c>
      <c r="N5" s="118">
        <v>44266</v>
      </c>
      <c r="O5" s="118">
        <v>44267</v>
      </c>
      <c r="P5" s="118">
        <v>44268</v>
      </c>
      <c r="Q5" s="118">
        <v>44269</v>
      </c>
      <c r="R5" s="118">
        <v>44270</v>
      </c>
      <c r="S5" s="118">
        <v>44271</v>
      </c>
      <c r="T5" s="118">
        <v>44272</v>
      </c>
      <c r="U5" s="118">
        <v>44273</v>
      </c>
      <c r="V5" s="118">
        <v>44274</v>
      </c>
      <c r="W5" s="118">
        <v>44275</v>
      </c>
      <c r="X5" s="118">
        <v>44276</v>
      </c>
      <c r="Y5" s="118">
        <v>44277</v>
      </c>
      <c r="Z5" s="118">
        <v>44278</v>
      </c>
      <c r="AA5" s="118">
        <v>44279</v>
      </c>
      <c r="AB5" s="118">
        <v>44280</v>
      </c>
      <c r="AC5" s="118">
        <v>44281</v>
      </c>
      <c r="AD5" s="118">
        <v>44282</v>
      </c>
      <c r="AE5" s="118">
        <v>44283</v>
      </c>
      <c r="AF5" s="118">
        <v>44284</v>
      </c>
      <c r="AG5" s="118">
        <v>44285</v>
      </c>
      <c r="AH5" s="118">
        <v>44286</v>
      </c>
    </row>
    <row r="6" spans="1:36" ht="13.5" customHeight="1" x14ac:dyDescent="0.2">
      <c r="B6" s="122" t="s">
        <v>103</v>
      </c>
      <c r="C6" s="133">
        <f t="shared" ref="C6:C7" si="0">SUM(D6:AH6)</f>
        <v>657787946.16000009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>
        <v>188953863</v>
      </c>
      <c r="S6" s="169"/>
      <c r="T6" s="169"/>
      <c r="U6" s="169"/>
      <c r="V6" s="169"/>
      <c r="W6" s="169"/>
      <c r="X6" s="169"/>
      <c r="Y6" s="169"/>
      <c r="Z6" s="169"/>
      <c r="AA6" s="169"/>
      <c r="AB6" s="169">
        <v>468834083.16000003</v>
      </c>
      <c r="AC6" s="169"/>
      <c r="AD6" s="169"/>
      <c r="AE6" s="169"/>
      <c r="AF6" s="169"/>
      <c r="AG6" s="169"/>
      <c r="AH6" s="169"/>
    </row>
    <row r="7" spans="1:36" x14ac:dyDescent="0.2">
      <c r="A7" s="159"/>
      <c r="B7" s="122" t="s">
        <v>100</v>
      </c>
      <c r="C7" s="133">
        <f t="shared" si="0"/>
        <v>6184007.3599998746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>
        <v>322396.32319999998</v>
      </c>
      <c r="AC7" s="169">
        <v>-33875.663200124996</v>
      </c>
      <c r="AD7" s="169"/>
      <c r="AE7" s="169"/>
      <c r="AF7" s="169">
        <v>5127301.79</v>
      </c>
      <c r="AG7" s="169">
        <v>427457.73</v>
      </c>
      <c r="AH7" s="169">
        <v>340727.18</v>
      </c>
    </row>
    <row r="8" spans="1:36" x14ac:dyDescent="0.2">
      <c r="A8" s="159"/>
      <c r="B8" s="122" t="s">
        <v>102</v>
      </c>
      <c r="C8" s="133">
        <f>SUM(D8:AH8)</f>
        <v>309200.37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169">
        <v>0</v>
      </c>
      <c r="N8" s="169">
        <v>0</v>
      </c>
      <c r="O8" s="169">
        <v>0</v>
      </c>
      <c r="P8" s="169">
        <v>0</v>
      </c>
      <c r="Q8" s="169">
        <v>0</v>
      </c>
      <c r="R8" s="169">
        <v>0</v>
      </c>
      <c r="S8" s="169">
        <v>0</v>
      </c>
      <c r="T8" s="169">
        <v>0</v>
      </c>
      <c r="U8" s="169">
        <v>0</v>
      </c>
      <c r="V8" s="169">
        <v>0</v>
      </c>
      <c r="W8" s="169"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16119.82</v>
      </c>
      <c r="AC8" s="169">
        <v>-1693.78</v>
      </c>
      <c r="AD8" s="169">
        <v>0</v>
      </c>
      <c r="AE8" s="169">
        <v>0</v>
      </c>
      <c r="AF8" s="169">
        <v>256365.09</v>
      </c>
      <c r="AG8" s="169">
        <v>21372.880000000001</v>
      </c>
      <c r="AH8" s="169">
        <v>17036.36</v>
      </c>
    </row>
    <row r="9" spans="1:36" outlineLevel="1" x14ac:dyDescent="0.2">
      <c r="B9" s="124" t="s">
        <v>94</v>
      </c>
      <c r="C9" s="134">
        <f>SUM(D9:AI9)</f>
        <v>24460.11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37">
        <v>500</v>
      </c>
      <c r="S9" s="117"/>
      <c r="T9" s="117"/>
      <c r="U9" s="117"/>
      <c r="V9" s="117"/>
      <c r="W9" s="117"/>
      <c r="X9" s="117"/>
      <c r="Y9" s="117"/>
      <c r="Z9" s="117"/>
      <c r="AA9" s="117"/>
      <c r="AB9" s="137">
        <f>18000+500+500</f>
        <v>19000</v>
      </c>
      <c r="AC9" s="137">
        <v>500</v>
      </c>
      <c r="AD9" s="165"/>
      <c r="AE9" s="165"/>
      <c r="AF9" s="165"/>
      <c r="AG9" s="165"/>
      <c r="AH9" s="165"/>
      <c r="AI9" s="214">
        <v>4460.1099999999997</v>
      </c>
      <c r="AJ9" s="213" t="s">
        <v>207</v>
      </c>
    </row>
    <row r="10" spans="1:36" outlineLevel="1" x14ac:dyDescent="0.2">
      <c r="B10" s="124" t="s">
        <v>95</v>
      </c>
      <c r="C10" s="134">
        <f t="shared" ref="C10:C12" si="1">SUM(D10:AH10)</f>
        <v>28770.02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37">
        <v>18870.21</v>
      </c>
      <c r="S10" s="117"/>
      <c r="T10" s="117"/>
      <c r="U10" s="117"/>
      <c r="V10" s="117"/>
      <c r="W10" s="117"/>
      <c r="X10" s="117"/>
      <c r="Y10" s="117"/>
      <c r="Z10" s="117"/>
      <c r="AA10" s="117"/>
      <c r="AB10" s="137">
        <f>4103.99+30.02</f>
        <v>4134.01</v>
      </c>
      <c r="AC10" s="137">
        <v>5765.8</v>
      </c>
      <c r="AD10" s="165"/>
      <c r="AE10" s="165"/>
      <c r="AF10" s="165"/>
      <c r="AG10" s="165"/>
      <c r="AH10" s="165"/>
      <c r="AI10" s="214"/>
    </row>
    <row r="11" spans="1:36" outlineLevel="1" x14ac:dyDescent="0.2">
      <c r="B11" s="124" t="s">
        <v>96</v>
      </c>
      <c r="C11" s="134">
        <f t="shared" si="1"/>
        <v>19978.04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37">
        <v>9435.11</v>
      </c>
      <c r="S11" s="117"/>
      <c r="T11" s="117"/>
      <c r="U11" s="117"/>
      <c r="V11" s="117"/>
      <c r="W11" s="117"/>
      <c r="X11" s="117"/>
      <c r="Y11" s="117"/>
      <c r="Z11" s="117"/>
      <c r="AA11" s="117"/>
      <c r="AB11" s="137">
        <f>7599.99+60.04</f>
        <v>7660.03</v>
      </c>
      <c r="AC11" s="137">
        <v>2882.9</v>
      </c>
      <c r="AD11" s="165"/>
      <c r="AE11" s="165"/>
      <c r="AF11" s="165"/>
      <c r="AG11" s="165"/>
      <c r="AH11" s="165"/>
      <c r="AI11" s="214"/>
    </row>
    <row r="12" spans="1:36" outlineLevel="1" x14ac:dyDescent="0.2">
      <c r="B12" s="124" t="s">
        <v>98</v>
      </c>
      <c r="C12" s="134">
        <f t="shared" si="1"/>
        <v>9200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>
        <v>7700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37">
        <v>1500</v>
      </c>
      <c r="AC12" s="117"/>
      <c r="AD12" s="165"/>
      <c r="AE12" s="165"/>
      <c r="AF12" s="165"/>
      <c r="AG12" s="165"/>
      <c r="AH12" s="165"/>
      <c r="AI12" s="214"/>
    </row>
    <row r="13" spans="1:36" x14ac:dyDescent="0.2">
      <c r="B13" s="123" t="s">
        <v>105</v>
      </c>
      <c r="C13" s="135">
        <f>SUM(C9:C12)</f>
        <v>82408.170000000013</v>
      </c>
      <c r="AI13" s="214"/>
    </row>
    <row r="14" spans="1:36" x14ac:dyDescent="0.2">
      <c r="B14" s="121" t="s">
        <v>101</v>
      </c>
      <c r="C14" s="136">
        <f>C8-C13</f>
        <v>226792.19999999998</v>
      </c>
      <c r="AI14" s="214"/>
    </row>
    <row r="15" spans="1:36" x14ac:dyDescent="0.2">
      <c r="A15" s="162"/>
      <c r="AI15" s="214"/>
    </row>
    <row r="16" spans="1:36" x14ac:dyDescent="0.2">
      <c r="A16" s="159"/>
      <c r="AI16" s="214"/>
    </row>
    <row r="17" spans="2:36" x14ac:dyDescent="0.2">
      <c r="B17" s="119" t="s">
        <v>133</v>
      </c>
      <c r="C17" s="120" t="s">
        <v>97</v>
      </c>
      <c r="D17" s="118">
        <v>44287</v>
      </c>
      <c r="E17" s="118">
        <v>44288</v>
      </c>
      <c r="F17" s="118">
        <v>44289</v>
      </c>
      <c r="G17" s="118">
        <v>44290</v>
      </c>
      <c r="H17" s="118">
        <v>44291</v>
      </c>
      <c r="I17" s="118">
        <v>44292</v>
      </c>
      <c r="J17" s="118">
        <v>44293</v>
      </c>
      <c r="K17" s="118">
        <v>44294</v>
      </c>
      <c r="L17" s="118">
        <v>44295</v>
      </c>
      <c r="M17" s="118">
        <v>44296</v>
      </c>
      <c r="N17" s="118">
        <v>44297</v>
      </c>
      <c r="O17" s="118">
        <v>44298</v>
      </c>
      <c r="P17" s="118">
        <v>44299</v>
      </c>
      <c r="Q17" s="118">
        <v>44300</v>
      </c>
      <c r="R17" s="118">
        <v>44301</v>
      </c>
      <c r="S17" s="118">
        <v>44302</v>
      </c>
      <c r="T17" s="118">
        <v>44303</v>
      </c>
      <c r="U17" s="118">
        <v>44304</v>
      </c>
      <c r="V17" s="118">
        <v>44305</v>
      </c>
      <c r="W17" s="118">
        <v>44306</v>
      </c>
      <c r="X17" s="118">
        <v>44307</v>
      </c>
      <c r="Y17" s="118">
        <v>44308</v>
      </c>
      <c r="Z17" s="118">
        <v>44309</v>
      </c>
      <c r="AA17" s="118">
        <v>44310</v>
      </c>
      <c r="AB17" s="118">
        <v>44311</v>
      </c>
      <c r="AC17" s="118">
        <v>44312</v>
      </c>
      <c r="AD17" s="118">
        <v>44313</v>
      </c>
      <c r="AE17" s="118">
        <v>44314</v>
      </c>
      <c r="AF17" s="118">
        <v>44315</v>
      </c>
      <c r="AG17" s="118">
        <v>44316</v>
      </c>
      <c r="AH17" s="210"/>
      <c r="AI17" s="214"/>
    </row>
    <row r="18" spans="2:36" ht="13.5" customHeight="1" x14ac:dyDescent="0.2">
      <c r="B18" s="122" t="s">
        <v>103</v>
      </c>
      <c r="C18" s="133">
        <f t="shared" ref="C18:C19" si="2">SUM(D18:AH18)</f>
        <v>529432677.05999994</v>
      </c>
      <c r="D18" s="137"/>
      <c r="E18" s="137"/>
      <c r="F18" s="137"/>
      <c r="G18" s="137"/>
      <c r="H18" s="137"/>
      <c r="I18" s="137"/>
      <c r="J18" s="137">
        <v>287064967.39999998</v>
      </c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>
        <v>242367709.66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211"/>
      <c r="AI18" s="214"/>
    </row>
    <row r="19" spans="2:36" s="162" customFormat="1" x14ac:dyDescent="0.2">
      <c r="B19" s="133" t="s">
        <v>100</v>
      </c>
      <c r="C19" s="133">
        <f t="shared" si="2"/>
        <v>24057326.000367001</v>
      </c>
      <c r="D19" s="137">
        <v>1251397.98</v>
      </c>
      <c r="E19" s="137">
        <v>98170.61</v>
      </c>
      <c r="F19" s="137"/>
      <c r="G19" s="137"/>
      <c r="H19" s="137">
        <v>6530048.7400000002</v>
      </c>
      <c r="I19" s="137">
        <v>1081513.32</v>
      </c>
      <c r="J19" s="137">
        <v>1013417.76</v>
      </c>
      <c r="K19" s="137">
        <v>1171734.1299999999</v>
      </c>
      <c r="L19" s="137">
        <v>231942.9</v>
      </c>
      <c r="M19" s="137">
        <v>3802.95</v>
      </c>
      <c r="N19" s="137">
        <v>3802.95</v>
      </c>
      <c r="O19" s="137">
        <v>8380001.2599999998</v>
      </c>
      <c r="P19" s="137">
        <v>155853.97</v>
      </c>
      <c r="Q19" s="137">
        <v>-2575564.2000000002</v>
      </c>
      <c r="R19" s="137">
        <v>-720542.03</v>
      </c>
      <c r="S19" s="137">
        <v>151216.92000000001</v>
      </c>
      <c r="T19" s="137">
        <v>19439.419999999998</v>
      </c>
      <c r="U19" s="137">
        <v>19439.419999999998</v>
      </c>
      <c r="V19" s="137">
        <v>8605761.3499999996</v>
      </c>
      <c r="W19" s="137">
        <v>-940696.95</v>
      </c>
      <c r="X19" s="137">
        <v>2392727.1800000002</v>
      </c>
      <c r="Y19" s="137">
        <v>253431.86</v>
      </c>
      <c r="Z19" s="137">
        <v>-1752281.65</v>
      </c>
      <c r="AA19" s="137">
        <v>45321.64</v>
      </c>
      <c r="AB19" s="137">
        <v>45321.64</v>
      </c>
      <c r="AC19" s="137">
        <v>-188323.81963300699</v>
      </c>
      <c r="AD19" s="137">
        <v>-520544.49</v>
      </c>
      <c r="AE19" s="137">
        <v>-57559.95</v>
      </c>
      <c r="AF19" s="137">
        <v>-2018352.04</v>
      </c>
      <c r="AG19" s="137">
        <v>1376845.13</v>
      </c>
      <c r="AH19" s="211"/>
      <c r="AI19" s="214"/>
    </row>
    <row r="20" spans="2:36" s="162" customFormat="1" x14ac:dyDescent="0.2">
      <c r="B20" s="133" t="s">
        <v>102</v>
      </c>
      <c r="C20" s="133">
        <f>SUM(D20:AH20)</f>
        <v>1202866.3300000003</v>
      </c>
      <c r="D20" s="137">
        <f>ROUND(D19*5%,2)</f>
        <v>62569.9</v>
      </c>
      <c r="E20" s="137">
        <f t="shared" ref="E20:AG20" si="3">ROUND(E19*5%,2)</f>
        <v>4908.53</v>
      </c>
      <c r="F20" s="137">
        <f t="shared" si="3"/>
        <v>0</v>
      </c>
      <c r="G20" s="137">
        <f t="shared" si="3"/>
        <v>0</v>
      </c>
      <c r="H20" s="137">
        <f t="shared" si="3"/>
        <v>326502.44</v>
      </c>
      <c r="I20" s="137">
        <f t="shared" si="3"/>
        <v>54075.67</v>
      </c>
      <c r="J20" s="137">
        <f t="shared" si="3"/>
        <v>50670.89</v>
      </c>
      <c r="K20" s="137">
        <f t="shared" si="3"/>
        <v>58586.71</v>
      </c>
      <c r="L20" s="137">
        <f t="shared" si="3"/>
        <v>11597.15</v>
      </c>
      <c r="M20" s="137">
        <f t="shared" si="3"/>
        <v>190.15</v>
      </c>
      <c r="N20" s="137">
        <f t="shared" si="3"/>
        <v>190.15</v>
      </c>
      <c r="O20" s="137">
        <f t="shared" si="3"/>
        <v>419000.06</v>
      </c>
      <c r="P20" s="137">
        <f t="shared" si="3"/>
        <v>7792.7</v>
      </c>
      <c r="Q20" s="137">
        <f t="shared" si="3"/>
        <v>-128778.21</v>
      </c>
      <c r="R20" s="137">
        <f t="shared" si="3"/>
        <v>-36027.1</v>
      </c>
      <c r="S20" s="137">
        <f t="shared" si="3"/>
        <v>7560.85</v>
      </c>
      <c r="T20" s="137">
        <f t="shared" si="3"/>
        <v>971.97</v>
      </c>
      <c r="U20" s="137">
        <f t="shared" si="3"/>
        <v>971.97</v>
      </c>
      <c r="V20" s="137">
        <f t="shared" si="3"/>
        <v>430288.07</v>
      </c>
      <c r="W20" s="137">
        <f t="shared" si="3"/>
        <v>-47034.85</v>
      </c>
      <c r="X20" s="137">
        <f t="shared" si="3"/>
        <v>119636.36</v>
      </c>
      <c r="Y20" s="137">
        <f t="shared" si="3"/>
        <v>12671.59</v>
      </c>
      <c r="Z20" s="137">
        <f t="shared" si="3"/>
        <v>-87614.080000000002</v>
      </c>
      <c r="AA20" s="137">
        <f t="shared" si="3"/>
        <v>2266.08</v>
      </c>
      <c r="AB20" s="137">
        <f t="shared" si="3"/>
        <v>2266.08</v>
      </c>
      <c r="AC20" s="137">
        <f t="shared" si="3"/>
        <v>-9416.19</v>
      </c>
      <c r="AD20" s="137">
        <f t="shared" si="3"/>
        <v>-26027.22</v>
      </c>
      <c r="AE20" s="137">
        <f t="shared" si="3"/>
        <v>-2878</v>
      </c>
      <c r="AF20" s="137">
        <f t="shared" si="3"/>
        <v>-100917.6</v>
      </c>
      <c r="AG20" s="137">
        <f t="shared" si="3"/>
        <v>68842.259999999995</v>
      </c>
      <c r="AH20" s="211"/>
      <c r="AI20" s="214"/>
    </row>
    <row r="21" spans="2:36" s="162" customFormat="1" outlineLevel="1" x14ac:dyDescent="0.2">
      <c r="B21" s="134" t="s">
        <v>94</v>
      </c>
      <c r="C21" s="134">
        <f>SUM(D21:AI21)</f>
        <v>45842.483527403099</v>
      </c>
      <c r="D21" s="137"/>
      <c r="E21" s="137"/>
      <c r="F21" s="137"/>
      <c r="G21" s="137"/>
      <c r="H21" s="137"/>
      <c r="I21" s="137"/>
      <c r="J21" s="137">
        <f>(500*3)+(9*1000)</f>
        <v>10500</v>
      </c>
      <c r="K21" s="137">
        <f>500*3</f>
        <v>1500</v>
      </c>
      <c r="L21" s="137">
        <v>500</v>
      </c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>
        <f>(500*5)+(1000*6)</f>
        <v>8500</v>
      </c>
      <c r="Y21" s="137">
        <f>(500*2)+(1000*2)</f>
        <v>3000</v>
      </c>
      <c r="Z21" s="137">
        <f>500*3</f>
        <v>1500</v>
      </c>
      <c r="AA21" s="137"/>
      <c r="AB21" s="137"/>
      <c r="AC21" s="137"/>
      <c r="AD21" s="137"/>
      <c r="AE21" s="137"/>
      <c r="AF21" s="137"/>
      <c r="AG21" s="137"/>
      <c r="AH21" s="211"/>
      <c r="AI21" s="214">
        <v>20342.483527403099</v>
      </c>
      <c r="AJ21" s="213" t="s">
        <v>207</v>
      </c>
    </row>
    <row r="22" spans="2:36" s="162" customFormat="1" outlineLevel="1" x14ac:dyDescent="0.2">
      <c r="B22" s="134" t="s">
        <v>95</v>
      </c>
      <c r="C22" s="134">
        <f t="shared" ref="C22:C24" si="4">SUM(D22:AH22)</f>
        <v>41175.68</v>
      </c>
      <c r="D22" s="137"/>
      <c r="E22" s="137"/>
      <c r="F22" s="137"/>
      <c r="G22" s="137"/>
      <c r="H22" s="137"/>
      <c r="I22" s="137"/>
      <c r="J22" s="137">
        <f>37.5+37.5+2764.47</f>
        <v>2839.47</v>
      </c>
      <c r="K22" s="137">
        <f>37.5+39+0.75</f>
        <v>77.25</v>
      </c>
      <c r="L22" s="137">
        <v>10301.950000000001</v>
      </c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>
        <f>67.56+46.51+30+30+30</f>
        <v>204.07</v>
      </c>
      <c r="Y22" s="137">
        <f>750.03+52.52</f>
        <v>802.55</v>
      </c>
      <c r="Z22" s="137">
        <f>8651.19+8299.91+9999.29</f>
        <v>26950.39</v>
      </c>
      <c r="AA22" s="137"/>
      <c r="AB22" s="137"/>
      <c r="AC22" s="137"/>
      <c r="AD22" s="137"/>
      <c r="AE22" s="137"/>
      <c r="AF22" s="137"/>
      <c r="AG22" s="137"/>
      <c r="AH22" s="211"/>
      <c r="AI22" s="214"/>
    </row>
    <row r="23" spans="2:36" s="162" customFormat="1" outlineLevel="1" x14ac:dyDescent="0.2">
      <c r="B23" s="134" t="s">
        <v>96</v>
      </c>
      <c r="C23" s="134">
        <f t="shared" si="4"/>
        <v>16004.180000000002</v>
      </c>
      <c r="D23" s="137"/>
      <c r="E23" s="137"/>
      <c r="F23" s="137"/>
      <c r="G23" s="137"/>
      <c r="H23" s="137"/>
      <c r="I23" s="137"/>
      <c r="J23" s="137">
        <f>75.01+75.01+1382.23</f>
        <v>1532.25</v>
      </c>
      <c r="K23" s="137">
        <f>75+78+29.17</f>
        <v>182.17000000000002</v>
      </c>
      <c r="L23" s="137">
        <v>5150.97</v>
      </c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>
        <f>135.11+93.02+60+60+60</f>
        <v>408.13</v>
      </c>
      <c r="Y23" s="137">
        <f>150.06+105.04</f>
        <v>255.10000000000002</v>
      </c>
      <c r="Z23" s="137">
        <f>4325.6+4149.96</f>
        <v>8475.5600000000013</v>
      </c>
      <c r="AA23" s="137"/>
      <c r="AB23" s="137"/>
      <c r="AC23" s="137"/>
      <c r="AD23" s="137"/>
      <c r="AE23" s="137"/>
      <c r="AF23" s="137"/>
      <c r="AG23" s="137"/>
      <c r="AH23" s="211"/>
      <c r="AI23" s="214"/>
    </row>
    <row r="24" spans="2:36" s="162" customFormat="1" outlineLevel="1" x14ac:dyDescent="0.2">
      <c r="B24" s="134" t="s">
        <v>98</v>
      </c>
      <c r="C24" s="134">
        <f t="shared" si="4"/>
        <v>0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211"/>
      <c r="AI24" s="214"/>
    </row>
    <row r="25" spans="2:36" s="162" customFormat="1" x14ac:dyDescent="0.2">
      <c r="B25" s="167" t="s">
        <v>105</v>
      </c>
      <c r="C25" s="135">
        <f>SUM(C21:C24)</f>
        <v>103022.34352740311</v>
      </c>
      <c r="AI25" s="214"/>
    </row>
    <row r="26" spans="2:36" x14ac:dyDescent="0.2">
      <c r="B26" s="121" t="s">
        <v>101</v>
      </c>
      <c r="C26" s="136">
        <f>C20-C25</f>
        <v>1099843.9864725971</v>
      </c>
      <c r="AI26" s="214"/>
    </row>
    <row r="27" spans="2:36" x14ac:dyDescent="0.2">
      <c r="F27" s="159"/>
      <c r="AI27" s="214"/>
    </row>
    <row r="28" spans="2:36" x14ac:dyDescent="0.2">
      <c r="AI28" s="214"/>
    </row>
    <row r="29" spans="2:36" x14ac:dyDescent="0.2">
      <c r="B29" s="119" t="s">
        <v>142</v>
      </c>
      <c r="C29" s="120" t="s">
        <v>97</v>
      </c>
      <c r="D29" s="118">
        <v>44317</v>
      </c>
      <c r="E29" s="118">
        <v>44318</v>
      </c>
      <c r="F29" s="118">
        <v>44319</v>
      </c>
      <c r="G29" s="118">
        <v>44320</v>
      </c>
      <c r="H29" s="118">
        <v>44321</v>
      </c>
      <c r="I29" s="118">
        <v>44322</v>
      </c>
      <c r="J29" s="118">
        <v>44323</v>
      </c>
      <c r="K29" s="118">
        <v>44324</v>
      </c>
      <c r="L29" s="118">
        <v>44325</v>
      </c>
      <c r="M29" s="118">
        <v>44326</v>
      </c>
      <c r="N29" s="118">
        <v>44327</v>
      </c>
      <c r="O29" s="118">
        <v>44328</v>
      </c>
      <c r="P29" s="118">
        <v>44329</v>
      </c>
      <c r="Q29" s="118">
        <v>44330</v>
      </c>
      <c r="R29" s="118">
        <v>44331</v>
      </c>
      <c r="S29" s="118">
        <v>44332</v>
      </c>
      <c r="T29" s="118">
        <v>44333</v>
      </c>
      <c r="U29" s="118">
        <v>44334</v>
      </c>
      <c r="V29" s="118">
        <v>44335</v>
      </c>
      <c r="W29" s="118">
        <v>44336</v>
      </c>
      <c r="X29" s="118">
        <v>44337</v>
      </c>
      <c r="Y29" s="118">
        <v>44338</v>
      </c>
      <c r="Z29" s="118">
        <v>44339</v>
      </c>
      <c r="AA29" s="118">
        <v>44340</v>
      </c>
      <c r="AB29" s="118">
        <v>44341</v>
      </c>
      <c r="AC29" s="118">
        <v>44342</v>
      </c>
      <c r="AD29" s="118">
        <v>44343</v>
      </c>
      <c r="AE29" s="118">
        <v>44344</v>
      </c>
      <c r="AF29" s="118">
        <v>44345</v>
      </c>
      <c r="AG29" s="118">
        <v>44346</v>
      </c>
      <c r="AH29" s="118">
        <v>44347</v>
      </c>
      <c r="AI29" s="214"/>
    </row>
    <row r="30" spans="2:36" ht="13.5" customHeight="1" x14ac:dyDescent="0.2">
      <c r="B30" s="122" t="s">
        <v>103</v>
      </c>
      <c r="C30" s="133">
        <f t="shared" ref="C30" si="5">SUM(D30:AH30)</f>
        <v>348212450.26999998</v>
      </c>
      <c r="D30" s="137"/>
      <c r="E30" s="137"/>
      <c r="F30" s="137"/>
      <c r="G30" s="137"/>
      <c r="H30" s="137">
        <v>223732852.63</v>
      </c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>
        <v>124479597.64</v>
      </c>
      <c r="AE30" s="137"/>
      <c r="AF30" s="137"/>
      <c r="AG30" s="137"/>
      <c r="AH30" s="137"/>
      <c r="AI30" s="214"/>
    </row>
    <row r="31" spans="2:36" s="162" customFormat="1" x14ac:dyDescent="0.2">
      <c r="B31" s="133" t="s">
        <v>100</v>
      </c>
      <c r="C31" s="133">
        <f>SUM(D31:AH31)</f>
        <v>16236287.99266699</v>
      </c>
      <c r="D31" s="137">
        <v>60877.197222232797</v>
      </c>
      <c r="E31" s="137">
        <v>60877.197222232797</v>
      </c>
      <c r="F31" s="137">
        <v>60877.197222232797</v>
      </c>
      <c r="G31" s="137">
        <v>-3420052.82</v>
      </c>
      <c r="H31" s="137">
        <v>-2766736.47</v>
      </c>
      <c r="I31" s="137">
        <v>305456.17</v>
      </c>
      <c r="J31" s="137">
        <v>60877.2</v>
      </c>
      <c r="K31" s="137">
        <v>60877.2</v>
      </c>
      <c r="L31" s="137">
        <v>60877.2</v>
      </c>
      <c r="M31" s="137">
        <v>60877.2</v>
      </c>
      <c r="N31" s="137">
        <v>1955004.65</v>
      </c>
      <c r="O31" s="137">
        <v>-1632516.75</v>
      </c>
      <c r="P31" s="137">
        <v>2271697.12</v>
      </c>
      <c r="Q31" s="137">
        <v>1879707.71</v>
      </c>
      <c r="R31" s="137">
        <v>60877.197222232797</v>
      </c>
      <c r="S31" s="137">
        <v>60877.197222232797</v>
      </c>
      <c r="T31" s="137">
        <v>-4479701.51</v>
      </c>
      <c r="U31" s="137">
        <v>-2068700.53</v>
      </c>
      <c r="V31" s="137">
        <v>2394017.4900000002</v>
      </c>
      <c r="W31" s="137">
        <v>2675873.4900000002</v>
      </c>
      <c r="X31" s="137">
        <v>-498823.77</v>
      </c>
      <c r="Y31" s="137">
        <v>60877.190222232799</v>
      </c>
      <c r="Z31" s="137">
        <v>60877.190222232799</v>
      </c>
      <c r="AA31" s="137">
        <v>6308690.1799999997</v>
      </c>
      <c r="AB31" s="137">
        <v>-1675259.25077772</v>
      </c>
      <c r="AC31" s="137">
        <v>1181474.32</v>
      </c>
      <c r="AD31" s="137">
        <v>2069760.5472224799</v>
      </c>
      <c r="AE31" s="137">
        <v>-969203.95</v>
      </c>
      <c r="AF31" s="137">
        <v>74905.53</v>
      </c>
      <c r="AG31" s="137">
        <v>74905.53</v>
      </c>
      <c r="AH31" s="137">
        <v>11886141.1396666</v>
      </c>
      <c r="AI31" s="214"/>
    </row>
    <row r="32" spans="2:36" s="162" customFormat="1" x14ac:dyDescent="0.2">
      <c r="B32" s="133" t="s">
        <v>102</v>
      </c>
      <c r="C32" s="133">
        <f>SUM(D32:AH32)</f>
        <v>811814.41</v>
      </c>
      <c r="D32" s="137">
        <f>ROUND(D31*5%,2)</f>
        <v>3043.86</v>
      </c>
      <c r="E32" s="137">
        <f t="shared" ref="E32:AH32" si="6">ROUND(E31*5%,2)</f>
        <v>3043.86</v>
      </c>
      <c r="F32" s="137">
        <f t="shared" si="6"/>
        <v>3043.86</v>
      </c>
      <c r="G32" s="137">
        <f t="shared" si="6"/>
        <v>-171002.64</v>
      </c>
      <c r="H32" s="137">
        <f t="shared" si="6"/>
        <v>-138336.82</v>
      </c>
      <c r="I32" s="137">
        <f t="shared" si="6"/>
        <v>15272.81</v>
      </c>
      <c r="J32" s="137">
        <f t="shared" si="6"/>
        <v>3043.86</v>
      </c>
      <c r="K32" s="137">
        <f t="shared" si="6"/>
        <v>3043.86</v>
      </c>
      <c r="L32" s="137">
        <f t="shared" si="6"/>
        <v>3043.86</v>
      </c>
      <c r="M32" s="137">
        <f t="shared" si="6"/>
        <v>3043.86</v>
      </c>
      <c r="N32" s="137">
        <f t="shared" si="6"/>
        <v>97750.23</v>
      </c>
      <c r="O32" s="137">
        <f t="shared" si="6"/>
        <v>-81625.84</v>
      </c>
      <c r="P32" s="137">
        <f t="shared" si="6"/>
        <v>113584.86</v>
      </c>
      <c r="Q32" s="137">
        <f t="shared" si="6"/>
        <v>93985.39</v>
      </c>
      <c r="R32" s="137">
        <f t="shared" si="6"/>
        <v>3043.86</v>
      </c>
      <c r="S32" s="137">
        <f t="shared" si="6"/>
        <v>3043.86</v>
      </c>
      <c r="T32" s="137">
        <f t="shared" si="6"/>
        <v>-223985.08</v>
      </c>
      <c r="U32" s="137">
        <f t="shared" si="6"/>
        <v>-103435.03</v>
      </c>
      <c r="V32" s="137">
        <f t="shared" si="6"/>
        <v>119700.87</v>
      </c>
      <c r="W32" s="137">
        <f t="shared" si="6"/>
        <v>133793.67000000001</v>
      </c>
      <c r="X32" s="137">
        <f t="shared" si="6"/>
        <v>-24941.19</v>
      </c>
      <c r="Y32" s="137">
        <f t="shared" si="6"/>
        <v>3043.86</v>
      </c>
      <c r="Z32" s="137">
        <f t="shared" si="6"/>
        <v>3043.86</v>
      </c>
      <c r="AA32" s="137">
        <f t="shared" si="6"/>
        <v>315434.51</v>
      </c>
      <c r="AB32" s="137">
        <f t="shared" si="6"/>
        <v>-83762.960000000006</v>
      </c>
      <c r="AC32" s="137">
        <f t="shared" si="6"/>
        <v>59073.72</v>
      </c>
      <c r="AD32" s="137">
        <f t="shared" si="6"/>
        <v>103488.03</v>
      </c>
      <c r="AE32" s="137">
        <f t="shared" si="6"/>
        <v>-48460.2</v>
      </c>
      <c r="AF32" s="137">
        <f t="shared" si="6"/>
        <v>3745.28</v>
      </c>
      <c r="AG32" s="137">
        <f t="shared" si="6"/>
        <v>3745.28</v>
      </c>
      <c r="AH32" s="137">
        <f t="shared" si="6"/>
        <v>594307.06000000006</v>
      </c>
      <c r="AI32" s="214"/>
    </row>
    <row r="33" spans="2:36" s="162" customFormat="1" outlineLevel="1" x14ac:dyDescent="0.2">
      <c r="B33" s="134" t="s">
        <v>94</v>
      </c>
      <c r="C33" s="134">
        <f>SUM(D33:AI33)-AD33</f>
        <v>42355.387707162801</v>
      </c>
      <c r="D33" s="137"/>
      <c r="E33" s="137"/>
      <c r="F33" s="137"/>
      <c r="G33" s="137"/>
      <c r="H33" s="137">
        <f>8*1000</f>
        <v>8000</v>
      </c>
      <c r="I33" s="137">
        <v>500</v>
      </c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>
        <v>1000</v>
      </c>
      <c r="U33" s="137"/>
      <c r="V33" s="137"/>
      <c r="W33" s="137"/>
      <c r="X33" s="137">
        <v>1000</v>
      </c>
      <c r="Y33" s="137"/>
      <c r="Z33" s="137"/>
      <c r="AA33" s="137"/>
      <c r="AB33" s="137"/>
      <c r="AC33" s="137"/>
      <c r="AD33" s="137">
        <f>1000*7</f>
        <v>7000</v>
      </c>
      <c r="AE33" s="137">
        <v>500</v>
      </c>
      <c r="AF33" s="137"/>
      <c r="AG33" s="137"/>
      <c r="AH33" s="137">
        <f>2*500</f>
        <v>1000</v>
      </c>
      <c r="AI33" s="214">
        <v>30355.387707162801</v>
      </c>
      <c r="AJ33" s="213" t="s">
        <v>207</v>
      </c>
    </row>
    <row r="34" spans="2:36" s="162" customFormat="1" outlineLevel="1" x14ac:dyDescent="0.2">
      <c r="B34" s="134" t="s">
        <v>95</v>
      </c>
      <c r="C34" s="134">
        <f t="shared" ref="C34:C36" si="7">SUM(D34:AH34)</f>
        <v>192.06</v>
      </c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>
        <v>144.01</v>
      </c>
      <c r="AF34" s="137"/>
      <c r="AG34" s="137"/>
      <c r="AH34" s="137">
        <v>48.05</v>
      </c>
      <c r="AI34" s="214"/>
    </row>
    <row r="35" spans="2:36" s="162" customFormat="1" outlineLevel="1" x14ac:dyDescent="0.2">
      <c r="B35" s="134" t="s">
        <v>96</v>
      </c>
      <c r="C35" s="134">
        <f t="shared" si="7"/>
        <v>384.12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>
        <v>288.02</v>
      </c>
      <c r="AF35" s="137"/>
      <c r="AG35" s="137"/>
      <c r="AH35" s="137">
        <v>96.1</v>
      </c>
      <c r="AI35" s="214"/>
    </row>
    <row r="36" spans="2:36" s="162" customFormat="1" outlineLevel="1" x14ac:dyDescent="0.2">
      <c r="B36" s="134" t="s">
        <v>98</v>
      </c>
      <c r="C36" s="134">
        <f t="shared" si="7"/>
        <v>0</v>
      </c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214"/>
    </row>
    <row r="37" spans="2:36" s="162" customFormat="1" x14ac:dyDescent="0.2">
      <c r="B37" s="167" t="s">
        <v>105</v>
      </c>
      <c r="C37" s="135">
        <f>SUM(C33:C36)</f>
        <v>42931.567707162802</v>
      </c>
      <c r="AI37" s="214"/>
    </row>
    <row r="38" spans="2:36" x14ac:dyDescent="0.2">
      <c r="B38" s="121" t="s">
        <v>101</v>
      </c>
      <c r="C38" s="136">
        <f>C32-C37</f>
        <v>768882.84229283722</v>
      </c>
      <c r="AI38" s="214"/>
    </row>
    <row r="39" spans="2:36" x14ac:dyDescent="0.2">
      <c r="AI39" s="214"/>
    </row>
    <row r="40" spans="2:36" x14ac:dyDescent="0.2">
      <c r="AI40" s="214"/>
    </row>
    <row r="41" spans="2:36" hidden="1" x14ac:dyDescent="0.2">
      <c r="D41" s="171">
        <v>60877.19</v>
      </c>
      <c r="E41" s="171">
        <v>60877.2</v>
      </c>
      <c r="F41" s="171">
        <v>60877.2</v>
      </c>
      <c r="G41" s="172">
        <v>-3420052.83</v>
      </c>
      <c r="H41" s="171">
        <v>-2766736.47</v>
      </c>
      <c r="I41" s="171">
        <v>305456.17</v>
      </c>
      <c r="J41" s="171">
        <v>60877.22</v>
      </c>
      <c r="K41" s="171">
        <v>60877.19</v>
      </c>
      <c r="L41" s="171">
        <v>60877.19</v>
      </c>
      <c r="M41" s="171">
        <v>60877.19</v>
      </c>
      <c r="N41" s="172">
        <v>1955004.64</v>
      </c>
      <c r="O41" s="171">
        <v>-1632516.75</v>
      </c>
      <c r="P41" s="171">
        <v>2271697.12</v>
      </c>
      <c r="Q41" s="171">
        <v>1879707.71</v>
      </c>
      <c r="R41" s="171">
        <v>60877.2</v>
      </c>
      <c r="S41" s="171">
        <v>60877.21</v>
      </c>
      <c r="T41" s="171">
        <v>-4479701.51</v>
      </c>
      <c r="U41" s="171">
        <v>-2068700.53</v>
      </c>
      <c r="V41" s="171">
        <v>2394017.4900000002</v>
      </c>
      <c r="W41" s="171">
        <v>2675873.4900000002</v>
      </c>
      <c r="X41" s="171">
        <v>-498823.77</v>
      </c>
      <c r="Y41" s="171">
        <v>60877.2</v>
      </c>
      <c r="Z41" s="171">
        <v>60877.18</v>
      </c>
      <c r="AA41" s="171">
        <v>6308690.2000000002</v>
      </c>
      <c r="AB41" s="171">
        <v>-1675259.2599999998</v>
      </c>
      <c r="AC41" s="171">
        <v>1181474.32</v>
      </c>
      <c r="AD41" s="171">
        <v>2069760.56</v>
      </c>
      <c r="AE41" s="171">
        <v>-969203.95</v>
      </c>
      <c r="AF41" s="171">
        <v>74905.55</v>
      </c>
      <c r="AG41" s="171">
        <v>74905.53</v>
      </c>
      <c r="AH41" s="171">
        <v>11886141.130000001</v>
      </c>
      <c r="AI41" s="214"/>
    </row>
    <row r="42" spans="2:36" x14ac:dyDescent="0.2">
      <c r="B42" s="119" t="s">
        <v>148</v>
      </c>
      <c r="C42" s="120" t="s">
        <v>97</v>
      </c>
      <c r="D42" s="118">
        <v>44348</v>
      </c>
      <c r="E42" s="118">
        <v>44349</v>
      </c>
      <c r="F42" s="118">
        <v>44350</v>
      </c>
      <c r="G42" s="118">
        <v>44351</v>
      </c>
      <c r="H42" s="118">
        <v>44352</v>
      </c>
      <c r="I42" s="118">
        <v>44353</v>
      </c>
      <c r="J42" s="118">
        <v>44354</v>
      </c>
      <c r="K42" s="118">
        <v>44355</v>
      </c>
      <c r="L42" s="118">
        <v>44356</v>
      </c>
      <c r="M42" s="118">
        <v>44357</v>
      </c>
      <c r="N42" s="118">
        <v>44358</v>
      </c>
      <c r="O42" s="118">
        <v>44359</v>
      </c>
      <c r="P42" s="118">
        <v>44360</v>
      </c>
      <c r="Q42" s="118">
        <v>44361</v>
      </c>
      <c r="R42" s="118">
        <v>44362</v>
      </c>
      <c r="S42" s="118">
        <v>44363</v>
      </c>
      <c r="T42" s="118">
        <v>44364</v>
      </c>
      <c r="U42" s="118">
        <v>44365</v>
      </c>
      <c r="V42" s="118">
        <v>44366</v>
      </c>
      <c r="W42" s="118">
        <v>44367</v>
      </c>
      <c r="X42" s="118">
        <v>44368</v>
      </c>
      <c r="Y42" s="118">
        <v>44369</v>
      </c>
      <c r="Z42" s="118">
        <v>44370</v>
      </c>
      <c r="AA42" s="118">
        <v>44371</v>
      </c>
      <c r="AB42" s="118">
        <v>44372</v>
      </c>
      <c r="AC42" s="118">
        <v>44373</v>
      </c>
      <c r="AD42" s="118">
        <v>44374</v>
      </c>
      <c r="AE42" s="118">
        <v>44375</v>
      </c>
      <c r="AF42" s="118">
        <v>44376</v>
      </c>
      <c r="AG42" s="118">
        <v>44377</v>
      </c>
      <c r="AI42" s="214"/>
    </row>
    <row r="43" spans="2:36" x14ac:dyDescent="0.2">
      <c r="B43" s="122" t="s">
        <v>103</v>
      </c>
      <c r="C43" s="133">
        <f t="shared" ref="C43" si="8">SUM(D43:AH43)</f>
        <v>293971113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>
        <v>143238167</v>
      </c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>
        <f>'стоимость УПЕ'!D105</f>
        <v>150732946</v>
      </c>
      <c r="AB43" s="137"/>
      <c r="AC43" s="137"/>
      <c r="AD43" s="137"/>
      <c r="AE43" s="137"/>
      <c r="AF43" s="137"/>
      <c r="AG43" s="137"/>
      <c r="AI43" s="214"/>
    </row>
    <row r="44" spans="2:36" x14ac:dyDescent="0.2">
      <c r="B44" s="133" t="s">
        <v>100</v>
      </c>
      <c r="C44" s="133">
        <f>SUM(D44:AH44)</f>
        <v>-5055357.3033772092</v>
      </c>
      <c r="D44" s="137">
        <v>-2158008.89</v>
      </c>
      <c r="E44" s="137">
        <v>2312754.9208226199</v>
      </c>
      <c r="F44" s="137">
        <v>-201170.446277857</v>
      </c>
      <c r="G44" s="137">
        <v>340394.68362188298</v>
      </c>
      <c r="H44" s="137">
        <v>60877.197222232797</v>
      </c>
      <c r="I44" s="137">
        <v>60877.197222232797</v>
      </c>
      <c r="J44" s="137">
        <v>2856764.0147223501</v>
      </c>
      <c r="K44" s="137">
        <v>1853380.16422224</v>
      </c>
      <c r="L44" s="137">
        <v>-1889787.79627752</v>
      </c>
      <c r="M44" s="137">
        <v>1484335.4357223499</v>
      </c>
      <c r="N44" s="137">
        <v>-206749.947877884</v>
      </c>
      <c r="O44" s="137">
        <v>75141.777222156496</v>
      </c>
      <c r="P44" s="137">
        <v>75141.777222156496</v>
      </c>
      <c r="Q44" s="137">
        <v>63336.925322294199</v>
      </c>
      <c r="R44" s="137">
        <v>391681.79502201098</v>
      </c>
      <c r="S44" s="137">
        <v>-2339292.7700778698</v>
      </c>
      <c r="T44" s="137">
        <v>1952306.4882221201</v>
      </c>
      <c r="U44" s="137">
        <v>2059368.2357222999</v>
      </c>
      <c r="V44" s="137">
        <v>60877.197222232797</v>
      </c>
      <c r="W44" s="137">
        <v>60877.197222232797</v>
      </c>
      <c r="X44" s="137">
        <v>-32075451.4136777</v>
      </c>
      <c r="Y44" s="137">
        <v>-2112262.8179776701</v>
      </c>
      <c r="Z44" s="137">
        <v>1101793.00282216</v>
      </c>
      <c r="AA44" s="137">
        <v>915275.54152226401</v>
      </c>
      <c r="AB44" s="137">
        <v>-56388.504477500901</v>
      </c>
      <c r="AC44" s="137">
        <v>60877.197222232797</v>
      </c>
      <c r="AD44" s="137">
        <v>60877.197222232797</v>
      </c>
      <c r="AE44" s="137">
        <v>15273244.77</v>
      </c>
      <c r="AF44" s="137">
        <v>4587325.2825221997</v>
      </c>
      <c r="AG44" s="137">
        <v>276247.285222292</v>
      </c>
      <c r="AI44" s="214"/>
    </row>
    <row r="45" spans="2:36" x14ac:dyDescent="0.2">
      <c r="B45" s="133" t="s">
        <v>102</v>
      </c>
      <c r="C45" s="133">
        <f>SUM(D45:AH45)</f>
        <v>-252767.86999999976</v>
      </c>
      <c r="D45" s="137">
        <f>ROUND(D44*5%,2)</f>
        <v>-107900.44</v>
      </c>
      <c r="E45" s="137">
        <f>ROUND(E44*5%,2)</f>
        <v>115637.75</v>
      </c>
      <c r="F45" s="137">
        <f>ROUND(F44*5%,2)</f>
        <v>-10058.52</v>
      </c>
      <c r="G45" s="137">
        <f>ROUND(G44*5%,2)</f>
        <v>17019.73</v>
      </c>
      <c r="H45" s="137">
        <f t="shared" ref="H45:AG45" si="9">ROUND(H44*5%,2)</f>
        <v>3043.86</v>
      </c>
      <c r="I45" s="137">
        <f t="shared" si="9"/>
        <v>3043.86</v>
      </c>
      <c r="J45" s="137">
        <f t="shared" si="9"/>
        <v>142838.20000000001</v>
      </c>
      <c r="K45" s="137">
        <f t="shared" si="9"/>
        <v>92669.01</v>
      </c>
      <c r="L45" s="137">
        <f t="shared" si="9"/>
        <v>-94489.39</v>
      </c>
      <c r="M45" s="137">
        <f t="shared" si="9"/>
        <v>74216.77</v>
      </c>
      <c r="N45" s="137">
        <f t="shared" si="9"/>
        <v>-10337.5</v>
      </c>
      <c r="O45" s="137">
        <f t="shared" si="9"/>
        <v>3757.09</v>
      </c>
      <c r="P45" s="137">
        <f t="shared" si="9"/>
        <v>3757.09</v>
      </c>
      <c r="Q45" s="137">
        <f t="shared" si="9"/>
        <v>3166.85</v>
      </c>
      <c r="R45" s="137">
        <f t="shared" si="9"/>
        <v>19584.09</v>
      </c>
      <c r="S45" s="137">
        <f t="shared" si="9"/>
        <v>-116964.64</v>
      </c>
      <c r="T45" s="137">
        <f t="shared" si="9"/>
        <v>97615.32</v>
      </c>
      <c r="U45" s="137">
        <f t="shared" si="9"/>
        <v>102968.41</v>
      </c>
      <c r="V45" s="137">
        <f t="shared" si="9"/>
        <v>3043.86</v>
      </c>
      <c r="W45" s="137">
        <f t="shared" si="9"/>
        <v>3043.86</v>
      </c>
      <c r="X45" s="137">
        <f t="shared" si="9"/>
        <v>-1603772.57</v>
      </c>
      <c r="Y45" s="137">
        <f t="shared" si="9"/>
        <v>-105613.14</v>
      </c>
      <c r="Z45" s="137">
        <f t="shared" si="9"/>
        <v>55089.65</v>
      </c>
      <c r="AA45" s="137">
        <f t="shared" si="9"/>
        <v>45763.78</v>
      </c>
      <c r="AB45" s="137">
        <f t="shared" si="9"/>
        <v>-2819.43</v>
      </c>
      <c r="AC45" s="137">
        <f t="shared" si="9"/>
        <v>3043.86</v>
      </c>
      <c r="AD45" s="137">
        <f t="shared" si="9"/>
        <v>3043.86</v>
      </c>
      <c r="AE45" s="137">
        <f t="shared" si="9"/>
        <v>763662.24</v>
      </c>
      <c r="AF45" s="137">
        <f t="shared" si="9"/>
        <v>229366.26</v>
      </c>
      <c r="AG45" s="137">
        <f t="shared" si="9"/>
        <v>13812.36</v>
      </c>
      <c r="AI45" s="214"/>
    </row>
    <row r="46" spans="2:36" x14ac:dyDescent="0.2">
      <c r="B46" s="134" t="s">
        <v>94</v>
      </c>
      <c r="C46" s="134">
        <f>SUM(D46:AH46)+AD33</f>
        <v>18000</v>
      </c>
      <c r="D46" s="137">
        <v>500</v>
      </c>
      <c r="E46" s="137">
        <v>500</v>
      </c>
      <c r="F46" s="137"/>
      <c r="G46" s="137"/>
      <c r="H46" s="137"/>
      <c r="I46" s="137"/>
      <c r="J46" s="137"/>
      <c r="K46" s="137"/>
      <c r="L46" s="137"/>
      <c r="M46" s="137"/>
      <c r="N46" s="137">
        <f>500*2</f>
        <v>1000</v>
      </c>
      <c r="O46" s="137"/>
      <c r="P46" s="137"/>
      <c r="Q46" s="137">
        <v>500</v>
      </c>
      <c r="R46" s="137">
        <v>500</v>
      </c>
      <c r="S46" s="137">
        <f>6*1000</f>
        <v>6000</v>
      </c>
      <c r="T46" s="137"/>
      <c r="U46" s="137"/>
      <c r="V46" s="137"/>
      <c r="W46" s="137"/>
      <c r="X46" s="137"/>
      <c r="Y46" s="137"/>
      <c r="Z46" s="137"/>
      <c r="AA46" s="137">
        <v>1000</v>
      </c>
      <c r="AB46" s="137">
        <v>500</v>
      </c>
      <c r="AC46" s="137"/>
      <c r="AD46" s="137"/>
      <c r="AE46" s="137"/>
      <c r="AF46" s="137"/>
      <c r="AG46" s="137">
        <v>500</v>
      </c>
      <c r="AI46" s="214"/>
      <c r="AJ46" s="213" t="s">
        <v>207</v>
      </c>
    </row>
    <row r="47" spans="2:36" x14ac:dyDescent="0.2">
      <c r="B47" s="134" t="s">
        <v>95</v>
      </c>
      <c r="C47" s="134">
        <f t="shared" ref="C47:C49" si="10">SUM(D47:AH47)</f>
        <v>746.49</v>
      </c>
      <c r="D47" s="137">
        <v>48.03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>
        <v>146.25</v>
      </c>
      <c r="O47" s="137"/>
      <c r="P47" s="137"/>
      <c r="Q47" s="137">
        <v>48.01</v>
      </c>
      <c r="R47" s="137">
        <v>48.05</v>
      </c>
      <c r="S47" s="137"/>
      <c r="T47" s="137"/>
      <c r="U47" s="137"/>
      <c r="V47" s="137"/>
      <c r="W47" s="137"/>
      <c r="X47" s="137"/>
      <c r="Y47" s="137"/>
      <c r="Z47" s="137"/>
      <c r="AA47" s="137">
        <f>90.01+24.75</f>
        <v>114.76</v>
      </c>
      <c r="AB47" s="137"/>
      <c r="AC47" s="137"/>
      <c r="AD47" s="137"/>
      <c r="AE47" s="137"/>
      <c r="AF47" s="137"/>
      <c r="AG47" s="137">
        <v>341.39</v>
      </c>
    </row>
    <row r="48" spans="2:36" x14ac:dyDescent="0.2">
      <c r="B48" s="134" t="s">
        <v>96</v>
      </c>
      <c r="C48" s="134">
        <f t="shared" si="10"/>
        <v>1492.9499999999998</v>
      </c>
      <c r="D48" s="137">
        <v>96.05</v>
      </c>
      <c r="E48" s="137"/>
      <c r="F48" s="137"/>
      <c r="G48" s="137"/>
      <c r="H48" s="137"/>
      <c r="I48" s="137"/>
      <c r="J48" s="137"/>
      <c r="K48" s="137"/>
      <c r="L48" s="137"/>
      <c r="M48" s="137"/>
      <c r="N48" s="137">
        <v>292.5</v>
      </c>
      <c r="O48" s="137"/>
      <c r="P48" s="137"/>
      <c r="Q48" s="137">
        <v>96.01</v>
      </c>
      <c r="R48" s="137">
        <v>96.1</v>
      </c>
      <c r="S48" s="137"/>
      <c r="T48" s="137"/>
      <c r="U48" s="137"/>
      <c r="V48" s="137"/>
      <c r="W48" s="137"/>
      <c r="X48" s="137"/>
      <c r="Y48" s="137"/>
      <c r="Z48" s="137"/>
      <c r="AA48" s="137">
        <f>180.01+49.5</f>
        <v>229.51</v>
      </c>
      <c r="AB48" s="137"/>
      <c r="AC48" s="137"/>
      <c r="AD48" s="137"/>
      <c r="AE48" s="137"/>
      <c r="AF48" s="137"/>
      <c r="AG48" s="137">
        <v>682.78</v>
      </c>
    </row>
    <row r="49" spans="2:34" x14ac:dyDescent="0.2">
      <c r="B49" s="134" t="s">
        <v>98</v>
      </c>
      <c r="C49" s="134">
        <f t="shared" si="10"/>
        <v>45000</v>
      </c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>
        <f>5000*9</f>
        <v>45000</v>
      </c>
      <c r="AF49" s="137"/>
      <c r="AG49" s="137"/>
    </row>
    <row r="50" spans="2:34" x14ac:dyDescent="0.2">
      <c r="B50" s="167" t="s">
        <v>105</v>
      </c>
      <c r="C50" s="135">
        <f>SUM(C46:C49)</f>
        <v>65239.44</v>
      </c>
    </row>
    <row r="51" spans="2:34" x14ac:dyDescent="0.2">
      <c r="B51" s="121" t="s">
        <v>101</v>
      </c>
      <c r="C51" s="136">
        <f>C45-C50</f>
        <v>-318007.30999999976</v>
      </c>
    </row>
    <row r="52" spans="2:34" s="218" customFormat="1" x14ac:dyDescent="0.2">
      <c r="C52" s="21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</row>
    <row r="53" spans="2:34" s="218" customFormat="1" x14ac:dyDescent="0.2"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</row>
    <row r="54" spans="2:34" x14ac:dyDescent="0.2">
      <c r="C54" s="159"/>
    </row>
    <row r="55" spans="2:34" x14ac:dyDescent="0.2">
      <c r="B55" s="119" t="s">
        <v>209</v>
      </c>
      <c r="C55" s="120" t="s">
        <v>97</v>
      </c>
      <c r="D55" s="118">
        <v>44378</v>
      </c>
      <c r="E55" s="118">
        <v>44379</v>
      </c>
      <c r="F55" s="118">
        <v>44380</v>
      </c>
      <c r="G55" s="118">
        <v>44381</v>
      </c>
      <c r="H55" s="118">
        <v>44382</v>
      </c>
      <c r="I55" s="118">
        <v>44383</v>
      </c>
      <c r="J55" s="118">
        <v>44384</v>
      </c>
      <c r="K55" s="118">
        <v>44385</v>
      </c>
      <c r="L55" s="118">
        <v>44386</v>
      </c>
      <c r="M55" s="118">
        <v>44387</v>
      </c>
      <c r="N55" s="118">
        <v>44388</v>
      </c>
      <c r="O55" s="118">
        <v>44389</v>
      </c>
      <c r="P55" s="118">
        <v>44390</v>
      </c>
      <c r="Q55" s="118">
        <v>44391</v>
      </c>
      <c r="R55" s="118">
        <v>44392</v>
      </c>
      <c r="S55" s="118">
        <v>44393</v>
      </c>
      <c r="T55" s="118">
        <v>44394</v>
      </c>
      <c r="U55" s="118">
        <v>44395</v>
      </c>
      <c r="V55" s="118">
        <v>44396</v>
      </c>
      <c r="W55" s="118">
        <v>44397</v>
      </c>
      <c r="X55" s="118">
        <v>44398</v>
      </c>
      <c r="Y55" s="118">
        <v>44399</v>
      </c>
      <c r="Z55" s="118">
        <v>44400</v>
      </c>
      <c r="AA55" s="118">
        <v>44401</v>
      </c>
      <c r="AB55" s="118">
        <v>44402</v>
      </c>
      <c r="AC55" s="118">
        <v>44403</v>
      </c>
      <c r="AD55" s="118">
        <v>44404</v>
      </c>
      <c r="AE55" s="118">
        <v>44405</v>
      </c>
      <c r="AF55" s="118">
        <v>44406</v>
      </c>
      <c r="AG55" s="118">
        <v>44407</v>
      </c>
      <c r="AH55" s="118">
        <v>44408</v>
      </c>
    </row>
    <row r="56" spans="2:34" x14ac:dyDescent="0.2">
      <c r="B56" s="122" t="s">
        <v>103</v>
      </c>
      <c r="C56" s="133">
        <f t="shared" ref="C56" si="11">SUM(D56:AH56)</f>
        <v>196631546.50999999</v>
      </c>
      <c r="D56" s="137"/>
      <c r="E56" s="137"/>
      <c r="F56" s="137"/>
      <c r="G56" s="137"/>
      <c r="H56" s="137"/>
      <c r="I56" s="137"/>
      <c r="J56" s="137"/>
      <c r="K56" s="137"/>
      <c r="L56" s="137">
        <v>96301376.400000006</v>
      </c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>
        <v>100330170.11</v>
      </c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2:34" x14ac:dyDescent="0.2">
      <c r="B57" s="133" t="s">
        <v>100</v>
      </c>
      <c r="C57" s="133">
        <f>SUM(D57:AH57)</f>
        <v>-3205944.3102658372</v>
      </c>
      <c r="D57" s="137">
        <v>68700.921850919694</v>
      </c>
      <c r="E57" s="137">
        <v>77651.466850757599</v>
      </c>
      <c r="F57" s="137">
        <v>499187.44455075299</v>
      </c>
      <c r="G57" s="137">
        <v>76020.478650808305</v>
      </c>
      <c r="H57" s="137">
        <v>76020.478650808305</v>
      </c>
      <c r="I57" s="137">
        <v>76020.478650808305</v>
      </c>
      <c r="J57" s="137">
        <v>-321508.71464943897</v>
      </c>
      <c r="K57" s="137">
        <v>85598.708436489105</v>
      </c>
      <c r="L57" s="137">
        <v>73578.867536663005</v>
      </c>
      <c r="M57" s="137">
        <v>75873.112936496706</v>
      </c>
      <c r="N57" s="137">
        <v>75873.112936496706</v>
      </c>
      <c r="O57" s="137">
        <v>3691044.5914363898</v>
      </c>
      <c r="P57" s="137">
        <v>70037.749636411696</v>
      </c>
      <c r="Q57" s="137">
        <v>77141.135269641905</v>
      </c>
      <c r="R57" s="137">
        <v>104627.770555496</v>
      </c>
      <c r="S57" s="137">
        <v>68470.5873551369</v>
      </c>
      <c r="T57" s="137">
        <v>75090.530555725098</v>
      </c>
      <c r="U57" s="137">
        <v>75090.530555248304</v>
      </c>
      <c r="V57" s="137">
        <v>-8020302.1353442697</v>
      </c>
      <c r="W57" s="137">
        <v>75090.530555486694</v>
      </c>
      <c r="X57" s="137">
        <v>75090.528755426407</v>
      </c>
      <c r="Y57" s="137">
        <v>53379.322255507097</v>
      </c>
      <c r="Z57" s="137">
        <v>184836.39115571999</v>
      </c>
      <c r="AA57" s="137">
        <v>86461.713888883605</v>
      </c>
      <c r="AB57" s="137">
        <v>86461.713888883605</v>
      </c>
      <c r="AC57" s="137">
        <v>-1092341.9324111899</v>
      </c>
      <c r="AD57" s="137">
        <v>87192.433557510405</v>
      </c>
      <c r="AE57" s="137">
        <v>83486.810555458098</v>
      </c>
      <c r="AF57" s="137">
        <v>75090.530555486694</v>
      </c>
      <c r="AG57" s="137">
        <v>75090.530555648817</v>
      </c>
      <c r="AH57" s="137"/>
    </row>
    <row r="58" spans="2:34" x14ac:dyDescent="0.2">
      <c r="B58" s="133" t="s">
        <v>102</v>
      </c>
      <c r="C58" s="133">
        <f>SUM(D58:AH58)</f>
        <v>-160297.16999999998</v>
      </c>
      <c r="D58" s="137">
        <f>ROUND(D57*5%,2)</f>
        <v>3435.05</v>
      </c>
      <c r="E58" s="137">
        <f>ROUND(E57*5%,2)</f>
        <v>3882.57</v>
      </c>
      <c r="F58" s="137">
        <f>ROUND(F57*5%,2)</f>
        <v>24959.37</v>
      </c>
      <c r="G58" s="137">
        <f t="shared" ref="G58:AG58" si="12">ROUND(G57*5%,2)</f>
        <v>3801.02</v>
      </c>
      <c r="H58" s="137">
        <f t="shared" si="12"/>
        <v>3801.02</v>
      </c>
      <c r="I58" s="137">
        <f t="shared" si="12"/>
        <v>3801.02</v>
      </c>
      <c r="J58" s="137">
        <f t="shared" si="12"/>
        <v>-16075.44</v>
      </c>
      <c r="K58" s="137">
        <f>ROUND(K57*5%,2)+0.02</f>
        <v>4279.96</v>
      </c>
      <c r="L58" s="137">
        <f t="shared" si="12"/>
        <v>3678.94</v>
      </c>
      <c r="M58" s="137">
        <f t="shared" si="12"/>
        <v>3793.66</v>
      </c>
      <c r="N58" s="137">
        <f t="shared" si="12"/>
        <v>3793.66</v>
      </c>
      <c r="O58" s="137">
        <f t="shared" si="12"/>
        <v>184552.23</v>
      </c>
      <c r="P58" s="137">
        <f t="shared" si="12"/>
        <v>3501.89</v>
      </c>
      <c r="Q58" s="137">
        <f t="shared" si="12"/>
        <v>3857.06</v>
      </c>
      <c r="R58" s="137">
        <f t="shared" si="12"/>
        <v>5231.3900000000003</v>
      </c>
      <c r="S58" s="137">
        <f t="shared" si="12"/>
        <v>3423.53</v>
      </c>
      <c r="T58" s="137">
        <f t="shared" si="12"/>
        <v>3754.53</v>
      </c>
      <c r="U58" s="137">
        <f t="shared" si="12"/>
        <v>3754.53</v>
      </c>
      <c r="V58" s="137">
        <f t="shared" si="12"/>
        <v>-401015.11</v>
      </c>
      <c r="W58" s="137">
        <f t="shared" si="12"/>
        <v>3754.53</v>
      </c>
      <c r="X58" s="137">
        <f t="shared" si="12"/>
        <v>3754.53</v>
      </c>
      <c r="Y58" s="137">
        <f t="shared" si="12"/>
        <v>2668.97</v>
      </c>
      <c r="Z58" s="137">
        <f t="shared" si="12"/>
        <v>9241.82</v>
      </c>
      <c r="AA58" s="137">
        <f t="shared" si="12"/>
        <v>4323.09</v>
      </c>
      <c r="AB58" s="137">
        <f t="shared" si="12"/>
        <v>4323.09</v>
      </c>
      <c r="AC58" s="137">
        <f t="shared" si="12"/>
        <v>-54617.1</v>
      </c>
      <c r="AD58" s="137">
        <f t="shared" si="12"/>
        <v>4359.62</v>
      </c>
      <c r="AE58" s="137">
        <f t="shared" si="12"/>
        <v>4174.34</v>
      </c>
      <c r="AF58" s="137">
        <f t="shared" si="12"/>
        <v>3754.53</v>
      </c>
      <c r="AG58" s="137">
        <f t="shared" si="12"/>
        <v>3754.53</v>
      </c>
      <c r="AH58" s="137"/>
    </row>
    <row r="59" spans="2:34" x14ac:dyDescent="0.2">
      <c r="B59" s="134" t="s">
        <v>94</v>
      </c>
      <c r="C59" s="134">
        <f>SUM(D59:AH59)</f>
        <v>21000</v>
      </c>
      <c r="D59" s="137"/>
      <c r="E59" s="137"/>
      <c r="F59" s="137"/>
      <c r="G59" s="137"/>
      <c r="H59" s="137"/>
      <c r="I59" s="137"/>
      <c r="J59" s="137">
        <f>500*2</f>
        <v>1000</v>
      </c>
      <c r="K59" s="137"/>
      <c r="L59" s="137"/>
      <c r="M59" s="137"/>
      <c r="N59" s="137"/>
      <c r="O59" s="137"/>
      <c r="P59" s="137">
        <v>500</v>
      </c>
      <c r="Q59" s="137">
        <f>500*3</f>
        <v>1500</v>
      </c>
      <c r="R59" s="137">
        <v>1000</v>
      </c>
      <c r="S59" s="137">
        <v>8000</v>
      </c>
      <c r="T59" s="137"/>
      <c r="U59" s="137"/>
      <c r="V59" s="137"/>
      <c r="W59" s="137"/>
      <c r="X59" s="137"/>
      <c r="Y59" s="137">
        <f>6*1000+2*500</f>
        <v>7000</v>
      </c>
      <c r="Z59" s="137">
        <v>500</v>
      </c>
      <c r="AA59" s="137"/>
      <c r="AB59" s="137"/>
      <c r="AC59" s="137">
        <v>500</v>
      </c>
      <c r="AD59" s="137">
        <v>500</v>
      </c>
      <c r="AE59" s="137">
        <v>500</v>
      </c>
      <c r="AF59" s="137"/>
      <c r="AG59" s="137"/>
      <c r="AH59" s="137"/>
    </row>
    <row r="60" spans="2:34" x14ac:dyDescent="0.2">
      <c r="B60" s="134" t="s">
        <v>95</v>
      </c>
      <c r="C60" s="134">
        <f t="shared" ref="C60:C62" si="13">SUM(D60:AH60)</f>
        <v>771.07999999999993</v>
      </c>
      <c r="D60" s="137"/>
      <c r="E60" s="137"/>
      <c r="F60" s="137"/>
      <c r="G60" s="137"/>
      <c r="H60" s="137"/>
      <c r="I60" s="137"/>
      <c r="J60" s="137">
        <f>78.76+262.52</f>
        <v>341.28</v>
      </c>
      <c r="K60" s="137"/>
      <c r="L60" s="137"/>
      <c r="M60" s="137"/>
      <c r="N60" s="137"/>
      <c r="O60" s="137"/>
      <c r="P60" s="137">
        <v>35.25</v>
      </c>
      <c r="Q60" s="137">
        <f>71.26+12.75</f>
        <v>84.01</v>
      </c>
      <c r="R60" s="137">
        <f>71.25+12.75</f>
        <v>84</v>
      </c>
      <c r="S60" s="137"/>
      <c r="T60" s="137"/>
      <c r="U60" s="137"/>
      <c r="V60" s="137"/>
      <c r="W60" s="137"/>
      <c r="X60" s="137"/>
      <c r="Y60" s="137">
        <f>18.76+18.76</f>
        <v>37.520000000000003</v>
      </c>
      <c r="Z60" s="137">
        <v>112.51</v>
      </c>
      <c r="AA60" s="137"/>
      <c r="AB60" s="137"/>
      <c r="AC60" s="137">
        <v>38.26</v>
      </c>
      <c r="AD60" s="137">
        <v>38.25</v>
      </c>
      <c r="AE60" s="137"/>
      <c r="AF60" s="137"/>
      <c r="AG60" s="137"/>
      <c r="AH60" s="137"/>
    </row>
    <row r="61" spans="2:34" x14ac:dyDescent="0.2">
      <c r="B61" s="134" t="s">
        <v>96</v>
      </c>
      <c r="C61" s="134">
        <f t="shared" si="13"/>
        <v>1549.49</v>
      </c>
      <c r="D61" s="137"/>
      <c r="E61" s="137"/>
      <c r="F61" s="137"/>
      <c r="G61" s="137"/>
      <c r="H61" s="137"/>
      <c r="I61" s="137"/>
      <c r="J61" s="137">
        <f>157.51+525.05</f>
        <v>682.56</v>
      </c>
      <c r="K61" s="137"/>
      <c r="L61" s="137"/>
      <c r="M61" s="137"/>
      <c r="N61" s="137"/>
      <c r="O61" s="137"/>
      <c r="P61" s="137">
        <v>70.5</v>
      </c>
      <c r="Q61" s="137">
        <f>142.51+29.17</f>
        <v>171.68</v>
      </c>
      <c r="R61" s="137">
        <f>142.51+29.17</f>
        <v>171.68</v>
      </c>
      <c r="S61" s="137"/>
      <c r="T61" s="137"/>
      <c r="U61" s="137"/>
      <c r="V61" s="137"/>
      <c r="W61" s="137"/>
      <c r="X61" s="137"/>
      <c r="Y61" s="137">
        <f>37.52*2</f>
        <v>75.040000000000006</v>
      </c>
      <c r="Z61" s="137">
        <v>225.02</v>
      </c>
      <c r="AA61" s="137"/>
      <c r="AB61" s="137"/>
      <c r="AC61" s="137">
        <v>76.510000000000005</v>
      </c>
      <c r="AD61" s="137">
        <v>76.5</v>
      </c>
      <c r="AE61" s="137"/>
      <c r="AF61" s="137"/>
      <c r="AG61" s="137"/>
      <c r="AH61" s="137"/>
    </row>
    <row r="62" spans="2:34" x14ac:dyDescent="0.2">
      <c r="B62" s="134" t="s">
        <v>98</v>
      </c>
      <c r="C62" s="134">
        <f t="shared" si="13"/>
        <v>0</v>
      </c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2:34" x14ac:dyDescent="0.2">
      <c r="B63" s="167" t="s">
        <v>105</v>
      </c>
      <c r="C63" s="135">
        <f>SUM(C59:C62)</f>
        <v>23320.570000000003</v>
      </c>
    </row>
    <row r="64" spans="2:34" x14ac:dyDescent="0.2">
      <c r="B64" s="121" t="s">
        <v>101</v>
      </c>
      <c r="C64" s="136">
        <f>C58-C63</f>
        <v>-183617.74</v>
      </c>
    </row>
    <row r="65" spans="2:34" x14ac:dyDescent="0.2">
      <c r="C65" s="159"/>
    </row>
    <row r="66" spans="2:34" x14ac:dyDescent="0.2">
      <c r="C66" s="159"/>
    </row>
    <row r="67" spans="2:34" x14ac:dyDescent="0.2">
      <c r="C67" s="159"/>
    </row>
    <row r="68" spans="2:34" x14ac:dyDescent="0.2">
      <c r="B68" s="119" t="s">
        <v>212</v>
      </c>
      <c r="C68" s="120" t="s">
        <v>97</v>
      </c>
      <c r="D68" s="118">
        <v>44409</v>
      </c>
      <c r="E68" s="118">
        <v>44410</v>
      </c>
      <c r="F68" s="118">
        <v>44411</v>
      </c>
      <c r="G68" s="118">
        <v>44412</v>
      </c>
      <c r="H68" s="118">
        <v>44413</v>
      </c>
      <c r="I68" s="118">
        <v>44414</v>
      </c>
      <c r="J68" s="118">
        <v>44415</v>
      </c>
      <c r="K68" s="118">
        <v>44416</v>
      </c>
      <c r="L68" s="118">
        <v>44417</v>
      </c>
      <c r="M68" s="118">
        <v>44418</v>
      </c>
      <c r="N68" s="118">
        <v>44419</v>
      </c>
      <c r="O68" s="118">
        <v>44420</v>
      </c>
      <c r="P68" s="118">
        <v>44421</v>
      </c>
      <c r="Q68" s="118">
        <v>44422</v>
      </c>
      <c r="R68" s="118">
        <v>44423</v>
      </c>
      <c r="S68" s="118">
        <v>44424</v>
      </c>
      <c r="T68" s="118">
        <v>44425</v>
      </c>
      <c r="U68" s="118">
        <v>44426</v>
      </c>
      <c r="V68" s="118">
        <v>44427</v>
      </c>
      <c r="W68" s="118">
        <v>44428</v>
      </c>
      <c r="X68" s="118">
        <v>44429</v>
      </c>
      <c r="Y68" s="118">
        <v>44430</v>
      </c>
      <c r="Z68" s="118">
        <v>44431</v>
      </c>
      <c r="AA68" s="118">
        <v>44432</v>
      </c>
      <c r="AB68" s="118">
        <v>44433</v>
      </c>
      <c r="AC68" s="118">
        <v>44434</v>
      </c>
      <c r="AD68" s="118">
        <v>44435</v>
      </c>
      <c r="AE68" s="118">
        <v>44436</v>
      </c>
      <c r="AF68" s="118">
        <v>44437</v>
      </c>
      <c r="AG68" s="118">
        <v>44438</v>
      </c>
      <c r="AH68" s="118">
        <v>44439</v>
      </c>
    </row>
    <row r="69" spans="2:34" x14ac:dyDescent="0.2">
      <c r="B69" s="122" t="s">
        <v>103</v>
      </c>
      <c r="C69" s="133">
        <f t="shared" ref="C69" si="14">SUM(D69:AH69)</f>
        <v>176766192.38999999</v>
      </c>
      <c r="D69" s="137"/>
      <c r="E69" s="137"/>
      <c r="F69" s="137"/>
      <c r="G69" s="137"/>
      <c r="H69" s="137">
        <v>101952600.15000001</v>
      </c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>
        <v>74813592.239999995</v>
      </c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2:34" x14ac:dyDescent="0.2">
      <c r="B70" s="133" t="s">
        <v>100</v>
      </c>
      <c r="C70" s="133">
        <f>SUM(D70:AH70)</f>
        <v>21302889.862567428</v>
      </c>
      <c r="D70" s="137">
        <v>75090.530555486694</v>
      </c>
      <c r="E70" s="137">
        <v>7517432.5158555498</v>
      </c>
      <c r="F70" s="137">
        <v>75090.530555486694</v>
      </c>
      <c r="G70" s="137">
        <v>75090.530555486694</v>
      </c>
      <c r="H70" s="137">
        <v>75090.530555576101</v>
      </c>
      <c r="I70" s="137">
        <v>148110.094555855</v>
      </c>
      <c r="J70" s="137">
        <v>75090.530555248304</v>
      </c>
      <c r="K70" s="137">
        <v>75090.530555725098</v>
      </c>
      <c r="L70" s="137">
        <v>961401.14945459401</v>
      </c>
      <c r="M70" s="137">
        <v>87070.806755542799</v>
      </c>
      <c r="N70" s="137">
        <v>83806.485754966707</v>
      </c>
      <c r="O70" s="137">
        <v>75090.544156074495</v>
      </c>
      <c r="P70" s="137">
        <v>75090.530555248304</v>
      </c>
      <c r="Q70" s="137">
        <v>75090.530555725098</v>
      </c>
      <c r="R70" s="137">
        <v>75090.530555725098</v>
      </c>
      <c r="S70" s="137">
        <v>4085525.28345537</v>
      </c>
      <c r="T70" s="137">
        <v>75090.530555725098</v>
      </c>
      <c r="U70" s="137">
        <v>75090.530555725098</v>
      </c>
      <c r="V70" s="137">
        <v>60584.093356385798</v>
      </c>
      <c r="W70" s="137">
        <v>211914.960555553</v>
      </c>
      <c r="X70" s="137">
        <v>75090.530555555597</v>
      </c>
      <c r="Y70" s="137">
        <v>75090.530555555597</v>
      </c>
      <c r="Z70" s="137">
        <v>-20777343.3694444</v>
      </c>
      <c r="AA70" s="137">
        <v>75090.530555555597</v>
      </c>
      <c r="AB70" s="137">
        <v>94561.310555555494</v>
      </c>
      <c r="AC70" s="137">
        <v>75090.530555555597</v>
      </c>
      <c r="AD70" s="137">
        <v>75090.530555725098</v>
      </c>
      <c r="AE70" s="137">
        <v>75090.530555725098</v>
      </c>
      <c r="AF70" s="137">
        <v>75090.530555725098</v>
      </c>
      <c r="AG70" s="137">
        <v>75090.530555725098</v>
      </c>
      <c r="AH70" s="137">
        <v>27328015.907000098</v>
      </c>
    </row>
    <row r="71" spans="2:34" x14ac:dyDescent="0.2">
      <c r="B71" s="133" t="s">
        <v>102</v>
      </c>
      <c r="C71" s="133">
        <f>SUM(D71:AH71)</f>
        <v>1065144.5600000005</v>
      </c>
      <c r="D71" s="137">
        <f t="shared" ref="D71:I71" si="15">ROUND(D70*5%,2)</f>
        <v>3754.53</v>
      </c>
      <c r="E71" s="137">
        <f t="shared" si="15"/>
        <v>375871.63</v>
      </c>
      <c r="F71" s="137">
        <f t="shared" si="15"/>
        <v>3754.53</v>
      </c>
      <c r="G71" s="137">
        <f t="shared" si="15"/>
        <v>3754.53</v>
      </c>
      <c r="H71" s="137">
        <f t="shared" si="15"/>
        <v>3754.53</v>
      </c>
      <c r="I71" s="137">
        <f t="shared" si="15"/>
        <v>7405.5</v>
      </c>
      <c r="J71" s="137">
        <f t="shared" ref="J71" si="16">ROUND(J70*5%,2)</f>
        <v>3754.53</v>
      </c>
      <c r="K71" s="137">
        <f t="shared" ref="K71" si="17">ROUND(K70*5%,2)</f>
        <v>3754.53</v>
      </c>
      <c r="L71" s="137">
        <f t="shared" ref="L71:AH71" si="18">ROUND(L70*5%,2)</f>
        <v>48070.06</v>
      </c>
      <c r="M71" s="137">
        <f t="shared" si="18"/>
        <v>4353.54</v>
      </c>
      <c r="N71" s="137">
        <f t="shared" si="18"/>
        <v>4190.32</v>
      </c>
      <c r="O71" s="137">
        <f t="shared" si="18"/>
        <v>3754.53</v>
      </c>
      <c r="P71" s="137">
        <f t="shared" si="18"/>
        <v>3754.53</v>
      </c>
      <c r="Q71" s="137">
        <f t="shared" si="18"/>
        <v>3754.53</v>
      </c>
      <c r="R71" s="137">
        <f t="shared" si="18"/>
        <v>3754.53</v>
      </c>
      <c r="S71" s="137">
        <f t="shared" si="18"/>
        <v>204276.26</v>
      </c>
      <c r="T71" s="137">
        <f t="shared" si="18"/>
        <v>3754.53</v>
      </c>
      <c r="U71" s="137">
        <f t="shared" si="18"/>
        <v>3754.53</v>
      </c>
      <c r="V71" s="137">
        <f t="shared" si="18"/>
        <v>3029.2</v>
      </c>
      <c r="W71" s="137">
        <f t="shared" si="18"/>
        <v>10595.75</v>
      </c>
      <c r="X71" s="137">
        <f t="shared" si="18"/>
        <v>3754.53</v>
      </c>
      <c r="Y71" s="137">
        <f t="shared" si="18"/>
        <v>3754.53</v>
      </c>
      <c r="Z71" s="137">
        <f t="shared" si="18"/>
        <v>-1038867.17</v>
      </c>
      <c r="AA71" s="137">
        <f t="shared" si="18"/>
        <v>3754.53</v>
      </c>
      <c r="AB71" s="137">
        <f t="shared" si="18"/>
        <v>4728.07</v>
      </c>
      <c r="AC71" s="137">
        <f t="shared" si="18"/>
        <v>3754.53</v>
      </c>
      <c r="AD71" s="137">
        <f t="shared" si="18"/>
        <v>3754.53</v>
      </c>
      <c r="AE71" s="137">
        <f t="shared" si="18"/>
        <v>3754.53</v>
      </c>
      <c r="AF71" s="137">
        <f t="shared" si="18"/>
        <v>3754.53</v>
      </c>
      <c r="AG71" s="137">
        <f t="shared" si="18"/>
        <v>3754.53</v>
      </c>
      <c r="AH71" s="137">
        <f t="shared" si="18"/>
        <v>1366400.8</v>
      </c>
    </row>
    <row r="72" spans="2:34" x14ac:dyDescent="0.2">
      <c r="B72" s="134" t="s">
        <v>94</v>
      </c>
      <c r="C72" s="134">
        <f>SUM(D72:AH72)</f>
        <v>16500</v>
      </c>
      <c r="D72" s="137"/>
      <c r="E72" s="137"/>
      <c r="F72" s="137"/>
      <c r="G72" s="137"/>
      <c r="H72" s="137">
        <v>500</v>
      </c>
      <c r="I72" s="137">
        <f>8*1000+500</f>
        <v>8500</v>
      </c>
      <c r="J72" s="137"/>
      <c r="K72" s="137"/>
      <c r="L72" s="137">
        <v>500</v>
      </c>
      <c r="M72" s="137">
        <v>1000</v>
      </c>
      <c r="N72" s="137"/>
      <c r="O72" s="137"/>
      <c r="P72" s="137"/>
      <c r="Q72" s="137"/>
      <c r="R72" s="137"/>
      <c r="S72" s="137"/>
      <c r="T72" s="137"/>
      <c r="U72" s="137"/>
      <c r="V72" s="137">
        <f>1000*4+500</f>
        <v>4500</v>
      </c>
      <c r="W72" s="137">
        <f>500*2</f>
        <v>1000</v>
      </c>
      <c r="X72" s="137"/>
      <c r="Y72" s="137"/>
      <c r="Z72" s="137"/>
      <c r="AA72" s="137"/>
      <c r="AB72" s="137">
        <v>500</v>
      </c>
      <c r="AC72" s="137"/>
      <c r="AD72" s="137"/>
      <c r="AE72" s="137"/>
      <c r="AF72" s="137"/>
      <c r="AG72" s="137"/>
      <c r="AH72" s="137"/>
    </row>
    <row r="73" spans="2:34" x14ac:dyDescent="0.2">
      <c r="B73" s="134" t="s">
        <v>95</v>
      </c>
      <c r="C73" s="134">
        <f t="shared" ref="C73:C75" si="19">SUM(D73:AH73)</f>
        <v>147.01999999999998</v>
      </c>
      <c r="D73" s="137"/>
      <c r="E73" s="137"/>
      <c r="F73" s="137"/>
      <c r="G73" s="137"/>
      <c r="H73" s="137">
        <v>38.26</v>
      </c>
      <c r="I73" s="137"/>
      <c r="J73" s="137"/>
      <c r="K73" s="137"/>
      <c r="L73" s="137">
        <v>39.75</v>
      </c>
      <c r="M73" s="137">
        <v>39.76</v>
      </c>
      <c r="N73" s="137"/>
      <c r="O73" s="137"/>
      <c r="P73" s="137"/>
      <c r="Q73" s="137"/>
      <c r="R73" s="137"/>
      <c r="S73" s="137"/>
      <c r="T73" s="137"/>
      <c r="U73" s="137"/>
      <c r="V73" s="137">
        <v>29.25</v>
      </c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2:34" x14ac:dyDescent="0.2">
      <c r="B74" s="134" t="s">
        <v>96</v>
      </c>
      <c r="C74" s="134">
        <f t="shared" si="19"/>
        <v>294.05</v>
      </c>
      <c r="D74" s="137"/>
      <c r="E74" s="137"/>
      <c r="F74" s="137"/>
      <c r="G74" s="137"/>
      <c r="H74" s="137">
        <v>76.510000000000005</v>
      </c>
      <c r="I74" s="137"/>
      <c r="J74" s="137"/>
      <c r="K74" s="137"/>
      <c r="L74" s="137">
        <v>79.510000000000005</v>
      </c>
      <c r="M74" s="137">
        <v>79.52</v>
      </c>
      <c r="N74" s="137"/>
      <c r="O74" s="137"/>
      <c r="P74" s="137"/>
      <c r="Q74" s="137"/>
      <c r="R74" s="137"/>
      <c r="S74" s="137"/>
      <c r="T74" s="137"/>
      <c r="U74" s="137"/>
      <c r="V74" s="137">
        <v>58.51</v>
      </c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2:34" x14ac:dyDescent="0.2">
      <c r="B75" s="134" t="s">
        <v>98</v>
      </c>
      <c r="C75" s="134">
        <f t="shared" si="19"/>
        <v>0</v>
      </c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2:34" x14ac:dyDescent="0.2">
      <c r="B76" s="167" t="s">
        <v>105</v>
      </c>
      <c r="C76" s="135">
        <f>SUM(C72:C75)</f>
        <v>16941.07</v>
      </c>
    </row>
    <row r="77" spans="2:34" x14ac:dyDescent="0.2">
      <c r="B77" s="121" t="s">
        <v>101</v>
      </c>
      <c r="C77" s="136">
        <f>C71-C76</f>
        <v>1048203.4900000006</v>
      </c>
    </row>
    <row r="78" spans="2:34" x14ac:dyDescent="0.2">
      <c r="C78" s="159"/>
    </row>
    <row r="80" spans="2:34" ht="12.75" customHeight="1" x14ac:dyDescent="0.2">
      <c r="B80" s="245" t="s">
        <v>106</v>
      </c>
      <c r="C80" s="245"/>
    </row>
    <row r="81" spans="2:3" x14ac:dyDescent="0.2">
      <c r="B81" s="245"/>
      <c r="C81" s="245"/>
    </row>
    <row r="82" spans="2:3" x14ac:dyDescent="0.2">
      <c r="B82" s="245"/>
      <c r="C82" s="245"/>
    </row>
    <row r="83" spans="2:3" x14ac:dyDescent="0.2">
      <c r="B83" s="245"/>
      <c r="C83" s="245"/>
    </row>
    <row r="84" spans="2:3" x14ac:dyDescent="0.2">
      <c r="B84" s="245"/>
      <c r="C84" s="245"/>
    </row>
    <row r="85" spans="2:3" x14ac:dyDescent="0.2">
      <c r="B85" s="245"/>
      <c r="C85" s="245"/>
    </row>
    <row r="86" spans="2:3" x14ac:dyDescent="0.2">
      <c r="B86" s="245"/>
      <c r="C86" s="245"/>
    </row>
    <row r="87" spans="2:3" x14ac:dyDescent="0.2">
      <c r="B87" s="245"/>
      <c r="C87" s="245"/>
    </row>
  </sheetData>
  <mergeCells count="1">
    <mergeCell ref="B80:C8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552B-EE40-43DA-8D91-680AD527BCC1}">
  <dimension ref="A1:BV174"/>
  <sheetViews>
    <sheetView workbookViewId="0">
      <pane xSplit="1" ySplit="3" topLeftCell="B152" activePane="bottomRight" state="frozen"/>
      <selection pane="topRight" activeCell="B1" sqref="B1"/>
      <selection pane="bottomLeft" activeCell="A4" sqref="A4"/>
      <selection pane="bottomRight" activeCell="F172" sqref="F172"/>
    </sheetView>
  </sheetViews>
  <sheetFormatPr defaultColWidth="9" defaultRowHeight="12.75" x14ac:dyDescent="0.2"/>
  <cols>
    <col min="1" max="1" width="13.42578125" customWidth="1"/>
    <col min="2" max="2" width="25.7109375" customWidth="1"/>
    <col min="3" max="3" width="49.140625" customWidth="1"/>
    <col min="4" max="4" width="22.42578125" customWidth="1"/>
  </cols>
  <sheetData>
    <row r="1" spans="1:74" x14ac:dyDescent="0.2">
      <c r="A1" s="195" t="s">
        <v>149</v>
      </c>
      <c r="B1" s="195"/>
      <c r="C1" s="196"/>
    </row>
    <row r="2" spans="1:74" x14ac:dyDescent="0.2">
      <c r="A2" s="196"/>
      <c r="B2" s="197"/>
      <c r="C2" s="198"/>
    </row>
    <row r="3" spans="1:74" x14ac:dyDescent="0.2">
      <c r="A3" s="199" t="s">
        <v>150</v>
      </c>
      <c r="B3" s="199" t="s">
        <v>151</v>
      </c>
      <c r="C3" s="199" t="s">
        <v>152</v>
      </c>
      <c r="D3" s="199" t="s">
        <v>153</v>
      </c>
    </row>
    <row r="4" spans="1:74" x14ac:dyDescent="0.2">
      <c r="A4" s="200">
        <f t="shared" ref="A4:A35" si="0">ROW()-ROW($A$3)</f>
        <v>1</v>
      </c>
      <c r="B4" s="201" t="s">
        <v>154</v>
      </c>
      <c r="C4" s="202">
        <v>899.48140739999997</v>
      </c>
      <c r="D4" s="202">
        <v>188953863</v>
      </c>
    </row>
    <row r="5" spans="1:74" x14ac:dyDescent="0.2">
      <c r="A5" s="200">
        <f t="shared" si="0"/>
        <v>2</v>
      </c>
      <c r="B5" s="201" t="s">
        <v>155</v>
      </c>
      <c r="C5" s="202">
        <v>899.48140739999997</v>
      </c>
      <c r="D5" s="202"/>
    </row>
    <row r="6" spans="1:74" x14ac:dyDescent="0.2">
      <c r="A6" s="200">
        <f t="shared" si="0"/>
        <v>3</v>
      </c>
      <c r="B6" s="201" t="s">
        <v>156</v>
      </c>
      <c r="C6" s="202">
        <v>899.48140739999997</v>
      </c>
      <c r="D6" s="202"/>
    </row>
    <row r="7" spans="1:74" x14ac:dyDescent="0.2">
      <c r="A7" s="200">
        <f t="shared" si="0"/>
        <v>4</v>
      </c>
      <c r="B7" s="201" t="s">
        <v>157</v>
      </c>
      <c r="C7" s="202">
        <v>899.48140739999997</v>
      </c>
      <c r="D7" s="202"/>
    </row>
    <row r="8" spans="1:74" x14ac:dyDescent="0.2">
      <c r="A8" s="200">
        <f t="shared" si="0"/>
        <v>5</v>
      </c>
      <c r="B8" s="201" t="s">
        <v>158</v>
      </c>
      <c r="C8" s="202">
        <v>899.48140739999997</v>
      </c>
      <c r="D8" s="202"/>
    </row>
    <row r="9" spans="1:74" x14ac:dyDescent="0.2">
      <c r="A9" s="200">
        <f t="shared" si="0"/>
        <v>6</v>
      </c>
      <c r="B9" s="201" t="s">
        <v>159</v>
      </c>
      <c r="C9" s="202">
        <v>899.48140739999997</v>
      </c>
      <c r="D9" s="202"/>
    </row>
    <row r="10" spans="1:74" x14ac:dyDescent="0.2">
      <c r="A10" s="200">
        <f t="shared" si="0"/>
        <v>7</v>
      </c>
      <c r="B10" s="201" t="s">
        <v>160</v>
      </c>
      <c r="C10" s="202">
        <v>899.48140739999997</v>
      </c>
      <c r="D10" s="202"/>
    </row>
    <row r="11" spans="1:74" x14ac:dyDescent="0.2">
      <c r="A11" s="200">
        <f t="shared" si="0"/>
        <v>8</v>
      </c>
      <c r="B11" s="201" t="s">
        <v>161</v>
      </c>
      <c r="C11" s="202">
        <v>899.48140739999997</v>
      </c>
      <c r="D11" s="202"/>
    </row>
    <row r="12" spans="1:74" x14ac:dyDescent="0.2">
      <c r="A12" s="200">
        <f t="shared" si="0"/>
        <v>9</v>
      </c>
      <c r="B12" s="201" t="s">
        <v>162</v>
      </c>
      <c r="C12" s="202">
        <v>899.48140739999997</v>
      </c>
      <c r="D12" s="202"/>
    </row>
    <row r="13" spans="1:74" x14ac:dyDescent="0.2">
      <c r="A13" s="200">
        <f t="shared" si="0"/>
        <v>10</v>
      </c>
      <c r="B13" s="201" t="s">
        <v>163</v>
      </c>
      <c r="C13" s="202">
        <v>899.48140739999997</v>
      </c>
      <c r="D13" s="202"/>
    </row>
    <row r="14" spans="1:74" s="203" customFormat="1" x14ac:dyDescent="0.2">
      <c r="A14" s="204">
        <f t="shared" si="0"/>
        <v>11</v>
      </c>
      <c r="B14" s="205" t="s">
        <v>164</v>
      </c>
      <c r="C14" s="206">
        <v>899.90022020000004</v>
      </c>
      <c r="D14" s="206">
        <f>444211083.16+7000000+17623000</f>
        <v>468834083.16000003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4" x14ac:dyDescent="0.2">
      <c r="A15" s="200">
        <f t="shared" si="0"/>
        <v>12</v>
      </c>
      <c r="B15" s="201" t="s">
        <v>165</v>
      </c>
      <c r="C15" s="202">
        <v>899.90022020000004</v>
      </c>
      <c r="D15" s="202"/>
    </row>
    <row r="16" spans="1:74" x14ac:dyDescent="0.2">
      <c r="A16" s="200">
        <f t="shared" si="0"/>
        <v>13</v>
      </c>
      <c r="B16" s="201" t="s">
        <v>166</v>
      </c>
      <c r="C16" s="202">
        <v>899.90022020000004</v>
      </c>
      <c r="D16" s="202"/>
    </row>
    <row r="17" spans="1:74" x14ac:dyDescent="0.2">
      <c r="A17" s="200">
        <f t="shared" si="0"/>
        <v>14</v>
      </c>
      <c r="B17" s="201" t="s">
        <v>167</v>
      </c>
      <c r="C17" s="202">
        <v>899.90022020000004</v>
      </c>
      <c r="D17" s="202"/>
    </row>
    <row r="18" spans="1:74" s="203" customFormat="1" x14ac:dyDescent="0.2">
      <c r="A18" s="204">
        <f t="shared" si="0"/>
        <v>15</v>
      </c>
      <c r="B18" s="205" t="s">
        <v>168</v>
      </c>
      <c r="C18" s="206">
        <v>906.51689669999996</v>
      </c>
      <c r="D18" s="20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x14ac:dyDescent="0.2">
      <c r="A19" s="200">
        <f t="shared" si="0"/>
        <v>16</v>
      </c>
      <c r="B19" s="201" t="s">
        <v>169</v>
      </c>
      <c r="C19" s="202">
        <v>906.51689669999996</v>
      </c>
      <c r="D19" s="202"/>
    </row>
    <row r="20" spans="1:74" s="203" customFormat="1" x14ac:dyDescent="0.2">
      <c r="A20" s="204">
        <f t="shared" si="0"/>
        <v>17</v>
      </c>
      <c r="B20" s="205" t="s">
        <v>170</v>
      </c>
      <c r="C20" s="206">
        <v>907.51481650000005</v>
      </c>
      <c r="D20" s="20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x14ac:dyDescent="0.2">
      <c r="A21" s="200">
        <f t="shared" si="0"/>
        <v>18</v>
      </c>
      <c r="B21" s="201" t="s">
        <v>171</v>
      </c>
      <c r="C21" s="202">
        <v>907.51481650000005</v>
      </c>
      <c r="D21" s="202"/>
    </row>
    <row r="22" spans="1:74" x14ac:dyDescent="0.2">
      <c r="A22" s="200">
        <f t="shared" si="0"/>
        <v>19</v>
      </c>
      <c r="B22" s="201" t="s">
        <v>172</v>
      </c>
      <c r="C22" s="202">
        <v>907.51481650000005</v>
      </c>
      <c r="D22" s="202"/>
    </row>
    <row r="23" spans="1:74" x14ac:dyDescent="0.2">
      <c r="A23" s="200">
        <f t="shared" si="0"/>
        <v>20</v>
      </c>
      <c r="B23" s="201" t="s">
        <v>173</v>
      </c>
      <c r="C23" s="202">
        <v>907.51481650000005</v>
      </c>
      <c r="D23" s="202"/>
    </row>
    <row r="24" spans="1:74" x14ac:dyDescent="0.2">
      <c r="A24" s="200">
        <f t="shared" si="0"/>
        <v>21</v>
      </c>
      <c r="B24" s="201" t="s">
        <v>174</v>
      </c>
      <c r="C24" s="202">
        <v>907.51481650000005</v>
      </c>
      <c r="D24" s="202"/>
    </row>
    <row r="25" spans="1:74" s="203" customFormat="1" x14ac:dyDescent="0.2">
      <c r="A25" s="204">
        <f t="shared" si="0"/>
        <v>22</v>
      </c>
      <c r="B25" s="205" t="s">
        <v>175</v>
      </c>
      <c r="C25" s="206">
        <v>917.73583350000001</v>
      </c>
      <c r="D25" s="20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x14ac:dyDescent="0.2">
      <c r="A26" s="200">
        <f t="shared" si="0"/>
        <v>23</v>
      </c>
      <c r="B26" s="201" t="s">
        <v>176</v>
      </c>
      <c r="C26" s="202">
        <v>917.73583350000001</v>
      </c>
      <c r="D26" s="202"/>
    </row>
    <row r="27" spans="1:74" x14ac:dyDescent="0.2">
      <c r="A27" s="200">
        <f t="shared" si="0"/>
        <v>24</v>
      </c>
      <c r="B27" s="201" t="s">
        <v>177</v>
      </c>
      <c r="C27" s="202">
        <v>917.73583350000001</v>
      </c>
      <c r="D27" s="212">
        <f>280426635.4+6638332</f>
        <v>287064967.39999998</v>
      </c>
    </row>
    <row r="28" spans="1:74" x14ac:dyDescent="0.2">
      <c r="A28" s="200">
        <f t="shared" si="0"/>
        <v>25</v>
      </c>
      <c r="B28" s="201" t="s">
        <v>178</v>
      </c>
      <c r="C28" s="202">
        <v>917.73583350000001</v>
      </c>
      <c r="D28" s="212"/>
    </row>
    <row r="29" spans="1:74" x14ac:dyDescent="0.2">
      <c r="A29" s="200">
        <f t="shared" si="0"/>
        <v>26</v>
      </c>
      <c r="B29" s="201" t="s">
        <v>179</v>
      </c>
      <c r="C29" s="202">
        <v>917.73583350000001</v>
      </c>
      <c r="D29" s="202"/>
    </row>
    <row r="30" spans="1:74" x14ac:dyDescent="0.2">
      <c r="A30" s="200">
        <f t="shared" si="0"/>
        <v>27</v>
      </c>
      <c r="B30" s="201" t="s">
        <v>180</v>
      </c>
      <c r="C30" s="202">
        <v>917.73583350000001</v>
      </c>
      <c r="D30" s="202"/>
    </row>
    <row r="31" spans="1:74" x14ac:dyDescent="0.2">
      <c r="A31" s="200">
        <f t="shared" si="0"/>
        <v>28</v>
      </c>
      <c r="B31" s="201" t="s">
        <v>181</v>
      </c>
      <c r="C31" s="202">
        <v>917.73583350000001</v>
      </c>
      <c r="D31" s="202"/>
    </row>
    <row r="32" spans="1:74" s="203" customFormat="1" x14ac:dyDescent="0.2">
      <c r="A32" s="204">
        <f t="shared" si="0"/>
        <v>29</v>
      </c>
      <c r="B32" s="205" t="s">
        <v>182</v>
      </c>
      <c r="C32" s="206">
        <v>928.53606060000004</v>
      </c>
      <c r="D32" s="206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x14ac:dyDescent="0.2">
      <c r="A33" s="200">
        <f t="shared" si="0"/>
        <v>30</v>
      </c>
      <c r="B33" s="201" t="s">
        <v>183</v>
      </c>
      <c r="C33" s="202">
        <v>928.53606060000004</v>
      </c>
      <c r="D33" s="202"/>
    </row>
    <row r="34" spans="1:74" x14ac:dyDescent="0.2">
      <c r="A34" s="200">
        <f t="shared" si="0"/>
        <v>31</v>
      </c>
      <c r="B34" s="201" t="s">
        <v>184</v>
      </c>
      <c r="C34" s="202">
        <v>928.53606060000004</v>
      </c>
      <c r="D34" s="202"/>
    </row>
    <row r="35" spans="1:74" x14ac:dyDescent="0.2">
      <c r="A35" s="200">
        <f t="shared" si="0"/>
        <v>32</v>
      </c>
      <c r="B35" s="201" t="s">
        <v>185</v>
      </c>
      <c r="C35" s="202">
        <v>928.53606060000004</v>
      </c>
      <c r="D35" s="202"/>
    </row>
    <row r="36" spans="1:74" x14ac:dyDescent="0.2">
      <c r="A36" s="200">
        <f t="shared" ref="A36:A67" si="1">ROW()-ROW($A$3)</f>
        <v>33</v>
      </c>
      <c r="B36" s="201" t="s">
        <v>186</v>
      </c>
      <c r="C36" s="202">
        <v>928.53606060000004</v>
      </c>
      <c r="D36" s="202"/>
    </row>
    <row r="37" spans="1:74" x14ac:dyDescent="0.2">
      <c r="A37" s="200">
        <f t="shared" si="1"/>
        <v>34</v>
      </c>
      <c r="B37" s="201" t="s">
        <v>187</v>
      </c>
      <c r="C37" s="202">
        <v>928.53606060000004</v>
      </c>
      <c r="D37" s="202"/>
    </row>
    <row r="38" spans="1:74" x14ac:dyDescent="0.2">
      <c r="A38" s="200">
        <f t="shared" si="1"/>
        <v>35</v>
      </c>
      <c r="B38" s="201" t="s">
        <v>188</v>
      </c>
      <c r="C38" s="202">
        <v>928.53606060000004</v>
      </c>
      <c r="D38" s="202"/>
    </row>
    <row r="39" spans="1:74" s="203" customFormat="1" x14ac:dyDescent="0.2">
      <c r="A39" s="204">
        <f t="shared" si="1"/>
        <v>36</v>
      </c>
      <c r="B39" s="205" t="s">
        <v>189</v>
      </c>
      <c r="C39" s="206">
        <v>933.66718049999997</v>
      </c>
      <c r="D39" s="206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x14ac:dyDescent="0.2">
      <c r="A40" s="200">
        <f t="shared" si="1"/>
        <v>37</v>
      </c>
      <c r="B40" s="201" t="s">
        <v>190</v>
      </c>
      <c r="C40" s="202">
        <v>933.66718049999997</v>
      </c>
      <c r="D40" s="202"/>
    </row>
    <row r="41" spans="1:74" x14ac:dyDescent="0.2">
      <c r="A41" s="200">
        <f t="shared" si="1"/>
        <v>38</v>
      </c>
      <c r="B41" s="201" t="s">
        <v>191</v>
      </c>
      <c r="C41" s="202">
        <v>933.66718049999997</v>
      </c>
      <c r="D41" s="212">
        <f>231367709.66+10000000+1000000</f>
        <v>242367709.66</v>
      </c>
    </row>
    <row r="42" spans="1:74" x14ac:dyDescent="0.2">
      <c r="A42" s="200">
        <f t="shared" si="1"/>
        <v>39</v>
      </c>
      <c r="B42" s="201" t="s">
        <v>192</v>
      </c>
      <c r="C42" s="202">
        <v>933.66718049999997</v>
      </c>
      <c r="D42" s="202"/>
    </row>
    <row r="43" spans="1:74" x14ac:dyDescent="0.2">
      <c r="A43" s="200">
        <f t="shared" si="1"/>
        <v>40</v>
      </c>
      <c r="B43" s="201" t="s">
        <v>193</v>
      </c>
      <c r="C43" s="202">
        <v>933.66718049999997</v>
      </c>
      <c r="D43" s="202"/>
    </row>
    <row r="44" spans="1:74" x14ac:dyDescent="0.2">
      <c r="A44" s="200">
        <f t="shared" si="1"/>
        <v>41</v>
      </c>
      <c r="B44" s="201" t="s">
        <v>194</v>
      </c>
      <c r="C44" s="202">
        <v>933.66718049999997</v>
      </c>
      <c r="D44" s="202"/>
    </row>
    <row r="45" spans="1:74" x14ac:dyDescent="0.2">
      <c r="A45" s="200">
        <f t="shared" si="1"/>
        <v>42</v>
      </c>
      <c r="B45" s="201" t="s">
        <v>195</v>
      </c>
      <c r="C45" s="202">
        <v>933.66718049999997</v>
      </c>
      <c r="D45" s="202"/>
    </row>
    <row r="46" spans="1:74" s="203" customFormat="1" x14ac:dyDescent="0.2">
      <c r="A46" s="204">
        <f t="shared" si="1"/>
        <v>43</v>
      </c>
      <c r="B46" s="205" t="s">
        <v>196</v>
      </c>
      <c r="C46" s="206">
        <v>933.55002820000004</v>
      </c>
      <c r="D46" s="20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x14ac:dyDescent="0.2">
      <c r="A47" s="200">
        <f t="shared" si="1"/>
        <v>44</v>
      </c>
      <c r="B47" s="201" t="s">
        <v>197</v>
      </c>
      <c r="C47" s="202">
        <v>933.55002820000004</v>
      </c>
      <c r="D47" s="202"/>
    </row>
    <row r="48" spans="1:74" x14ac:dyDescent="0.2">
      <c r="A48" s="200">
        <f t="shared" si="1"/>
        <v>45</v>
      </c>
      <c r="B48" s="201" t="s">
        <v>198</v>
      </c>
      <c r="C48" s="202">
        <v>933.55002820000004</v>
      </c>
      <c r="D48" s="202"/>
    </row>
    <row r="49" spans="1:74" x14ac:dyDescent="0.2">
      <c r="A49" s="200">
        <f t="shared" si="1"/>
        <v>46</v>
      </c>
      <c r="B49" s="201" t="s">
        <v>199</v>
      </c>
      <c r="C49" s="202">
        <v>933.55002820000004</v>
      </c>
      <c r="D49" s="202"/>
    </row>
    <row r="50" spans="1:74" s="203" customFormat="1" x14ac:dyDescent="0.2">
      <c r="A50" s="204">
        <f t="shared" si="1"/>
        <v>47</v>
      </c>
      <c r="B50" s="205" t="s">
        <v>200</v>
      </c>
      <c r="C50" s="206">
        <v>932.65451619999999</v>
      </c>
      <c r="D50" s="206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x14ac:dyDescent="0.2">
      <c r="A51" s="200">
        <f t="shared" si="1"/>
        <v>48</v>
      </c>
      <c r="B51" s="201" t="s">
        <v>201</v>
      </c>
      <c r="C51" s="202">
        <v>932.65451619999999</v>
      </c>
      <c r="D51" s="202"/>
    </row>
    <row r="52" spans="1:74" x14ac:dyDescent="0.2">
      <c r="A52" s="200">
        <f t="shared" si="1"/>
        <v>49</v>
      </c>
      <c r="B52" s="201" t="s">
        <v>202</v>
      </c>
      <c r="C52" s="202">
        <v>932.65451619999999</v>
      </c>
      <c r="D52" s="202"/>
    </row>
    <row r="53" spans="1:74" x14ac:dyDescent="0.2">
      <c r="A53" s="200">
        <f t="shared" si="1"/>
        <v>50</v>
      </c>
      <c r="B53" s="201" t="s">
        <v>203</v>
      </c>
      <c r="C53" s="202">
        <v>932.65451619999999</v>
      </c>
      <c r="D53" s="202"/>
    </row>
    <row r="54" spans="1:74" s="203" customFormat="1" x14ac:dyDescent="0.2">
      <c r="A54" s="204">
        <f t="shared" si="1"/>
        <v>51</v>
      </c>
      <c r="B54" s="205" t="s">
        <v>204</v>
      </c>
      <c r="C54" s="206">
        <v>930.2833736</v>
      </c>
      <c r="D54" s="206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2">
      <c r="A55" s="200">
        <f t="shared" si="1"/>
        <v>52</v>
      </c>
      <c r="B55" s="201" t="s">
        <v>205</v>
      </c>
      <c r="C55" s="202">
        <v>930.2833736</v>
      </c>
      <c r="D55" s="212">
        <f>223732852.63</f>
        <v>223732852.63</v>
      </c>
    </row>
    <row r="56" spans="1:74" x14ac:dyDescent="0.2">
      <c r="A56" s="200">
        <f t="shared" si="1"/>
        <v>53</v>
      </c>
      <c r="B56" s="201">
        <v>44322</v>
      </c>
      <c r="C56" s="202">
        <v>930.2833736</v>
      </c>
      <c r="D56" s="202"/>
    </row>
    <row r="57" spans="1:74" x14ac:dyDescent="0.2">
      <c r="A57" s="200">
        <f t="shared" si="1"/>
        <v>54</v>
      </c>
      <c r="B57" s="201">
        <v>44323</v>
      </c>
      <c r="C57" s="202">
        <v>930.2833736</v>
      </c>
      <c r="D57" s="202"/>
    </row>
    <row r="58" spans="1:74" x14ac:dyDescent="0.2">
      <c r="A58" s="200">
        <f t="shared" si="1"/>
        <v>55</v>
      </c>
      <c r="B58" s="201">
        <v>44324</v>
      </c>
      <c r="C58" s="202">
        <v>930.2833736</v>
      </c>
      <c r="D58" s="202"/>
    </row>
    <row r="59" spans="1:74" x14ac:dyDescent="0.2">
      <c r="A59" s="200">
        <f t="shared" si="1"/>
        <v>56</v>
      </c>
      <c r="B59" s="201">
        <v>44325</v>
      </c>
      <c r="C59" s="202">
        <v>930.2833736</v>
      </c>
      <c r="D59" s="202"/>
    </row>
    <row r="60" spans="1:74" x14ac:dyDescent="0.2">
      <c r="A60" s="200">
        <f t="shared" si="1"/>
        <v>57</v>
      </c>
      <c r="B60" s="201">
        <v>44326</v>
      </c>
      <c r="C60" s="202">
        <v>930.2833736</v>
      </c>
      <c r="D60" s="202"/>
    </row>
    <row r="61" spans="1:74" s="203" customFormat="1" x14ac:dyDescent="0.2">
      <c r="A61" s="204">
        <f t="shared" si="1"/>
        <v>58</v>
      </c>
      <c r="B61" s="205">
        <v>44327</v>
      </c>
      <c r="C61" s="206">
        <v>930.10396579999997</v>
      </c>
      <c r="D61" s="206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">
      <c r="A62" s="200">
        <f t="shared" si="1"/>
        <v>59</v>
      </c>
      <c r="B62" s="201">
        <v>44328</v>
      </c>
      <c r="C62" s="202">
        <v>930.10396579999997</v>
      </c>
      <c r="D62" s="202"/>
    </row>
    <row r="63" spans="1:74" x14ac:dyDescent="0.2">
      <c r="A63" s="200">
        <f t="shared" si="1"/>
        <v>60</v>
      </c>
      <c r="B63" s="201">
        <v>44329</v>
      </c>
      <c r="C63" s="202">
        <v>930.10396579999997</v>
      </c>
      <c r="D63" s="202"/>
    </row>
    <row r="64" spans="1:74" x14ac:dyDescent="0.2">
      <c r="A64" s="200">
        <f t="shared" si="1"/>
        <v>61</v>
      </c>
      <c r="B64" s="201">
        <v>44330</v>
      </c>
      <c r="C64" s="202">
        <v>930.10396579999997</v>
      </c>
      <c r="D64" s="202"/>
    </row>
    <row r="65" spans="1:74" x14ac:dyDescent="0.2">
      <c r="A65" s="200">
        <f t="shared" si="1"/>
        <v>62</v>
      </c>
      <c r="B65" s="201">
        <v>44331</v>
      </c>
      <c r="C65" s="202">
        <v>930.10396579999997</v>
      </c>
      <c r="D65" s="202"/>
    </row>
    <row r="66" spans="1:74" x14ac:dyDescent="0.2">
      <c r="A66" s="200">
        <f t="shared" si="1"/>
        <v>63</v>
      </c>
      <c r="B66" s="201">
        <v>44332</v>
      </c>
      <c r="C66" s="202">
        <v>930.10396579999997</v>
      </c>
      <c r="D66" s="202"/>
    </row>
    <row r="67" spans="1:74" s="203" customFormat="1" x14ac:dyDescent="0.2">
      <c r="A67" s="204">
        <f t="shared" si="1"/>
        <v>64</v>
      </c>
      <c r="B67" s="205">
        <v>44333</v>
      </c>
      <c r="C67" s="206">
        <v>928.95733800000005</v>
      </c>
      <c r="D67" s="206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x14ac:dyDescent="0.2">
      <c r="A68" s="200">
        <f t="shared" ref="A68:A91" si="2">ROW()-ROW($A$3)</f>
        <v>65</v>
      </c>
      <c r="B68" s="201">
        <v>44334</v>
      </c>
      <c r="C68" s="202">
        <v>928.95733800000005</v>
      </c>
      <c r="D68" s="202"/>
    </row>
    <row r="69" spans="1:74" x14ac:dyDescent="0.2">
      <c r="A69" s="200">
        <f t="shared" si="2"/>
        <v>66</v>
      </c>
      <c r="B69" s="201">
        <v>44335</v>
      </c>
      <c r="C69" s="202">
        <v>928.95733800000005</v>
      </c>
      <c r="D69" s="202"/>
    </row>
    <row r="70" spans="1:74" x14ac:dyDescent="0.2">
      <c r="A70" s="200">
        <f t="shared" si="2"/>
        <v>67</v>
      </c>
      <c r="B70" s="201">
        <v>44336</v>
      </c>
      <c r="C70" s="202">
        <v>928.95733800000005</v>
      </c>
      <c r="D70" s="202"/>
    </row>
    <row r="71" spans="1:74" x14ac:dyDescent="0.2">
      <c r="A71" s="200">
        <f t="shared" si="2"/>
        <v>68</v>
      </c>
      <c r="B71" s="201">
        <v>44337</v>
      </c>
      <c r="C71" s="202">
        <v>928.95733800000005</v>
      </c>
      <c r="D71" s="202"/>
    </row>
    <row r="72" spans="1:74" x14ac:dyDescent="0.2">
      <c r="A72" s="200">
        <f t="shared" si="2"/>
        <v>69</v>
      </c>
      <c r="B72" s="201">
        <v>44338</v>
      </c>
      <c r="C72" s="202">
        <v>928.95733800000005</v>
      </c>
      <c r="D72" s="202"/>
    </row>
    <row r="73" spans="1:74" x14ac:dyDescent="0.2">
      <c r="A73" s="200">
        <f t="shared" si="2"/>
        <v>70</v>
      </c>
      <c r="B73" s="201">
        <v>44339</v>
      </c>
      <c r="C73" s="202">
        <v>928.95733800000005</v>
      </c>
      <c r="D73" s="202"/>
    </row>
    <row r="74" spans="1:74" s="203" customFormat="1" x14ac:dyDescent="0.2">
      <c r="A74" s="204">
        <f t="shared" si="2"/>
        <v>71</v>
      </c>
      <c r="B74" s="205">
        <v>44340</v>
      </c>
      <c r="C74" s="206">
        <v>934.43517050000003</v>
      </c>
      <c r="D74" s="206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</row>
    <row r="75" spans="1:74" x14ac:dyDescent="0.2">
      <c r="A75" s="200">
        <f t="shared" si="2"/>
        <v>72</v>
      </c>
      <c r="B75" s="201">
        <v>44341</v>
      </c>
      <c r="C75" s="202">
        <v>934.43517050000003</v>
      </c>
      <c r="D75" s="202"/>
    </row>
    <row r="76" spans="1:74" x14ac:dyDescent="0.2">
      <c r="A76" s="200">
        <f t="shared" si="2"/>
        <v>73</v>
      </c>
      <c r="B76" s="201">
        <v>44342</v>
      </c>
      <c r="C76" s="202">
        <v>934.43517050000003</v>
      </c>
      <c r="D76" s="202"/>
    </row>
    <row r="77" spans="1:74" x14ac:dyDescent="0.2">
      <c r="A77" s="200">
        <f t="shared" si="2"/>
        <v>74</v>
      </c>
      <c r="B77" s="201">
        <v>44343</v>
      </c>
      <c r="C77" s="202">
        <v>934.43517050000003</v>
      </c>
      <c r="D77" s="212">
        <v>124479597.64</v>
      </c>
    </row>
    <row r="78" spans="1:74" x14ac:dyDescent="0.2">
      <c r="A78" s="200">
        <f t="shared" si="2"/>
        <v>75</v>
      </c>
      <c r="B78" s="201">
        <v>44344</v>
      </c>
      <c r="C78" s="202">
        <v>934.43517050000003</v>
      </c>
      <c r="D78" s="202"/>
    </row>
    <row r="79" spans="1:74" x14ac:dyDescent="0.2">
      <c r="A79" s="200">
        <f t="shared" si="2"/>
        <v>76</v>
      </c>
      <c r="B79" s="201">
        <v>44345</v>
      </c>
      <c r="C79" s="202">
        <v>934.43517050000003</v>
      </c>
      <c r="D79" s="202"/>
    </row>
    <row r="80" spans="1:74" x14ac:dyDescent="0.2">
      <c r="A80" s="200">
        <f t="shared" si="2"/>
        <v>77</v>
      </c>
      <c r="B80" s="201">
        <v>44346</v>
      </c>
      <c r="C80" s="202">
        <v>934.43517050000003</v>
      </c>
      <c r="D80" s="202"/>
    </row>
    <row r="81" spans="1:74" s="203" customFormat="1" x14ac:dyDescent="0.2">
      <c r="A81" s="204">
        <f t="shared" si="2"/>
        <v>78</v>
      </c>
      <c r="B81" s="205">
        <v>44347</v>
      </c>
      <c r="C81" s="206">
        <v>941.57909600000005</v>
      </c>
      <c r="D81" s="206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x14ac:dyDescent="0.2">
      <c r="A82" s="200">
        <f t="shared" si="2"/>
        <v>79</v>
      </c>
      <c r="B82" s="201">
        <v>44348</v>
      </c>
      <c r="C82" s="202">
        <v>941.57909600000005</v>
      </c>
      <c r="D82" s="202"/>
    </row>
    <row r="83" spans="1:74" x14ac:dyDescent="0.2">
      <c r="A83" s="200">
        <f t="shared" si="2"/>
        <v>80</v>
      </c>
      <c r="B83" s="201">
        <v>44349</v>
      </c>
      <c r="C83" s="202">
        <v>941.57909600000005</v>
      </c>
      <c r="D83" s="202"/>
    </row>
    <row r="84" spans="1:74" x14ac:dyDescent="0.2">
      <c r="A84" s="200">
        <f t="shared" si="2"/>
        <v>81</v>
      </c>
      <c r="B84" s="201">
        <v>44350</v>
      </c>
      <c r="C84" s="202">
        <v>941.57909600000005</v>
      </c>
      <c r="D84" s="202"/>
    </row>
    <row r="85" spans="1:74" x14ac:dyDescent="0.2">
      <c r="A85" s="200">
        <f t="shared" si="2"/>
        <v>82</v>
      </c>
      <c r="B85" s="201">
        <v>44351</v>
      </c>
      <c r="C85" s="202">
        <v>941.57909600000005</v>
      </c>
      <c r="D85" s="202"/>
    </row>
    <row r="86" spans="1:74" x14ac:dyDescent="0.2">
      <c r="A86" s="200">
        <f t="shared" si="2"/>
        <v>83</v>
      </c>
      <c r="B86" s="201">
        <v>44352</v>
      </c>
      <c r="C86" s="202">
        <v>941.57909600000005</v>
      </c>
      <c r="D86" s="202"/>
    </row>
    <row r="87" spans="1:74" x14ac:dyDescent="0.2">
      <c r="A87" s="200">
        <f t="shared" si="2"/>
        <v>84</v>
      </c>
      <c r="B87" s="201">
        <v>44353</v>
      </c>
      <c r="C87" s="202">
        <v>941.57909600000005</v>
      </c>
      <c r="D87" s="202"/>
    </row>
    <row r="88" spans="1:74" s="203" customFormat="1" x14ac:dyDescent="0.2">
      <c r="A88" s="204">
        <f t="shared" si="2"/>
        <v>85</v>
      </c>
      <c r="B88" s="205">
        <v>44354</v>
      </c>
      <c r="C88" s="206">
        <v>943.41050010000004</v>
      </c>
      <c r="D88" s="206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</row>
    <row r="89" spans="1:74" x14ac:dyDescent="0.2">
      <c r="A89" s="200">
        <f t="shared" si="2"/>
        <v>86</v>
      </c>
      <c r="B89" s="201">
        <v>44355</v>
      </c>
      <c r="C89" s="202">
        <v>943.41050010000004</v>
      </c>
      <c r="D89" s="202"/>
    </row>
    <row r="90" spans="1:74" x14ac:dyDescent="0.2">
      <c r="A90" s="200">
        <f t="shared" si="2"/>
        <v>87</v>
      </c>
      <c r="B90" s="201">
        <v>44356</v>
      </c>
      <c r="C90" s="202">
        <v>943.41050010000004</v>
      </c>
      <c r="D90" s="202"/>
    </row>
    <row r="91" spans="1:74" x14ac:dyDescent="0.2">
      <c r="A91" s="200">
        <f t="shared" si="2"/>
        <v>88</v>
      </c>
      <c r="B91" s="201">
        <v>44357</v>
      </c>
      <c r="C91" s="202">
        <v>943.41050010000004</v>
      </c>
      <c r="D91" s="212">
        <v>143238167</v>
      </c>
    </row>
    <row r="92" spans="1:74" x14ac:dyDescent="0.2">
      <c r="A92" s="200">
        <f t="shared" ref="A92:A155" si="3">ROW()-ROW($A$3)</f>
        <v>89</v>
      </c>
      <c r="B92" s="201">
        <v>44358</v>
      </c>
      <c r="C92" s="202">
        <v>943.41050010000004</v>
      </c>
      <c r="D92" s="202"/>
    </row>
    <row r="93" spans="1:74" x14ac:dyDescent="0.2">
      <c r="A93" s="200">
        <f t="shared" si="3"/>
        <v>90</v>
      </c>
      <c r="B93" s="201">
        <v>44359</v>
      </c>
      <c r="C93" s="202">
        <v>943.41050010000004</v>
      </c>
      <c r="D93" s="202"/>
    </row>
    <row r="94" spans="1:74" x14ac:dyDescent="0.2">
      <c r="A94" s="200">
        <f t="shared" si="3"/>
        <v>91</v>
      </c>
      <c r="B94" s="201">
        <v>44360</v>
      </c>
      <c r="C94" s="202">
        <v>943.41050010000004</v>
      </c>
      <c r="D94" s="202"/>
    </row>
    <row r="95" spans="1:74" x14ac:dyDescent="0.2">
      <c r="A95" s="204">
        <f t="shared" si="3"/>
        <v>92</v>
      </c>
      <c r="B95" s="205">
        <v>44361</v>
      </c>
      <c r="C95" s="206">
        <v>944.14588330000004</v>
      </c>
      <c r="D95" s="206"/>
    </row>
    <row r="96" spans="1:74" x14ac:dyDescent="0.2">
      <c r="A96" s="207">
        <f t="shared" si="3"/>
        <v>93</v>
      </c>
      <c r="B96" s="208">
        <v>44362</v>
      </c>
      <c r="C96" s="209">
        <v>944.14588330000004</v>
      </c>
      <c r="D96" s="209"/>
    </row>
    <row r="97" spans="1:4" x14ac:dyDescent="0.2">
      <c r="A97" s="207">
        <f t="shared" si="3"/>
        <v>94</v>
      </c>
      <c r="B97" s="208">
        <v>44363</v>
      </c>
      <c r="C97" s="209">
        <v>944.14588330000004</v>
      </c>
      <c r="D97" s="209"/>
    </row>
    <row r="98" spans="1:4" x14ac:dyDescent="0.2">
      <c r="A98" s="207">
        <f t="shared" si="3"/>
        <v>95</v>
      </c>
      <c r="B98" s="208">
        <v>44364</v>
      </c>
      <c r="C98" s="209">
        <v>944.14588330000004</v>
      </c>
      <c r="D98" s="209"/>
    </row>
    <row r="99" spans="1:4" x14ac:dyDescent="0.2">
      <c r="A99" s="207">
        <f t="shared" si="3"/>
        <v>96</v>
      </c>
      <c r="B99" s="208">
        <v>44365</v>
      </c>
      <c r="C99" s="209">
        <v>944.14588330000004</v>
      </c>
      <c r="D99" s="209"/>
    </row>
    <row r="100" spans="1:4" x14ac:dyDescent="0.2">
      <c r="A100" s="207">
        <f t="shared" si="3"/>
        <v>97</v>
      </c>
      <c r="B100" s="208">
        <v>44366</v>
      </c>
      <c r="C100" s="209">
        <v>944.14588330000004</v>
      </c>
      <c r="D100" s="209"/>
    </row>
    <row r="101" spans="1:4" x14ac:dyDescent="0.2">
      <c r="A101" s="207">
        <f t="shared" si="3"/>
        <v>98</v>
      </c>
      <c r="B101" s="208">
        <v>44367</v>
      </c>
      <c r="C101" s="209">
        <v>944.14588330000004</v>
      </c>
      <c r="D101" s="209"/>
    </row>
    <row r="102" spans="1:4" x14ac:dyDescent="0.2">
      <c r="A102" s="204">
        <f t="shared" si="3"/>
        <v>99</v>
      </c>
      <c r="B102" s="205">
        <v>44368</v>
      </c>
      <c r="C102" s="206">
        <v>928.60266630000001</v>
      </c>
      <c r="D102" s="206"/>
    </row>
    <row r="103" spans="1:4" x14ac:dyDescent="0.2">
      <c r="A103" s="207">
        <f t="shared" si="3"/>
        <v>100</v>
      </c>
      <c r="B103" s="208">
        <v>44369</v>
      </c>
      <c r="C103" s="209">
        <v>928.60266630000001</v>
      </c>
      <c r="D103" s="209"/>
    </row>
    <row r="104" spans="1:4" x14ac:dyDescent="0.2">
      <c r="A104" s="207">
        <f t="shared" si="3"/>
        <v>101</v>
      </c>
      <c r="B104" s="208">
        <v>44370</v>
      </c>
      <c r="C104" s="209">
        <v>928.60266630000001</v>
      </c>
      <c r="D104" s="209"/>
    </row>
    <row r="105" spans="1:4" x14ac:dyDescent="0.2">
      <c r="A105" s="207">
        <f t="shared" si="3"/>
        <v>102</v>
      </c>
      <c r="B105" s="208">
        <v>44371</v>
      </c>
      <c r="C105" s="209">
        <v>928.60266630000001</v>
      </c>
      <c r="D105" s="212">
        <v>150732946</v>
      </c>
    </row>
    <row r="106" spans="1:4" x14ac:dyDescent="0.2">
      <c r="A106" s="207">
        <f t="shared" si="3"/>
        <v>103</v>
      </c>
      <c r="B106" s="208">
        <v>44372</v>
      </c>
      <c r="C106" s="209">
        <v>928.60266630000001</v>
      </c>
      <c r="D106" s="209"/>
    </row>
    <row r="107" spans="1:4" x14ac:dyDescent="0.2">
      <c r="A107" s="207">
        <f t="shared" si="3"/>
        <v>104</v>
      </c>
      <c r="B107" s="208">
        <v>44373</v>
      </c>
      <c r="C107" s="209">
        <v>928.60266630000001</v>
      </c>
      <c r="D107" s="209"/>
    </row>
    <row r="108" spans="1:4" x14ac:dyDescent="0.2">
      <c r="A108" s="207">
        <f t="shared" si="3"/>
        <v>105</v>
      </c>
      <c r="B108" s="208">
        <v>44374</v>
      </c>
      <c r="C108" s="209">
        <v>928.60266630000001</v>
      </c>
      <c r="D108" s="209"/>
    </row>
    <row r="109" spans="1:4" x14ac:dyDescent="0.2">
      <c r="A109" s="204">
        <f t="shared" si="3"/>
        <v>106</v>
      </c>
      <c r="B109" s="205">
        <v>44375</v>
      </c>
      <c r="C109" s="206">
        <v>935.85550590000003</v>
      </c>
      <c r="D109" s="206"/>
    </row>
    <row r="110" spans="1:4" x14ac:dyDescent="0.2">
      <c r="A110" s="207">
        <f t="shared" si="3"/>
        <v>107</v>
      </c>
      <c r="B110" s="208">
        <v>44376</v>
      </c>
      <c r="C110" s="209">
        <v>935.85550590000003</v>
      </c>
      <c r="D110" s="209"/>
    </row>
    <row r="111" spans="1:4" x14ac:dyDescent="0.2">
      <c r="A111" s="204">
        <f t="shared" si="3"/>
        <v>108</v>
      </c>
      <c r="B111" s="205">
        <v>44377</v>
      </c>
      <c r="C111" s="206">
        <v>938.17021829999999</v>
      </c>
      <c r="D111" s="206"/>
    </row>
    <row r="112" spans="1:4" s="215" customFormat="1" x14ac:dyDescent="0.2">
      <c r="A112" s="207">
        <f t="shared" si="3"/>
        <v>109</v>
      </c>
      <c r="B112" s="208">
        <v>44378</v>
      </c>
      <c r="C112" s="209">
        <v>938.17021829999999</v>
      </c>
      <c r="D112" s="209"/>
    </row>
    <row r="113" spans="1:4" s="215" customFormat="1" x14ac:dyDescent="0.2">
      <c r="A113" s="207">
        <f t="shared" si="3"/>
        <v>110</v>
      </c>
      <c r="B113" s="208">
        <v>44379</v>
      </c>
      <c r="C113" s="209">
        <v>938.17021829999999</v>
      </c>
      <c r="D113" s="209"/>
    </row>
    <row r="114" spans="1:4" s="215" customFormat="1" x14ac:dyDescent="0.2">
      <c r="A114" s="207">
        <f t="shared" si="3"/>
        <v>111</v>
      </c>
      <c r="B114" s="208">
        <v>44380</v>
      </c>
      <c r="C114" s="209">
        <v>938.17021829999999</v>
      </c>
      <c r="D114" s="209"/>
    </row>
    <row r="115" spans="1:4" s="215" customFormat="1" x14ac:dyDescent="0.2">
      <c r="A115" s="207">
        <f t="shared" si="3"/>
        <v>112</v>
      </c>
      <c r="B115" s="208">
        <v>44381</v>
      </c>
      <c r="C115" s="209">
        <v>938.17021829999999</v>
      </c>
      <c r="D115" s="209"/>
    </row>
    <row r="116" spans="1:4" s="215" customFormat="1" x14ac:dyDescent="0.2">
      <c r="A116" s="207">
        <f t="shared" si="3"/>
        <v>113</v>
      </c>
      <c r="B116" s="208">
        <v>44382</v>
      </c>
      <c r="C116" s="209">
        <v>938.17021829999999</v>
      </c>
      <c r="D116" s="209"/>
    </row>
    <row r="117" spans="1:4" s="215" customFormat="1" x14ac:dyDescent="0.2">
      <c r="A117" s="207">
        <f t="shared" si="3"/>
        <v>114</v>
      </c>
      <c r="B117" s="208">
        <v>44383</v>
      </c>
      <c r="C117" s="209">
        <v>938.17021829999999</v>
      </c>
      <c r="D117" s="209"/>
    </row>
    <row r="118" spans="1:4" s="215" customFormat="1" x14ac:dyDescent="0.2">
      <c r="A118" s="204">
        <f t="shared" si="3"/>
        <v>115</v>
      </c>
      <c r="B118" s="205">
        <v>44384</v>
      </c>
      <c r="C118" s="206">
        <v>938.41240919999996</v>
      </c>
      <c r="D118" s="206"/>
    </row>
    <row r="119" spans="1:4" s="215" customFormat="1" x14ac:dyDescent="0.2">
      <c r="A119" s="207">
        <f t="shared" si="3"/>
        <v>116</v>
      </c>
      <c r="B119" s="208">
        <v>44385</v>
      </c>
      <c r="C119" s="209">
        <v>938.41240919999996</v>
      </c>
      <c r="D119" s="209"/>
    </row>
    <row r="120" spans="1:4" s="215" customFormat="1" x14ac:dyDescent="0.2">
      <c r="A120" s="207">
        <f t="shared" si="3"/>
        <v>117</v>
      </c>
      <c r="B120" s="208">
        <v>44386</v>
      </c>
      <c r="C120" s="209">
        <v>938.41240919999996</v>
      </c>
      <c r="D120" s="212">
        <v>96301376.400000006</v>
      </c>
    </row>
    <row r="121" spans="1:4" s="215" customFormat="1" x14ac:dyDescent="0.2">
      <c r="A121" s="207">
        <f t="shared" si="3"/>
        <v>118</v>
      </c>
      <c r="B121" s="208">
        <v>44387</v>
      </c>
      <c r="C121" s="209">
        <v>938.41240919999996</v>
      </c>
      <c r="D121" s="209"/>
    </row>
    <row r="122" spans="1:4" s="215" customFormat="1" x14ac:dyDescent="0.2">
      <c r="A122" s="207">
        <f t="shared" si="3"/>
        <v>119</v>
      </c>
      <c r="B122" s="208">
        <v>44388</v>
      </c>
      <c r="C122" s="209">
        <v>938.41240919999996</v>
      </c>
      <c r="D122" s="209"/>
    </row>
    <row r="123" spans="1:4" s="215" customFormat="1" x14ac:dyDescent="0.2">
      <c r="A123" s="204">
        <f t="shared" si="3"/>
        <v>120</v>
      </c>
      <c r="B123" s="205">
        <v>44389</v>
      </c>
      <c r="C123" s="206">
        <v>940.2134873</v>
      </c>
      <c r="D123" s="206"/>
    </row>
    <row r="124" spans="1:4" s="215" customFormat="1" x14ac:dyDescent="0.2">
      <c r="A124" s="207">
        <f t="shared" si="3"/>
        <v>121</v>
      </c>
      <c r="B124" s="208">
        <v>44390</v>
      </c>
      <c r="C124" s="209">
        <v>940.2134873</v>
      </c>
      <c r="D124" s="209"/>
    </row>
    <row r="125" spans="1:4" x14ac:dyDescent="0.2">
      <c r="A125" s="207">
        <f t="shared" si="3"/>
        <v>122</v>
      </c>
      <c r="B125" s="208">
        <v>44391</v>
      </c>
      <c r="C125" s="209">
        <v>940.2134873</v>
      </c>
      <c r="D125" s="202"/>
    </row>
    <row r="126" spans="1:4" x14ac:dyDescent="0.2">
      <c r="A126" s="207">
        <f t="shared" si="3"/>
        <v>123</v>
      </c>
      <c r="B126" s="208">
        <v>44392</v>
      </c>
      <c r="C126" s="209">
        <v>940.2134873</v>
      </c>
      <c r="D126" s="117"/>
    </row>
    <row r="127" spans="1:4" x14ac:dyDescent="0.2">
      <c r="A127" s="207">
        <f t="shared" si="3"/>
        <v>124</v>
      </c>
      <c r="B127" s="208">
        <v>44393</v>
      </c>
      <c r="C127" s="209">
        <v>940.2134873</v>
      </c>
      <c r="D127" s="117"/>
    </row>
    <row r="128" spans="1:4" x14ac:dyDescent="0.2">
      <c r="A128" s="207">
        <f t="shared" si="3"/>
        <v>125</v>
      </c>
      <c r="B128" s="208">
        <v>44394</v>
      </c>
      <c r="C128" s="209">
        <v>940.2134873</v>
      </c>
      <c r="D128" s="117"/>
    </row>
    <row r="129" spans="1:4" x14ac:dyDescent="0.2">
      <c r="A129" s="207">
        <f t="shared" si="3"/>
        <v>126</v>
      </c>
      <c r="B129" s="208">
        <v>44395</v>
      </c>
      <c r="C129" s="209">
        <v>940.2134873</v>
      </c>
      <c r="D129" s="117"/>
    </row>
    <row r="130" spans="1:4" x14ac:dyDescent="0.2">
      <c r="A130" s="204">
        <f t="shared" si="3"/>
        <v>127</v>
      </c>
      <c r="B130" s="205">
        <v>44396</v>
      </c>
      <c r="C130" s="206">
        <v>936.76844159999996</v>
      </c>
      <c r="D130" s="221"/>
    </row>
    <row r="131" spans="1:4" x14ac:dyDescent="0.2">
      <c r="A131" s="207">
        <f t="shared" si="3"/>
        <v>128</v>
      </c>
      <c r="B131" s="208">
        <v>44397</v>
      </c>
      <c r="C131" s="209">
        <v>936.76844159999996</v>
      </c>
      <c r="D131" s="117"/>
    </row>
    <row r="132" spans="1:4" x14ac:dyDescent="0.2">
      <c r="A132" s="207">
        <f t="shared" si="3"/>
        <v>129</v>
      </c>
      <c r="B132" s="208">
        <v>44398</v>
      </c>
      <c r="C132" s="209">
        <v>936.76844159999996</v>
      </c>
      <c r="D132" s="117"/>
    </row>
    <row r="133" spans="1:4" x14ac:dyDescent="0.2">
      <c r="A133" s="207">
        <f t="shared" si="3"/>
        <v>130</v>
      </c>
      <c r="B133" s="208">
        <v>44399</v>
      </c>
      <c r="C133" s="209">
        <v>936.76844159999996</v>
      </c>
      <c r="D133" s="212">
        <v>100330170.11</v>
      </c>
    </row>
    <row r="134" spans="1:4" x14ac:dyDescent="0.2">
      <c r="A134" s="207">
        <f t="shared" si="3"/>
        <v>131</v>
      </c>
      <c r="B134" s="208">
        <v>44400</v>
      </c>
      <c r="C134" s="209">
        <v>936.76844159999996</v>
      </c>
      <c r="D134" s="117"/>
    </row>
    <row r="135" spans="1:4" x14ac:dyDescent="0.2">
      <c r="A135" s="207">
        <f t="shared" si="3"/>
        <v>132</v>
      </c>
      <c r="B135" s="208">
        <v>44401</v>
      </c>
      <c r="C135" s="209">
        <v>936.76844159999996</v>
      </c>
      <c r="D135" s="117"/>
    </row>
    <row r="136" spans="1:4" x14ac:dyDescent="0.2">
      <c r="A136" s="207">
        <f t="shared" si="3"/>
        <v>133</v>
      </c>
      <c r="B136" s="208">
        <v>44402</v>
      </c>
      <c r="C136" s="209">
        <v>936.76844159999996</v>
      </c>
      <c r="D136" s="117"/>
    </row>
    <row r="137" spans="1:4" x14ac:dyDescent="0.2">
      <c r="A137" s="204">
        <f t="shared" si="3"/>
        <v>134</v>
      </c>
      <c r="B137" s="205">
        <v>44403</v>
      </c>
      <c r="C137" s="206">
        <v>936.52011949999996</v>
      </c>
      <c r="D137" s="221"/>
    </row>
    <row r="138" spans="1:4" x14ac:dyDescent="0.2">
      <c r="A138" s="207">
        <f t="shared" si="3"/>
        <v>135</v>
      </c>
      <c r="B138" s="208">
        <v>44404</v>
      </c>
      <c r="C138" s="209">
        <v>936.52011949999996</v>
      </c>
      <c r="D138" s="117"/>
    </row>
    <row r="139" spans="1:4" x14ac:dyDescent="0.2">
      <c r="A139" s="207">
        <f t="shared" si="3"/>
        <v>136</v>
      </c>
      <c r="B139" s="208">
        <v>44405</v>
      </c>
      <c r="C139" s="209">
        <v>936.52011949999996</v>
      </c>
      <c r="D139" s="117"/>
    </row>
    <row r="140" spans="1:4" x14ac:dyDescent="0.2">
      <c r="A140" s="207">
        <f t="shared" si="3"/>
        <v>137</v>
      </c>
      <c r="B140" s="208">
        <v>44406</v>
      </c>
      <c r="C140" s="209">
        <v>936.52011949999996</v>
      </c>
      <c r="D140" s="117"/>
    </row>
    <row r="141" spans="1:4" x14ac:dyDescent="0.2">
      <c r="A141" s="207">
        <f t="shared" si="3"/>
        <v>138</v>
      </c>
      <c r="B141" s="208">
        <v>44407</v>
      </c>
      <c r="C141" s="209">
        <v>936.52011949999996</v>
      </c>
      <c r="D141" s="117"/>
    </row>
    <row r="142" spans="1:4" x14ac:dyDescent="0.2">
      <c r="A142" s="204">
        <f t="shared" si="3"/>
        <v>139</v>
      </c>
      <c r="B142" s="205">
        <v>44408</v>
      </c>
      <c r="C142" s="206">
        <v>936.64491450000003</v>
      </c>
      <c r="D142" s="221"/>
    </row>
    <row r="143" spans="1:4" s="215" customFormat="1" x14ac:dyDescent="0.2">
      <c r="A143" s="207">
        <f t="shared" si="3"/>
        <v>140</v>
      </c>
      <c r="B143" s="208">
        <v>44409</v>
      </c>
      <c r="C143" s="209">
        <v>936.64491450000003</v>
      </c>
      <c r="D143" s="124"/>
    </row>
    <row r="144" spans="1:4" x14ac:dyDescent="0.2">
      <c r="A144" s="204">
        <f t="shared" si="3"/>
        <v>141</v>
      </c>
      <c r="B144" s="205">
        <v>44410</v>
      </c>
      <c r="C144" s="206">
        <v>939.91557090000003</v>
      </c>
      <c r="D144" s="221"/>
    </row>
    <row r="145" spans="1:4" s="215" customFormat="1" x14ac:dyDescent="0.2">
      <c r="A145" s="207">
        <f t="shared" si="3"/>
        <v>142</v>
      </c>
      <c r="B145" s="208">
        <v>44411</v>
      </c>
      <c r="C145" s="209">
        <v>939.91557090000003</v>
      </c>
      <c r="D145" s="124"/>
    </row>
    <row r="146" spans="1:4" s="215" customFormat="1" x14ac:dyDescent="0.2">
      <c r="A146" s="207">
        <f t="shared" si="3"/>
        <v>143</v>
      </c>
      <c r="B146" s="208">
        <v>44412</v>
      </c>
      <c r="C146" s="209">
        <v>939.91557090000003</v>
      </c>
      <c r="D146" s="124"/>
    </row>
    <row r="147" spans="1:4" s="215" customFormat="1" x14ac:dyDescent="0.2">
      <c r="A147" s="207">
        <f t="shared" si="3"/>
        <v>144</v>
      </c>
      <c r="B147" s="208">
        <v>44413</v>
      </c>
      <c r="C147" s="209">
        <v>939.91557090000003</v>
      </c>
      <c r="D147" s="212">
        <v>101952600.15000001</v>
      </c>
    </row>
    <row r="148" spans="1:4" s="215" customFormat="1" x14ac:dyDescent="0.2">
      <c r="A148" s="207">
        <f t="shared" si="3"/>
        <v>145</v>
      </c>
      <c r="B148" s="208">
        <v>44414</v>
      </c>
      <c r="C148" s="209">
        <v>939.91557090000003</v>
      </c>
      <c r="D148" s="124"/>
    </row>
    <row r="149" spans="1:4" s="215" customFormat="1" x14ac:dyDescent="0.2">
      <c r="A149" s="207">
        <f t="shared" si="3"/>
        <v>146</v>
      </c>
      <c r="B149" s="208">
        <v>44415</v>
      </c>
      <c r="C149" s="209">
        <v>939.91557090000003</v>
      </c>
      <c r="D149" s="124"/>
    </row>
    <row r="150" spans="1:4" s="215" customFormat="1" x14ac:dyDescent="0.2">
      <c r="A150" s="207">
        <f t="shared" si="3"/>
        <v>147</v>
      </c>
      <c r="B150" s="208">
        <v>44416</v>
      </c>
      <c r="C150" s="209">
        <v>939.91557090000003</v>
      </c>
      <c r="D150" s="124"/>
    </row>
    <row r="151" spans="1:4" s="215" customFormat="1" x14ac:dyDescent="0.2">
      <c r="A151" s="204">
        <f t="shared" si="3"/>
        <v>148</v>
      </c>
      <c r="B151" s="205">
        <v>44417</v>
      </c>
      <c r="C151" s="206">
        <v>940.50618919999999</v>
      </c>
      <c r="D151" s="221"/>
    </row>
    <row r="152" spans="1:4" s="215" customFormat="1" x14ac:dyDescent="0.2">
      <c r="A152" s="207">
        <f t="shared" si="3"/>
        <v>149</v>
      </c>
      <c r="B152" s="208">
        <v>44418</v>
      </c>
      <c r="C152" s="209">
        <v>940.50618919999999</v>
      </c>
      <c r="D152" s="124"/>
    </row>
    <row r="153" spans="1:4" s="215" customFormat="1" x14ac:dyDescent="0.2">
      <c r="A153" s="207">
        <f t="shared" si="3"/>
        <v>150</v>
      </c>
      <c r="B153" s="208">
        <v>44419</v>
      </c>
      <c r="C153" s="209">
        <v>940.50618919999999</v>
      </c>
      <c r="D153" s="124"/>
    </row>
    <row r="154" spans="1:4" s="215" customFormat="1" x14ac:dyDescent="0.2">
      <c r="A154" s="207">
        <f t="shared" si="3"/>
        <v>151</v>
      </c>
      <c r="B154" s="208">
        <v>44420</v>
      </c>
      <c r="C154" s="209">
        <v>940.50618919999999</v>
      </c>
      <c r="D154" s="124"/>
    </row>
    <row r="155" spans="1:4" s="215" customFormat="1" x14ac:dyDescent="0.2">
      <c r="A155" s="207">
        <f t="shared" si="3"/>
        <v>152</v>
      </c>
      <c r="B155" s="208">
        <v>44421</v>
      </c>
      <c r="C155" s="209">
        <v>940.50618919999999</v>
      </c>
      <c r="D155" s="124"/>
    </row>
    <row r="156" spans="1:4" s="215" customFormat="1" x14ac:dyDescent="0.2">
      <c r="A156" s="207">
        <f t="shared" ref="A156:A173" si="4">ROW()-ROW($A$3)</f>
        <v>153</v>
      </c>
      <c r="B156" s="208">
        <v>44422</v>
      </c>
      <c r="C156" s="209">
        <v>940.50618919999999</v>
      </c>
      <c r="D156" s="124"/>
    </row>
    <row r="157" spans="1:4" s="215" customFormat="1" x14ac:dyDescent="0.2">
      <c r="A157" s="207">
        <f t="shared" si="4"/>
        <v>154</v>
      </c>
      <c r="B157" s="208">
        <v>44423</v>
      </c>
      <c r="C157" s="209">
        <v>940.50618919999999</v>
      </c>
      <c r="D157" s="124"/>
    </row>
    <row r="158" spans="1:4" s="215" customFormat="1" x14ac:dyDescent="0.2">
      <c r="A158" s="204">
        <f t="shared" si="4"/>
        <v>155</v>
      </c>
      <c r="B158" s="205">
        <v>44424</v>
      </c>
      <c r="C158" s="206">
        <v>942.36024420000001</v>
      </c>
      <c r="D158" s="221"/>
    </row>
    <row r="159" spans="1:4" s="215" customFormat="1" x14ac:dyDescent="0.2">
      <c r="A159" s="207">
        <f t="shared" si="4"/>
        <v>156</v>
      </c>
      <c r="B159" s="208">
        <v>44425</v>
      </c>
      <c r="C159" s="209">
        <v>942.36024420000001</v>
      </c>
      <c r="D159" s="124"/>
    </row>
    <row r="160" spans="1:4" s="215" customFormat="1" x14ac:dyDescent="0.2">
      <c r="A160" s="207">
        <f t="shared" si="4"/>
        <v>157</v>
      </c>
      <c r="B160" s="208">
        <v>44426</v>
      </c>
      <c r="C160" s="209">
        <v>942.36024420000001</v>
      </c>
      <c r="D160" s="124"/>
    </row>
    <row r="161" spans="1:11" s="215" customFormat="1" x14ac:dyDescent="0.2">
      <c r="A161" s="207">
        <f t="shared" si="4"/>
        <v>158</v>
      </c>
      <c r="B161" s="208">
        <v>44427</v>
      </c>
      <c r="C161" s="209">
        <v>942.36024420000001</v>
      </c>
      <c r="D161" s="212">
        <v>74813592.239999995</v>
      </c>
    </row>
    <row r="162" spans="1:11" s="215" customFormat="1" x14ac:dyDescent="0.2">
      <c r="A162" s="207">
        <f t="shared" si="4"/>
        <v>159</v>
      </c>
      <c r="B162" s="208">
        <v>44428</v>
      </c>
      <c r="C162" s="209">
        <v>942.36024420000001</v>
      </c>
      <c r="D162" s="124"/>
    </row>
    <row r="163" spans="1:11" s="215" customFormat="1" x14ac:dyDescent="0.2">
      <c r="A163" s="207">
        <f t="shared" si="4"/>
        <v>160</v>
      </c>
      <c r="B163" s="208">
        <v>44429</v>
      </c>
      <c r="C163" s="209">
        <v>942.36024420000001</v>
      </c>
      <c r="D163" s="124"/>
    </row>
    <row r="164" spans="1:11" s="215" customFormat="1" x14ac:dyDescent="0.2">
      <c r="A164" s="207">
        <f t="shared" si="4"/>
        <v>161</v>
      </c>
      <c r="B164" s="208">
        <v>44430</v>
      </c>
      <c r="C164" s="209">
        <v>942.36024420000001</v>
      </c>
      <c r="D164" s="124"/>
    </row>
    <row r="165" spans="1:11" s="215" customFormat="1" x14ac:dyDescent="0.2">
      <c r="A165" s="204">
        <f t="shared" si="4"/>
        <v>162</v>
      </c>
      <c r="B165" s="205">
        <v>44431</v>
      </c>
      <c r="C165" s="206">
        <v>934.30676960000005</v>
      </c>
      <c r="D165" s="221"/>
    </row>
    <row r="166" spans="1:11" s="215" customFormat="1" x14ac:dyDescent="0.2">
      <c r="A166" s="207">
        <f t="shared" si="4"/>
        <v>163</v>
      </c>
      <c r="B166" s="208">
        <v>44432</v>
      </c>
      <c r="C166" s="209">
        <v>934.30676960000005</v>
      </c>
      <c r="D166" s="124"/>
    </row>
    <row r="167" spans="1:11" s="215" customFormat="1" x14ac:dyDescent="0.2">
      <c r="A167" s="207">
        <f t="shared" si="4"/>
        <v>164</v>
      </c>
      <c r="B167" s="208">
        <v>44433</v>
      </c>
      <c r="C167" s="209">
        <v>934.30676960000005</v>
      </c>
      <c r="D167" s="124"/>
    </row>
    <row r="168" spans="1:11" s="215" customFormat="1" x14ac:dyDescent="0.2">
      <c r="A168" s="207">
        <f t="shared" si="4"/>
        <v>165</v>
      </c>
      <c r="B168" s="208">
        <v>44434</v>
      </c>
      <c r="C168" s="209">
        <v>934.30676960000005</v>
      </c>
      <c r="D168" s="124"/>
    </row>
    <row r="169" spans="1:11" s="215" customFormat="1" x14ac:dyDescent="0.2">
      <c r="A169" s="207">
        <f t="shared" si="4"/>
        <v>166</v>
      </c>
      <c r="B169" s="208">
        <v>44435</v>
      </c>
      <c r="C169" s="209">
        <v>934.30676960000005</v>
      </c>
      <c r="D169" s="124"/>
    </row>
    <row r="170" spans="1:11" s="215" customFormat="1" x14ac:dyDescent="0.2">
      <c r="A170" s="207">
        <f t="shared" si="4"/>
        <v>167</v>
      </c>
      <c r="B170" s="208">
        <v>44436</v>
      </c>
      <c r="C170" s="209">
        <v>934.30676960000005</v>
      </c>
      <c r="D170" s="124"/>
    </row>
    <row r="171" spans="1:11" s="215" customFormat="1" x14ac:dyDescent="0.2">
      <c r="A171" s="207">
        <f t="shared" si="4"/>
        <v>168</v>
      </c>
      <c r="B171" s="208">
        <v>44437</v>
      </c>
      <c r="C171" s="209">
        <v>934.30676960000005</v>
      </c>
      <c r="D171" s="124"/>
    </row>
    <row r="172" spans="1:11" s="215" customFormat="1" x14ac:dyDescent="0.2">
      <c r="A172" s="207">
        <f t="shared" si="4"/>
        <v>169</v>
      </c>
      <c r="B172" s="208">
        <v>44438</v>
      </c>
      <c r="C172" s="209">
        <v>934.30676960000005</v>
      </c>
      <c r="D172" s="124"/>
      <c r="G172" t="s">
        <v>273</v>
      </c>
      <c r="H172"/>
      <c r="I172" t="s">
        <v>274</v>
      </c>
      <c r="J172"/>
      <c r="K172" t="s">
        <v>275</v>
      </c>
    </row>
    <row r="173" spans="1:11" s="215" customFormat="1" x14ac:dyDescent="0.2">
      <c r="A173" s="204">
        <f t="shared" si="4"/>
        <v>170</v>
      </c>
      <c r="B173" s="205">
        <v>44439</v>
      </c>
      <c r="C173" s="206">
        <v>945.36781429999996</v>
      </c>
      <c r="D173" s="221"/>
      <c r="G173" s="265">
        <f>C173/C142-1</f>
        <v>9.3129206863376002E-3</v>
      </c>
      <c r="H173"/>
      <c r="I173" s="265">
        <f>C173/C4-1</f>
        <v>5.1014291704635895E-2</v>
      </c>
      <c r="J173"/>
      <c r="K173" s="265">
        <f>I173/(B173-B4)*365</f>
        <v>0.11017879569344438</v>
      </c>
    </row>
    <row r="174" spans="1:11" x14ac:dyDescent="0.2">
      <c r="D174" s="212">
        <f>SUM(D4:D173)</f>
        <v>2202801925.3899999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69C3-15D0-41F9-836C-D0F191A43536}">
  <dimension ref="C2:H25"/>
  <sheetViews>
    <sheetView workbookViewId="0">
      <selection activeCell="D17" sqref="D17"/>
    </sheetView>
  </sheetViews>
  <sheetFormatPr defaultRowHeight="12.75" x14ac:dyDescent="0.2"/>
  <cols>
    <col min="3" max="3" width="13.7109375" bestFit="1" customWidth="1"/>
  </cols>
  <sheetData>
    <row r="2" spans="3:8" x14ac:dyDescent="0.2">
      <c r="D2" t="s">
        <v>276</v>
      </c>
      <c r="E2" t="s">
        <v>277</v>
      </c>
      <c r="F2" t="s">
        <v>278</v>
      </c>
    </row>
    <row r="3" spans="3:8" x14ac:dyDescent="0.2">
      <c r="C3" s="280">
        <v>43480</v>
      </c>
      <c r="D3" s="281">
        <v>9.2499999999999999E-2</v>
      </c>
      <c r="E3" s="281">
        <f>D3-H3</f>
        <v>8.2500000000000004E-2</v>
      </c>
      <c r="F3" s="281">
        <f>D3+H3</f>
        <v>0.10249999999999999</v>
      </c>
      <c r="H3" s="282">
        <v>0.01</v>
      </c>
    </row>
    <row r="4" spans="3:8" x14ac:dyDescent="0.2">
      <c r="C4" s="280">
        <v>43529</v>
      </c>
      <c r="D4" s="281">
        <v>9.2499999999999999E-2</v>
      </c>
      <c r="E4" s="281">
        <f t="shared" ref="E4:E25" si="0">D4-H4</f>
        <v>8.2500000000000004E-2</v>
      </c>
      <c r="F4" s="281">
        <f t="shared" ref="F4:F25" si="1">D4+H4</f>
        <v>0.10249999999999999</v>
      </c>
      <c r="H4" s="282">
        <v>0.01</v>
      </c>
    </row>
    <row r="5" spans="3:8" x14ac:dyDescent="0.2">
      <c r="C5" s="280">
        <v>43571</v>
      </c>
      <c r="D5" s="281">
        <v>0.09</v>
      </c>
      <c r="E5" s="281">
        <f t="shared" si="0"/>
        <v>0.08</v>
      </c>
      <c r="F5" s="281">
        <f t="shared" si="1"/>
        <v>9.9999999999999992E-2</v>
      </c>
      <c r="H5" s="282">
        <v>0.01</v>
      </c>
    </row>
    <row r="6" spans="3:8" x14ac:dyDescent="0.2">
      <c r="C6" s="280">
        <v>43620</v>
      </c>
      <c r="D6" s="281">
        <v>0.09</v>
      </c>
      <c r="E6" s="281">
        <f t="shared" si="0"/>
        <v>0.08</v>
      </c>
      <c r="F6" s="281">
        <f t="shared" si="1"/>
        <v>9.9999999999999992E-2</v>
      </c>
      <c r="H6" s="282">
        <v>0.01</v>
      </c>
    </row>
    <row r="7" spans="3:8" x14ac:dyDescent="0.2">
      <c r="C7" s="280">
        <v>43662</v>
      </c>
      <c r="D7" s="281">
        <v>0.09</v>
      </c>
      <c r="E7" s="281">
        <f t="shared" si="0"/>
        <v>0.08</v>
      </c>
      <c r="F7" s="281">
        <f t="shared" si="1"/>
        <v>9.9999999999999992E-2</v>
      </c>
      <c r="H7" s="282">
        <v>0.01</v>
      </c>
    </row>
    <row r="8" spans="3:8" x14ac:dyDescent="0.2">
      <c r="C8" s="280">
        <v>43718</v>
      </c>
      <c r="D8" s="281">
        <v>9.2499999999999999E-2</v>
      </c>
      <c r="E8" s="281">
        <f t="shared" si="0"/>
        <v>8.2500000000000004E-2</v>
      </c>
      <c r="F8" s="281">
        <f t="shared" si="1"/>
        <v>0.10249999999999999</v>
      </c>
      <c r="H8" s="282">
        <v>0.01</v>
      </c>
    </row>
    <row r="9" spans="3:8" x14ac:dyDescent="0.2">
      <c r="C9" s="280">
        <v>43767</v>
      </c>
      <c r="D9" s="281">
        <v>9.2499999999999999E-2</v>
      </c>
      <c r="E9" s="281">
        <f t="shared" si="0"/>
        <v>8.2500000000000004E-2</v>
      </c>
      <c r="F9" s="281">
        <f t="shared" si="1"/>
        <v>0.10249999999999999</v>
      </c>
      <c r="H9" s="282">
        <v>0.01</v>
      </c>
    </row>
    <row r="10" spans="3:8" x14ac:dyDescent="0.2">
      <c r="C10" s="280">
        <v>43809</v>
      </c>
      <c r="D10" s="281">
        <v>9.2499999999999999E-2</v>
      </c>
      <c r="E10" s="281">
        <f t="shared" si="0"/>
        <v>8.2500000000000004E-2</v>
      </c>
      <c r="F10" s="281">
        <f t="shared" si="1"/>
        <v>0.10249999999999999</v>
      </c>
      <c r="H10" s="282">
        <v>0.01</v>
      </c>
    </row>
    <row r="11" spans="3:8" x14ac:dyDescent="0.2">
      <c r="C11" s="280">
        <v>43865</v>
      </c>
      <c r="D11" s="281">
        <v>9.2499999999999999E-2</v>
      </c>
      <c r="E11" s="281">
        <f t="shared" si="0"/>
        <v>8.2500000000000004E-2</v>
      </c>
      <c r="F11" s="281">
        <f t="shared" si="1"/>
        <v>0.10249999999999999</v>
      </c>
      <c r="H11" s="282">
        <v>0.01</v>
      </c>
    </row>
    <row r="12" spans="3:8" x14ac:dyDescent="0.2">
      <c r="C12" s="280">
        <v>43900</v>
      </c>
      <c r="D12" s="281">
        <v>0.12</v>
      </c>
      <c r="E12" s="281">
        <f t="shared" si="0"/>
        <v>0.105</v>
      </c>
      <c r="F12" s="281">
        <f t="shared" si="1"/>
        <v>0.13500000000000001</v>
      </c>
      <c r="H12" s="282">
        <v>1.4999999999999999E-2</v>
      </c>
    </row>
    <row r="13" spans="3:8" x14ac:dyDescent="0.2">
      <c r="C13" s="280">
        <v>43907</v>
      </c>
      <c r="D13" s="281">
        <v>0.12</v>
      </c>
      <c r="E13" s="281">
        <f t="shared" si="0"/>
        <v>0.105</v>
      </c>
      <c r="F13" s="281">
        <f t="shared" si="1"/>
        <v>0.13500000000000001</v>
      </c>
      <c r="H13" s="282">
        <v>1.4999999999999999E-2</v>
      </c>
    </row>
    <row r="14" spans="3:8" x14ac:dyDescent="0.2">
      <c r="C14" s="280">
        <v>43927</v>
      </c>
      <c r="D14" s="281">
        <v>9.5000000000000001E-2</v>
      </c>
      <c r="E14" s="281">
        <f t="shared" si="0"/>
        <v>7.4999999999999997E-2</v>
      </c>
      <c r="F14" s="281">
        <f t="shared" si="1"/>
        <v>0.115</v>
      </c>
      <c r="H14" s="282">
        <v>0.02</v>
      </c>
    </row>
    <row r="15" spans="3:8" x14ac:dyDescent="0.2">
      <c r="C15" s="280">
        <v>43949</v>
      </c>
      <c r="D15" s="281">
        <v>9.5000000000000001E-2</v>
      </c>
      <c r="E15" s="281">
        <f t="shared" si="0"/>
        <v>7.4999999999999997E-2</v>
      </c>
      <c r="F15" s="281">
        <f t="shared" si="1"/>
        <v>0.115</v>
      </c>
      <c r="H15" s="282">
        <v>0.02</v>
      </c>
    </row>
    <row r="16" spans="3:8" x14ac:dyDescent="0.2">
      <c r="C16" s="280">
        <v>43991</v>
      </c>
      <c r="D16" s="281">
        <v>9.5000000000000001E-2</v>
      </c>
      <c r="E16" s="281">
        <f t="shared" si="0"/>
        <v>7.4999999999999997E-2</v>
      </c>
      <c r="F16" s="281">
        <f t="shared" si="1"/>
        <v>0.115</v>
      </c>
      <c r="H16" s="282">
        <v>0.02</v>
      </c>
    </row>
    <row r="17" spans="3:8" x14ac:dyDescent="0.2">
      <c r="C17" s="280">
        <v>44033</v>
      </c>
      <c r="D17" s="281">
        <v>0.09</v>
      </c>
      <c r="E17" s="281">
        <f t="shared" si="0"/>
        <v>7.4999999999999997E-2</v>
      </c>
      <c r="F17" s="281">
        <f t="shared" si="1"/>
        <v>0.105</v>
      </c>
      <c r="H17" s="282">
        <v>1.4999999999999999E-2</v>
      </c>
    </row>
    <row r="18" spans="3:8" x14ac:dyDescent="0.2">
      <c r="C18" s="280">
        <v>44082</v>
      </c>
      <c r="D18" s="281">
        <v>0.09</v>
      </c>
      <c r="E18" s="281">
        <f t="shared" si="0"/>
        <v>7.4999999999999997E-2</v>
      </c>
      <c r="F18" s="281">
        <f t="shared" si="1"/>
        <v>0.105</v>
      </c>
      <c r="H18" s="282">
        <v>1.4999999999999999E-2</v>
      </c>
    </row>
    <row r="19" spans="3:8" x14ac:dyDescent="0.2">
      <c r="C19" s="280">
        <v>44131</v>
      </c>
      <c r="D19" s="281">
        <v>0.09</v>
      </c>
      <c r="E19" s="281">
        <f t="shared" si="0"/>
        <v>7.4999999999999997E-2</v>
      </c>
      <c r="F19" s="281">
        <f t="shared" si="1"/>
        <v>0.105</v>
      </c>
      <c r="H19" s="282">
        <v>1.4999999999999999E-2</v>
      </c>
    </row>
    <row r="20" spans="3:8" x14ac:dyDescent="0.2">
      <c r="C20" s="280">
        <v>44180</v>
      </c>
      <c r="D20" s="281">
        <v>0.09</v>
      </c>
      <c r="E20" s="281">
        <f t="shared" si="0"/>
        <v>0.08</v>
      </c>
      <c r="F20" s="281">
        <f t="shared" si="1"/>
        <v>9.9999999999999992E-2</v>
      </c>
      <c r="H20" s="282">
        <v>0.01</v>
      </c>
    </row>
    <row r="21" spans="3:8" x14ac:dyDescent="0.2">
      <c r="C21" s="280">
        <v>44222</v>
      </c>
      <c r="D21" s="281">
        <v>0.09</v>
      </c>
      <c r="E21" s="281">
        <f t="shared" si="0"/>
        <v>0.08</v>
      </c>
      <c r="F21" s="281">
        <f t="shared" si="1"/>
        <v>9.9999999999999992E-2</v>
      </c>
      <c r="H21" s="282">
        <v>0.01</v>
      </c>
    </row>
    <row r="22" spans="3:8" x14ac:dyDescent="0.2">
      <c r="C22" s="280">
        <v>44265</v>
      </c>
      <c r="D22" s="281">
        <v>0.09</v>
      </c>
      <c r="E22" s="281">
        <f t="shared" si="0"/>
        <v>0.08</v>
      </c>
      <c r="F22" s="281">
        <f t="shared" si="1"/>
        <v>9.9999999999999992E-2</v>
      </c>
      <c r="H22" s="282">
        <v>0.01</v>
      </c>
    </row>
    <row r="23" spans="3:8" x14ac:dyDescent="0.2">
      <c r="C23" s="280">
        <v>44313</v>
      </c>
      <c r="D23" s="281">
        <v>0.09</v>
      </c>
      <c r="E23" s="281">
        <f t="shared" si="0"/>
        <v>0.08</v>
      </c>
      <c r="F23" s="281">
        <f t="shared" si="1"/>
        <v>9.9999999999999992E-2</v>
      </c>
      <c r="H23" s="282">
        <v>0.01</v>
      </c>
    </row>
    <row r="24" spans="3:8" x14ac:dyDescent="0.2">
      <c r="C24" s="280">
        <v>44355</v>
      </c>
      <c r="D24" s="281">
        <v>0.09</v>
      </c>
      <c r="E24" s="281">
        <f t="shared" si="0"/>
        <v>0.08</v>
      </c>
      <c r="F24" s="281">
        <f t="shared" si="1"/>
        <v>9.9999999999999992E-2</v>
      </c>
      <c r="H24" s="282">
        <v>0.01</v>
      </c>
    </row>
    <row r="25" spans="3:8" x14ac:dyDescent="0.2">
      <c r="C25" s="280">
        <v>44404</v>
      </c>
      <c r="D25" s="281">
        <v>9.2499999999999999E-2</v>
      </c>
      <c r="E25" s="281">
        <f t="shared" si="0"/>
        <v>8.2500000000000004E-2</v>
      </c>
      <c r="F25" s="281">
        <f t="shared" si="1"/>
        <v>0.10249999999999999</v>
      </c>
      <c r="H25" s="282">
        <v>0.01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8D8C-F9BA-43C2-B46C-76BC71F1336C}">
  <dimension ref="C3:K39"/>
  <sheetViews>
    <sheetView topLeftCell="A3" workbookViewId="0">
      <selection activeCell="G6" sqref="G6"/>
    </sheetView>
  </sheetViews>
  <sheetFormatPr defaultRowHeight="12.75" x14ac:dyDescent="0.2"/>
  <cols>
    <col min="3" max="3" width="21.42578125" customWidth="1"/>
    <col min="4" max="4" width="13.42578125" customWidth="1"/>
    <col min="6" max="6" width="10.140625" bestFit="1" customWidth="1"/>
  </cols>
  <sheetData>
    <row r="3" spans="3:9" ht="13.5" thickBot="1" x14ac:dyDescent="0.25">
      <c r="C3" t="s">
        <v>279</v>
      </c>
      <c r="F3" t="s">
        <v>280</v>
      </c>
    </row>
    <row r="4" spans="3:9" ht="23.25" thickBot="1" x14ac:dyDescent="0.25">
      <c r="D4" s="283" t="s">
        <v>281</v>
      </c>
    </row>
    <row r="5" spans="3:9" ht="13.5" thickBot="1" x14ac:dyDescent="0.25">
      <c r="C5" s="284" t="s">
        <v>282</v>
      </c>
      <c r="D5" s="285">
        <v>424.51</v>
      </c>
      <c r="F5" s="280" t="str">
        <f>C5</f>
        <v>30.07.2021</v>
      </c>
      <c r="G5">
        <f>D6</f>
        <v>424.44</v>
      </c>
    </row>
    <row r="6" spans="3:9" ht="13.5" thickBot="1" x14ac:dyDescent="0.25">
      <c r="C6" s="284" t="s">
        <v>283</v>
      </c>
      <c r="D6" s="285">
        <v>424.44</v>
      </c>
      <c r="F6" s="280" t="str">
        <f t="shared" ref="F6:F39" si="0">C6</f>
        <v>31.07.2021</v>
      </c>
      <c r="G6">
        <f t="shared" ref="G6:G39" si="1">D7</f>
        <v>424.44</v>
      </c>
      <c r="I6">
        <f>G6</f>
        <v>424.44</v>
      </c>
    </row>
    <row r="7" spans="3:9" ht="13.5" thickBot="1" x14ac:dyDescent="0.25">
      <c r="C7" s="284" t="s">
        <v>284</v>
      </c>
      <c r="D7" s="285">
        <v>424.44</v>
      </c>
      <c r="F7" s="280" t="str">
        <f t="shared" si="0"/>
        <v>01.08.2021</v>
      </c>
      <c r="G7">
        <f t="shared" si="1"/>
        <v>424.44</v>
      </c>
    </row>
    <row r="8" spans="3:9" ht="13.5" thickBot="1" x14ac:dyDescent="0.25">
      <c r="C8" s="284" t="s">
        <v>285</v>
      </c>
      <c r="D8" s="285">
        <v>424.44</v>
      </c>
      <c r="F8" s="280" t="str">
        <f t="shared" si="0"/>
        <v>02.08.2021</v>
      </c>
      <c r="G8">
        <f t="shared" si="1"/>
        <v>424.46</v>
      </c>
    </row>
    <row r="9" spans="3:9" ht="13.5" thickBot="1" x14ac:dyDescent="0.25">
      <c r="C9" s="284" t="s">
        <v>286</v>
      </c>
      <c r="D9" s="285">
        <v>424.46</v>
      </c>
      <c r="F9" s="280" t="str">
        <f t="shared" si="0"/>
        <v>03.08.2021</v>
      </c>
      <c r="G9">
        <f t="shared" si="1"/>
        <v>423.75</v>
      </c>
    </row>
    <row r="10" spans="3:9" ht="13.5" thickBot="1" x14ac:dyDescent="0.25">
      <c r="C10" s="284" t="s">
        <v>287</v>
      </c>
      <c r="D10" s="285">
        <v>423.75</v>
      </c>
      <c r="F10" s="280" t="str">
        <f t="shared" si="0"/>
        <v>04.08.2021</v>
      </c>
      <c r="G10">
        <f t="shared" si="1"/>
        <v>424.02</v>
      </c>
    </row>
    <row r="11" spans="3:9" ht="13.5" thickBot="1" x14ac:dyDescent="0.25">
      <c r="C11" s="284" t="s">
        <v>288</v>
      </c>
      <c r="D11" s="285">
        <v>424.02</v>
      </c>
      <c r="F11" s="280" t="str">
        <f t="shared" si="0"/>
        <v>05.08.2021</v>
      </c>
      <c r="G11">
        <f t="shared" si="1"/>
        <v>425.13</v>
      </c>
    </row>
    <row r="12" spans="3:9" ht="13.5" thickBot="1" x14ac:dyDescent="0.25">
      <c r="C12" s="284" t="s">
        <v>289</v>
      </c>
      <c r="D12" s="285">
        <v>425.13</v>
      </c>
      <c r="F12" s="280" t="str">
        <f t="shared" si="0"/>
        <v>06.08.2021</v>
      </c>
      <c r="G12">
        <f t="shared" si="1"/>
        <v>424.32</v>
      </c>
    </row>
    <row r="13" spans="3:9" ht="13.5" thickBot="1" x14ac:dyDescent="0.25">
      <c r="C13" s="284" t="s">
        <v>290</v>
      </c>
      <c r="D13" s="285">
        <v>424.32</v>
      </c>
      <c r="F13" s="280" t="str">
        <f t="shared" si="0"/>
        <v>07.08.2021</v>
      </c>
      <c r="G13">
        <f t="shared" si="1"/>
        <v>424.32</v>
      </c>
    </row>
    <row r="14" spans="3:9" ht="13.5" thickBot="1" x14ac:dyDescent="0.25">
      <c r="C14" s="284" t="s">
        <v>291</v>
      </c>
      <c r="D14" s="285">
        <v>424.32</v>
      </c>
      <c r="F14" s="280" t="str">
        <f t="shared" si="0"/>
        <v>08.08.2021</v>
      </c>
      <c r="G14">
        <f t="shared" si="1"/>
        <v>424.32</v>
      </c>
    </row>
    <row r="15" spans="3:9" ht="13.5" thickBot="1" x14ac:dyDescent="0.25">
      <c r="C15" s="284" t="s">
        <v>292</v>
      </c>
      <c r="D15" s="285">
        <v>424.32</v>
      </c>
      <c r="F15" s="280" t="str">
        <f t="shared" si="0"/>
        <v>09.08.2021</v>
      </c>
      <c r="G15">
        <f t="shared" si="1"/>
        <v>426.38</v>
      </c>
    </row>
    <row r="16" spans="3:9" ht="13.5" thickBot="1" x14ac:dyDescent="0.25">
      <c r="C16" s="284" t="s">
        <v>293</v>
      </c>
      <c r="D16" s="285">
        <v>426.38</v>
      </c>
      <c r="F16" s="280" t="str">
        <f t="shared" si="0"/>
        <v>10.08.2021</v>
      </c>
      <c r="G16">
        <f t="shared" si="1"/>
        <v>425.83</v>
      </c>
    </row>
    <row r="17" spans="3:7" ht="13.5" thickBot="1" x14ac:dyDescent="0.25">
      <c r="C17" s="284" t="s">
        <v>294</v>
      </c>
      <c r="D17" s="285">
        <v>425.83</v>
      </c>
      <c r="F17" s="280" t="str">
        <f t="shared" si="0"/>
        <v>11.08.2021</v>
      </c>
      <c r="G17">
        <f t="shared" si="1"/>
        <v>425.51</v>
      </c>
    </row>
    <row r="18" spans="3:7" ht="13.5" thickBot="1" x14ac:dyDescent="0.25">
      <c r="C18" s="284" t="s">
        <v>295</v>
      </c>
      <c r="D18" s="285">
        <v>425.51</v>
      </c>
      <c r="F18" s="280" t="str">
        <f t="shared" si="0"/>
        <v>12.08.2021</v>
      </c>
      <c r="G18">
        <f t="shared" si="1"/>
        <v>424.24</v>
      </c>
    </row>
    <row r="19" spans="3:7" ht="13.5" thickBot="1" x14ac:dyDescent="0.25">
      <c r="C19" s="284" t="s">
        <v>296</v>
      </c>
      <c r="D19" s="285">
        <v>424.24</v>
      </c>
      <c r="F19" s="280" t="str">
        <f t="shared" si="0"/>
        <v>13.08.2021</v>
      </c>
      <c r="G19">
        <f t="shared" si="1"/>
        <v>425.16</v>
      </c>
    </row>
    <row r="20" spans="3:7" ht="13.5" thickBot="1" x14ac:dyDescent="0.25">
      <c r="C20" s="284" t="s">
        <v>297</v>
      </c>
      <c r="D20" s="285">
        <v>425.16</v>
      </c>
      <c r="F20" s="280" t="str">
        <f t="shared" si="0"/>
        <v>14.08.2021</v>
      </c>
      <c r="G20">
        <f t="shared" si="1"/>
        <v>425.16</v>
      </c>
    </row>
    <row r="21" spans="3:7" ht="13.5" thickBot="1" x14ac:dyDescent="0.25">
      <c r="C21" s="284" t="s">
        <v>298</v>
      </c>
      <c r="D21" s="285">
        <v>425.16</v>
      </c>
      <c r="F21" s="280" t="str">
        <f t="shared" si="0"/>
        <v>15.08.2021</v>
      </c>
      <c r="G21">
        <f t="shared" si="1"/>
        <v>425.16</v>
      </c>
    </row>
    <row r="22" spans="3:7" ht="13.5" thickBot="1" x14ac:dyDescent="0.25">
      <c r="C22" s="284" t="s">
        <v>299</v>
      </c>
      <c r="D22" s="285">
        <v>425.16</v>
      </c>
      <c r="F22" s="280" t="str">
        <f t="shared" si="0"/>
        <v>16.08.2021</v>
      </c>
      <c r="G22">
        <f t="shared" si="1"/>
        <v>425.58</v>
      </c>
    </row>
    <row r="23" spans="3:7" ht="13.5" thickBot="1" x14ac:dyDescent="0.25">
      <c r="C23" s="284" t="s">
        <v>300</v>
      </c>
      <c r="D23" s="285">
        <v>425.58</v>
      </c>
      <c r="F23" s="280" t="str">
        <f t="shared" si="0"/>
        <v>17.08.2021</v>
      </c>
      <c r="G23">
        <f t="shared" si="1"/>
        <v>425</v>
      </c>
    </row>
    <row r="24" spans="3:7" ht="13.5" thickBot="1" x14ac:dyDescent="0.25">
      <c r="C24" s="284" t="s">
        <v>301</v>
      </c>
      <c r="D24" s="285">
        <v>425</v>
      </c>
      <c r="F24" s="280" t="str">
        <f t="shared" si="0"/>
        <v>18.08.2021</v>
      </c>
      <c r="G24">
        <f t="shared" si="1"/>
        <v>425.57</v>
      </c>
    </row>
    <row r="25" spans="3:7" ht="13.5" thickBot="1" x14ac:dyDescent="0.25">
      <c r="C25" s="284" t="s">
        <v>302</v>
      </c>
      <c r="D25" s="285">
        <v>425.57</v>
      </c>
      <c r="F25" s="280" t="str">
        <f t="shared" si="0"/>
        <v>19.08.2021</v>
      </c>
      <c r="G25">
        <f t="shared" si="1"/>
        <v>426.66</v>
      </c>
    </row>
    <row r="26" spans="3:7" ht="13.5" thickBot="1" x14ac:dyDescent="0.25">
      <c r="C26" s="284" t="s">
        <v>303</v>
      </c>
      <c r="D26" s="285">
        <v>426.66</v>
      </c>
      <c r="F26" s="280" t="str">
        <f t="shared" si="0"/>
        <v>20.08.2021</v>
      </c>
      <c r="G26">
        <f t="shared" si="1"/>
        <v>426.93</v>
      </c>
    </row>
    <row r="27" spans="3:7" ht="13.5" thickBot="1" x14ac:dyDescent="0.25">
      <c r="C27" s="284" t="s">
        <v>304</v>
      </c>
      <c r="D27" s="285">
        <v>426.93</v>
      </c>
      <c r="F27" s="280" t="str">
        <f t="shared" si="0"/>
        <v>21.08.2021</v>
      </c>
      <c r="G27">
        <f t="shared" si="1"/>
        <v>426.93</v>
      </c>
    </row>
    <row r="28" spans="3:7" ht="13.5" thickBot="1" x14ac:dyDescent="0.25">
      <c r="C28" s="284" t="s">
        <v>305</v>
      </c>
      <c r="D28" s="285">
        <v>426.93</v>
      </c>
      <c r="F28" s="280" t="str">
        <f t="shared" si="0"/>
        <v>22.08.2021</v>
      </c>
      <c r="G28">
        <f t="shared" si="1"/>
        <v>426.93</v>
      </c>
    </row>
    <row r="29" spans="3:7" ht="13.5" thickBot="1" x14ac:dyDescent="0.25">
      <c r="C29" s="284" t="s">
        <v>306</v>
      </c>
      <c r="D29" s="285">
        <v>426.93</v>
      </c>
      <c r="F29" s="280" t="str">
        <f t="shared" si="0"/>
        <v>23.08.2021</v>
      </c>
      <c r="G29">
        <f t="shared" si="1"/>
        <v>426</v>
      </c>
    </row>
    <row r="30" spans="3:7" ht="13.5" thickBot="1" x14ac:dyDescent="0.25">
      <c r="C30" s="284" t="s">
        <v>307</v>
      </c>
      <c r="D30" s="285">
        <v>426</v>
      </c>
      <c r="F30" s="280" t="str">
        <f t="shared" si="0"/>
        <v>24.08.2021</v>
      </c>
      <c r="G30">
        <f t="shared" si="1"/>
        <v>424.63</v>
      </c>
    </row>
    <row r="31" spans="3:7" ht="13.5" thickBot="1" x14ac:dyDescent="0.25">
      <c r="C31" s="284" t="s">
        <v>308</v>
      </c>
      <c r="D31" s="285">
        <v>424.63</v>
      </c>
      <c r="F31" s="280" t="str">
        <f t="shared" si="0"/>
        <v>25.08.2021</v>
      </c>
      <c r="G31">
        <f t="shared" si="1"/>
        <v>424.72</v>
      </c>
    </row>
    <row r="32" spans="3:7" ht="13.5" thickBot="1" x14ac:dyDescent="0.25">
      <c r="C32" s="284" t="s">
        <v>309</v>
      </c>
      <c r="D32" s="285">
        <v>424.72</v>
      </c>
      <c r="F32" s="280" t="str">
        <f t="shared" si="0"/>
        <v>26.08.2021</v>
      </c>
      <c r="G32">
        <f t="shared" si="1"/>
        <v>425.37</v>
      </c>
    </row>
    <row r="33" spans="3:11" ht="13.5" thickBot="1" x14ac:dyDescent="0.25">
      <c r="C33" s="284" t="s">
        <v>310</v>
      </c>
      <c r="D33" s="285">
        <v>425.37</v>
      </c>
      <c r="F33" s="280" t="str">
        <f t="shared" si="0"/>
        <v>27.08.2021</v>
      </c>
      <c r="G33">
        <f t="shared" si="1"/>
        <v>425.74</v>
      </c>
    </row>
    <row r="34" spans="3:11" ht="13.5" thickBot="1" x14ac:dyDescent="0.25">
      <c r="C34" s="284" t="s">
        <v>311</v>
      </c>
      <c r="D34" s="285">
        <v>425.74</v>
      </c>
      <c r="F34" s="280" t="str">
        <f t="shared" si="0"/>
        <v>28.08.2021</v>
      </c>
      <c r="G34">
        <f t="shared" si="1"/>
        <v>425.74</v>
      </c>
    </row>
    <row r="35" spans="3:11" ht="13.5" thickBot="1" x14ac:dyDescent="0.25">
      <c r="C35" s="284" t="s">
        <v>312</v>
      </c>
      <c r="D35" s="285">
        <v>425.74</v>
      </c>
      <c r="F35" s="280" t="str">
        <f t="shared" si="0"/>
        <v>29.08.2021</v>
      </c>
      <c r="G35">
        <f t="shared" si="1"/>
        <v>425.74</v>
      </c>
    </row>
    <row r="36" spans="3:11" ht="13.5" thickBot="1" x14ac:dyDescent="0.25">
      <c r="C36" s="284" t="s">
        <v>313</v>
      </c>
      <c r="D36" s="285">
        <v>425.74</v>
      </c>
      <c r="F36" s="280" t="str">
        <f t="shared" si="0"/>
        <v>30.08.2021</v>
      </c>
      <c r="G36">
        <f t="shared" si="1"/>
        <v>425.74</v>
      </c>
    </row>
    <row r="37" spans="3:11" ht="13.5" thickBot="1" x14ac:dyDescent="0.25">
      <c r="C37" s="284" t="s">
        <v>314</v>
      </c>
      <c r="D37" s="285">
        <v>425.74</v>
      </c>
      <c r="F37" s="280" t="str">
        <f t="shared" si="0"/>
        <v>31.08.2021</v>
      </c>
      <c r="G37">
        <f t="shared" si="1"/>
        <v>425.41</v>
      </c>
      <c r="I37">
        <f>G37</f>
        <v>425.41</v>
      </c>
      <c r="K37" s="265">
        <f>I37/I6-1</f>
        <v>2.2853642446518663E-3</v>
      </c>
    </row>
    <row r="38" spans="3:11" ht="13.5" thickBot="1" x14ac:dyDescent="0.25">
      <c r="C38" s="284" t="s">
        <v>315</v>
      </c>
      <c r="D38" s="285">
        <v>425.41</v>
      </c>
      <c r="F38" s="280" t="str">
        <f t="shared" si="0"/>
        <v>01.09.2021</v>
      </c>
      <c r="G38">
        <f t="shared" si="1"/>
        <v>425.66</v>
      </c>
    </row>
    <row r="39" spans="3:11" ht="13.5" thickBot="1" x14ac:dyDescent="0.25">
      <c r="C39" s="284" t="s">
        <v>316</v>
      </c>
      <c r="D39" s="285">
        <v>425.66</v>
      </c>
      <c r="F39" s="280" t="str">
        <f t="shared" si="0"/>
        <v>02.09.2021</v>
      </c>
      <c r="G39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A38E-048A-4CD6-891C-51DD6F7519A5}">
  <dimension ref="B3:M61"/>
  <sheetViews>
    <sheetView tabSelected="1" workbookViewId="0"/>
  </sheetViews>
  <sheetFormatPr defaultRowHeight="14.25" x14ac:dyDescent="0.25"/>
  <cols>
    <col min="1" max="2" width="9.140625" style="246"/>
    <col min="3" max="3" width="14.42578125" style="246" customWidth="1"/>
    <col min="4" max="4" width="9.140625" style="246"/>
    <col min="5" max="5" width="4.28515625" style="246" customWidth="1"/>
    <col min="6" max="6" width="9.140625" style="246"/>
    <col min="7" max="7" width="20" style="246" customWidth="1"/>
    <col min="8" max="8" width="9.140625" style="246"/>
    <col min="9" max="9" width="13.85546875" style="246" customWidth="1"/>
    <col min="10" max="10" width="15.7109375" style="246" customWidth="1"/>
    <col min="11" max="11" width="9.140625" style="246"/>
    <col min="12" max="12" width="14.42578125" style="246" customWidth="1"/>
    <col min="13" max="13" width="14.140625" style="246" customWidth="1"/>
    <col min="14" max="16384" width="9.140625" style="246"/>
  </cols>
  <sheetData>
    <row r="3" spans="2:13" x14ac:dyDescent="0.25">
      <c r="B3" s="289" t="s">
        <v>318</v>
      </c>
    </row>
    <row r="5" spans="2:13" x14ac:dyDescent="0.25">
      <c r="C5" s="290">
        <v>0.13</v>
      </c>
      <c r="D5" s="290"/>
      <c r="F5" s="291">
        <f>'стоимость УПЕ'!I173</f>
        <v>5.1014291704635895E-2</v>
      </c>
      <c r="G5" s="292"/>
      <c r="I5" s="293">
        <f>портфель!Y141/1000000</f>
        <v>2258.606722775944</v>
      </c>
      <c r="J5" s="293"/>
      <c r="L5" s="290">
        <v>0</v>
      </c>
      <c r="M5" s="294"/>
    </row>
    <row r="6" spans="2:13" x14ac:dyDescent="0.25">
      <c r="C6" s="294" t="s">
        <v>319</v>
      </c>
      <c r="D6" s="294"/>
      <c r="F6" s="292" t="s">
        <v>334</v>
      </c>
      <c r="G6" s="292"/>
      <c r="I6" s="294" t="s">
        <v>320</v>
      </c>
      <c r="J6" s="294"/>
      <c r="L6" s="294" t="s">
        <v>321</v>
      </c>
      <c r="M6" s="294"/>
    </row>
    <row r="7" spans="2:13" s="250" customFormat="1" ht="79.5" customHeight="1" x14ac:dyDescent="0.2">
      <c r="C7" s="295" t="s">
        <v>322</v>
      </c>
      <c r="D7" s="295"/>
      <c r="F7" s="295" t="s">
        <v>323</v>
      </c>
      <c r="G7" s="295"/>
      <c r="I7" s="295" t="s">
        <v>335</v>
      </c>
      <c r="J7" s="295"/>
      <c r="L7" s="295" t="s">
        <v>324</v>
      </c>
      <c r="M7" s="295"/>
    </row>
    <row r="11" spans="2:13" x14ac:dyDescent="0.25">
      <c r="B11" s="289" t="s">
        <v>325</v>
      </c>
    </row>
    <row r="14" spans="2:13" x14ac:dyDescent="0.25">
      <c r="C14" s="246" t="s">
        <v>326</v>
      </c>
      <c r="G14" s="296">
        <f>Bonds!H30</f>
        <v>0.36961136719465604</v>
      </c>
    </row>
    <row r="15" spans="2:13" x14ac:dyDescent="0.25">
      <c r="C15" s="246" t="s">
        <v>327</v>
      </c>
      <c r="G15" s="296">
        <f>Bonds!H31</f>
        <v>0.16687658750572204</v>
      </c>
    </row>
    <row r="16" spans="2:13" x14ac:dyDescent="0.25">
      <c r="C16" s="246" t="str">
        <f>[2]Equities!C80</f>
        <v>Акции широкого рынка США</v>
      </c>
      <c r="G16" s="296">
        <f>Equities!I93</f>
        <v>0.15213650947306115</v>
      </c>
    </row>
    <row r="17" spans="3:7" x14ac:dyDescent="0.25">
      <c r="C17" s="246" t="str">
        <f>[2]Equities!C81</f>
        <v>Акции стоимости</v>
      </c>
      <c r="G17" s="296">
        <f>Equities!I94</f>
        <v>1.8136428611838531E-2</v>
      </c>
    </row>
    <row r="18" spans="3:7" x14ac:dyDescent="0.25">
      <c r="C18" s="246" t="str">
        <f>[2]Equities!C82</f>
        <v>Акции фондов недвижимости</v>
      </c>
      <c r="G18" s="296">
        <f>Equities!I95</f>
        <v>6.2363765893356661E-2</v>
      </c>
    </row>
    <row r="19" spans="3:7" x14ac:dyDescent="0.25">
      <c r="C19" s="246" t="str">
        <f>[2]Equities!C83</f>
        <v>Мировые акции за исключением США</v>
      </c>
      <c r="G19" s="296">
        <f>Equities!I96</f>
        <v>6.739155684856106E-2</v>
      </c>
    </row>
    <row r="20" spans="3:7" x14ac:dyDescent="0.25">
      <c r="C20" s="246" t="str">
        <f>[2]Equities!C84</f>
        <v>Акции развивающихся стран</v>
      </c>
      <c r="G20" s="296">
        <f>Equities!I97</f>
        <v>6.6046951777667368E-2</v>
      </c>
    </row>
    <row r="21" spans="3:7" x14ac:dyDescent="0.25">
      <c r="C21" s="246" t="str">
        <f>[2]Equities!C85</f>
        <v>Акции золотодобытчиков</v>
      </c>
      <c r="G21" s="296">
        <f>Equities!I98</f>
        <v>7.9523027502218235E-2</v>
      </c>
    </row>
    <row r="22" spans="3:7" x14ac:dyDescent="0.25">
      <c r="C22" s="246" t="str">
        <f>[2]Equities!C86</f>
        <v>Акции сегмента ESG (социально-ответственное инвестирование)</v>
      </c>
      <c r="G22" s="296">
        <f>Equities!I99</f>
        <v>1.7042323064816938E-2</v>
      </c>
    </row>
    <row r="23" spans="3:7" x14ac:dyDescent="0.25">
      <c r="G23" s="297"/>
    </row>
    <row r="24" spans="3:7" x14ac:dyDescent="0.25">
      <c r="G24" s="297"/>
    </row>
    <row r="25" spans="3:7" x14ac:dyDescent="0.25">
      <c r="G25" s="297"/>
    </row>
    <row r="26" spans="3:7" x14ac:dyDescent="0.25">
      <c r="C26" s="246" t="s">
        <v>2</v>
      </c>
      <c r="G26" s="296">
        <f>портфель!Z149</f>
        <v>0.46264056317151975</v>
      </c>
    </row>
    <row r="27" spans="3:7" x14ac:dyDescent="0.25">
      <c r="C27" s="246" t="s">
        <v>1</v>
      </c>
      <c r="G27" s="296">
        <f>1-G26</f>
        <v>0.5373594368284802</v>
      </c>
    </row>
    <row r="30" spans="3:7" x14ac:dyDescent="0.25">
      <c r="C30" s="297" t="s">
        <v>336</v>
      </c>
    </row>
    <row r="33" spans="2:6" x14ac:dyDescent="0.25">
      <c r="B33" s="289" t="s">
        <v>328</v>
      </c>
    </row>
    <row r="35" spans="2:6" x14ac:dyDescent="0.25">
      <c r="C35" s="298" t="s">
        <v>329</v>
      </c>
    </row>
    <row r="38" spans="2:6" x14ac:dyDescent="0.25">
      <c r="C38" s="297" t="s">
        <v>336</v>
      </c>
    </row>
    <row r="41" spans="2:6" x14ac:dyDescent="0.25">
      <c r="B41" s="289" t="s">
        <v>330</v>
      </c>
    </row>
    <row r="44" spans="2:6" x14ac:dyDescent="0.25">
      <c r="C44" s="246" t="s">
        <v>331</v>
      </c>
      <c r="F44" s="296">
        <f>Bonds!H30</f>
        <v>0.36961136719465604</v>
      </c>
    </row>
    <row r="45" spans="2:6" x14ac:dyDescent="0.25">
      <c r="C45" s="246" t="s">
        <v>327</v>
      </c>
      <c r="F45" s="296">
        <f>Bonds!H31</f>
        <v>0.16687658750572204</v>
      </c>
    </row>
    <row r="46" spans="2:6" x14ac:dyDescent="0.25">
      <c r="C46" s="246" t="s">
        <v>250</v>
      </c>
      <c r="F46" s="299">
        <f>Equities!G120</f>
        <v>6.2397326916763356E-2</v>
      </c>
    </row>
    <row r="47" spans="2:6" x14ac:dyDescent="0.25">
      <c r="C47" s="246" t="s">
        <v>246</v>
      </c>
      <c r="F47" s="299">
        <f>Equities!G116</f>
        <v>8.9739182556297759E-2</v>
      </c>
    </row>
    <row r="48" spans="2:6" x14ac:dyDescent="0.25">
      <c r="C48" s="246" t="s">
        <v>253</v>
      </c>
      <c r="F48" s="299">
        <f>Equities!G122</f>
        <v>1.8136428611838531E-2</v>
      </c>
    </row>
    <row r="49" spans="2:6" x14ac:dyDescent="0.25">
      <c r="C49" s="246" t="s">
        <v>252</v>
      </c>
      <c r="F49" s="299">
        <f>Equities!G123</f>
        <v>1.7042323064816938E-2</v>
      </c>
    </row>
    <row r="50" spans="2:6" x14ac:dyDescent="0.25">
      <c r="C50" s="246" t="s">
        <v>251</v>
      </c>
      <c r="F50" s="299">
        <f>Equities!G121</f>
        <v>6.2363765893356661E-2</v>
      </c>
    </row>
    <row r="51" spans="2:6" x14ac:dyDescent="0.25">
      <c r="C51" s="246" t="s">
        <v>248</v>
      </c>
      <c r="F51" s="299">
        <f>Equities!G118</f>
        <v>6.7391556848561074E-2</v>
      </c>
    </row>
    <row r="52" spans="2:6" x14ac:dyDescent="0.25">
      <c r="C52" s="246" t="s">
        <v>249</v>
      </c>
      <c r="F52" s="299">
        <f>Equities!G119</f>
        <v>6.6046951777667354E-2</v>
      </c>
    </row>
    <row r="53" spans="2:6" x14ac:dyDescent="0.25">
      <c r="C53" s="246" t="s">
        <v>247</v>
      </c>
      <c r="F53" s="299">
        <f>Equities!G117</f>
        <v>7.2314210379928509E-2</v>
      </c>
    </row>
    <row r="54" spans="2:6" x14ac:dyDescent="0.25">
      <c r="C54" s="246" t="s">
        <v>254</v>
      </c>
      <c r="F54" s="299">
        <f>Equities!G124</f>
        <v>7.2088171222897263E-3</v>
      </c>
    </row>
    <row r="56" spans="2:6" x14ac:dyDescent="0.25">
      <c r="C56" s="297" t="s">
        <v>336</v>
      </c>
    </row>
    <row r="59" spans="2:6" x14ac:dyDescent="0.25">
      <c r="B59" s="289" t="s">
        <v>332</v>
      </c>
    </row>
    <row r="61" spans="2:6" x14ac:dyDescent="0.25">
      <c r="C61" s="298" t="s">
        <v>333</v>
      </c>
    </row>
  </sheetData>
  <mergeCells count="12">
    <mergeCell ref="C7:D7"/>
    <mergeCell ref="F7:G7"/>
    <mergeCell ref="I7:J7"/>
    <mergeCell ref="L7:M7"/>
    <mergeCell ref="C5:D5"/>
    <mergeCell ref="F5:G5"/>
    <mergeCell ref="I5:J5"/>
    <mergeCell ref="L5:M5"/>
    <mergeCell ref="C6:D6"/>
    <mergeCell ref="F6:G6"/>
    <mergeCell ref="I6:J6"/>
    <mergeCell ref="L6:M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портфель</vt:lpstr>
      <vt:lpstr>Equities</vt:lpstr>
      <vt:lpstr>Bonds</vt:lpstr>
      <vt:lpstr>доход УК</vt:lpstr>
      <vt:lpstr>стоимость УПЕ</vt:lpstr>
      <vt:lpstr>Base rate</vt:lpstr>
      <vt:lpstr>Exchange</vt:lpstr>
      <vt:lpstr>Website</vt:lpstr>
      <vt:lpstr>портфель!__MAIN__</vt:lpstr>
      <vt:lpstr>'стоимость УПЕ'!__MAIN__</vt:lpstr>
      <vt:lpstr>__mdDATABody__</vt:lpstr>
      <vt:lpstr>портфель!__mdDATABondsGov__</vt:lpstr>
      <vt:lpstr>портфель!__mdDATADepos__</vt:lpstr>
      <vt:lpstr>портфель!__mdDATAremainders__</vt:lpstr>
      <vt:lpstr>портфель!__mdDATASharesPLC__</vt:lpstr>
      <vt:lpstr>портфель!Print_Area</vt:lpstr>
    </vt:vector>
  </TitlesOfParts>
  <Company>SoftRise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Baglan IBRAYEV</cp:lastModifiedBy>
  <dcterms:created xsi:type="dcterms:W3CDTF">2006-09-11T11:14:54Z</dcterms:created>
  <dcterms:modified xsi:type="dcterms:W3CDTF">2021-09-02T09:21:34Z</dcterms:modified>
</cp:coreProperties>
</file>