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kdar\OneDrive - DePaul University\Year 2\Business Performance Analysis\Project\"/>
    </mc:Choice>
  </mc:AlternateContent>
  <bookViews>
    <workbookView xWindow="0" yWindow="840" windowWidth="34200" windowHeight="21405" activeTab="1"/>
  </bookViews>
  <sheets>
    <sheet name="Liquidity" sheetId="3" r:id="rId1"/>
    <sheet name="Leverage" sheetId="4" r:id="rId2"/>
    <sheet name="Profitability" sheetId="5" r:id="rId3"/>
    <sheet name="Market" sheetId="7" r:id="rId4"/>
    <sheet name="Comaprison tabl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5" l="1"/>
  <c r="L14" i="5"/>
  <c r="K14" i="5"/>
  <c r="J14" i="5"/>
  <c r="M7" i="5"/>
  <c r="L7" i="5"/>
  <c r="K7" i="5"/>
  <c r="J7" i="5"/>
  <c r="C14" i="5"/>
  <c r="D14" i="5"/>
  <c r="E14" i="5"/>
  <c r="B14" i="5"/>
  <c r="C7" i="5"/>
  <c r="D7" i="5"/>
  <c r="E7" i="5"/>
  <c r="B7" i="5"/>
  <c r="J18" i="7"/>
  <c r="K18" i="7"/>
  <c r="L18" i="7"/>
  <c r="M18" i="7"/>
  <c r="I18" i="7"/>
  <c r="J18" i="3"/>
  <c r="K18" i="3"/>
  <c r="L18" i="3"/>
  <c r="M18" i="3"/>
  <c r="I18" i="3"/>
  <c r="M16" i="3"/>
  <c r="L16" i="3"/>
  <c r="K16" i="3"/>
  <c r="J16" i="3"/>
  <c r="I16" i="3"/>
  <c r="J17" i="3"/>
  <c r="K17" i="3"/>
  <c r="L17" i="3"/>
  <c r="M17" i="3"/>
  <c r="I17" i="3"/>
  <c r="J12" i="3"/>
  <c r="K12" i="3"/>
  <c r="L12" i="3"/>
  <c r="M12" i="3"/>
  <c r="I12" i="3"/>
  <c r="M10" i="3"/>
  <c r="L10" i="3"/>
  <c r="K10" i="3"/>
  <c r="J10" i="3"/>
  <c r="I10" i="3"/>
  <c r="J11" i="3"/>
  <c r="K11" i="3"/>
  <c r="L11" i="3"/>
  <c r="M11" i="3"/>
  <c r="I11" i="3"/>
  <c r="K6" i="3"/>
  <c r="L6" i="3"/>
  <c r="M6" i="3"/>
  <c r="J6" i="3"/>
  <c r="I6" i="3"/>
  <c r="J12" i="4"/>
  <c r="K12" i="4"/>
  <c r="L12" i="4"/>
  <c r="M12" i="4"/>
  <c r="I12" i="4"/>
  <c r="K11" i="4"/>
  <c r="L11" i="4"/>
  <c r="M11" i="4"/>
  <c r="J11" i="4"/>
  <c r="I11" i="4"/>
  <c r="K10" i="4"/>
  <c r="J10" i="4"/>
  <c r="I10" i="4"/>
  <c r="L10" i="4"/>
  <c r="M10" i="4"/>
  <c r="J6" i="4"/>
  <c r="K6" i="4"/>
  <c r="L6" i="4"/>
  <c r="M6" i="4"/>
  <c r="I6" i="4"/>
  <c r="J18" i="4"/>
  <c r="K18" i="4"/>
  <c r="L18" i="4"/>
  <c r="M18" i="4"/>
  <c r="I18" i="4"/>
  <c r="J16" i="4"/>
  <c r="K16" i="4"/>
  <c r="L16" i="4"/>
  <c r="M16" i="4"/>
  <c r="I16" i="4"/>
  <c r="K33" i="5"/>
  <c r="L33" i="5"/>
  <c r="M33" i="5"/>
  <c r="N33" i="5"/>
  <c r="J33" i="5"/>
  <c r="K31" i="5"/>
  <c r="L31" i="5"/>
  <c r="M31" i="5"/>
  <c r="N31" i="5"/>
  <c r="J31" i="5"/>
  <c r="K27" i="5"/>
  <c r="L27" i="5"/>
  <c r="M27" i="5"/>
  <c r="N27" i="5"/>
  <c r="J27" i="5"/>
  <c r="K20" i="5"/>
  <c r="L20" i="5"/>
  <c r="M20" i="5"/>
  <c r="N20" i="5"/>
  <c r="J20" i="5"/>
  <c r="J18" i="5"/>
  <c r="K18" i="5"/>
  <c r="L18" i="5"/>
  <c r="M18" i="5"/>
  <c r="N18" i="5"/>
  <c r="K13" i="5"/>
  <c r="L13" i="5"/>
  <c r="M13" i="5"/>
  <c r="N13" i="5"/>
  <c r="J13" i="5"/>
  <c r="N6" i="5"/>
  <c r="K6" i="5"/>
  <c r="L6" i="5"/>
  <c r="M6" i="5"/>
  <c r="J6" i="5"/>
  <c r="N4" i="5"/>
  <c r="M4" i="5"/>
  <c r="L4" i="5"/>
  <c r="K4" i="5"/>
  <c r="J4" i="5"/>
  <c r="F4" i="5"/>
  <c r="L19" i="5"/>
  <c r="M19" i="5"/>
  <c r="N19" i="5"/>
  <c r="K19" i="5"/>
  <c r="J19" i="5"/>
  <c r="L11" i="5"/>
  <c r="M11" i="5"/>
  <c r="N11" i="5"/>
  <c r="K11" i="5"/>
  <c r="J11" i="5"/>
  <c r="J24" i="7"/>
  <c r="K24" i="7"/>
  <c r="L24" i="7"/>
  <c r="M24" i="7"/>
  <c r="I24" i="7"/>
  <c r="J22" i="7"/>
  <c r="K22" i="7"/>
  <c r="L22" i="7"/>
  <c r="M22" i="7"/>
  <c r="I22" i="7"/>
  <c r="J16" i="7"/>
  <c r="I16" i="7"/>
  <c r="M16" i="7"/>
  <c r="L16" i="7"/>
  <c r="K16" i="7"/>
  <c r="J17" i="7"/>
  <c r="K17" i="7"/>
  <c r="L17" i="7"/>
  <c r="M17" i="7"/>
  <c r="I17" i="7"/>
  <c r="J11" i="7"/>
  <c r="J12" i="7" s="1"/>
  <c r="K11" i="7"/>
  <c r="K12" i="7" s="1"/>
  <c r="J6" i="7"/>
  <c r="K6" i="7"/>
  <c r="L6" i="7"/>
  <c r="L11" i="7" s="1"/>
  <c r="L12" i="7" s="1"/>
  <c r="M6" i="7"/>
  <c r="M11" i="7" s="1"/>
  <c r="M12" i="7" s="1"/>
  <c r="I6" i="7"/>
  <c r="I11" i="7" s="1"/>
  <c r="I12" i="7" s="1"/>
  <c r="D22" i="7"/>
  <c r="D24" i="7" s="1"/>
  <c r="B24" i="7"/>
  <c r="C22" i="7"/>
  <c r="C24" i="7" s="1"/>
  <c r="E22" i="7"/>
  <c r="E24" i="7" s="1"/>
  <c r="F22" i="7"/>
  <c r="F24" i="7" s="1"/>
  <c r="B22" i="7"/>
  <c r="E16" i="7"/>
  <c r="E18" i="7" s="1"/>
  <c r="F16" i="7"/>
  <c r="D16" i="7"/>
  <c r="C16" i="7"/>
  <c r="C18" i="7" s="1"/>
  <c r="B16" i="7"/>
  <c r="C17" i="7"/>
  <c r="C11" i="7"/>
  <c r="C12" i="7" s="1"/>
  <c r="D11" i="7"/>
  <c r="D12" i="7" s="1"/>
  <c r="E11" i="7"/>
  <c r="E12" i="7" s="1"/>
  <c r="C6" i="7"/>
  <c r="D6" i="7"/>
  <c r="D17" i="7" s="1"/>
  <c r="E6" i="7"/>
  <c r="E17" i="7" s="1"/>
  <c r="F6" i="7"/>
  <c r="F11" i="7" s="1"/>
  <c r="F12" i="7" s="1"/>
  <c r="B6" i="7"/>
  <c r="B11" i="7" s="1"/>
  <c r="B12" i="7" s="1"/>
  <c r="C18" i="4"/>
  <c r="D18" i="4"/>
  <c r="E18" i="4"/>
  <c r="F18" i="4"/>
  <c r="B18" i="4"/>
  <c r="F11" i="4"/>
  <c r="E11" i="4"/>
  <c r="D11" i="4"/>
  <c r="C11" i="4"/>
  <c r="B11" i="4"/>
  <c r="C12" i="4"/>
  <c r="D12" i="4"/>
  <c r="E12" i="4"/>
  <c r="F12" i="4"/>
  <c r="B12" i="4"/>
  <c r="F10" i="4"/>
  <c r="E10" i="4"/>
  <c r="D10" i="4"/>
  <c r="C10" i="4"/>
  <c r="B10" i="4"/>
  <c r="C6" i="4"/>
  <c r="D6" i="4"/>
  <c r="E6" i="4"/>
  <c r="F6" i="4"/>
  <c r="B6" i="4"/>
  <c r="F16" i="4"/>
  <c r="E16" i="4"/>
  <c r="D16" i="4"/>
  <c r="C16" i="4"/>
  <c r="B16" i="4"/>
  <c r="F18" i="3"/>
  <c r="E16" i="3"/>
  <c r="E18" i="3" s="1"/>
  <c r="C18" i="3"/>
  <c r="C16" i="3"/>
  <c r="B18" i="3"/>
  <c r="B16" i="3"/>
  <c r="D18" i="3"/>
  <c r="D16" i="3"/>
  <c r="C33" i="5"/>
  <c r="D33" i="5"/>
  <c r="E33" i="5"/>
  <c r="F33" i="5"/>
  <c r="B33" i="5"/>
  <c r="E4" i="5"/>
  <c r="D4" i="5"/>
  <c r="C4" i="5"/>
  <c r="B4" i="5"/>
  <c r="B6" i="5" s="1"/>
  <c r="C6" i="5"/>
  <c r="C27" i="5"/>
  <c r="D27" i="5"/>
  <c r="E27" i="5"/>
  <c r="F27" i="5"/>
  <c r="B27" i="5"/>
  <c r="D6" i="5"/>
  <c r="E6" i="5"/>
  <c r="F6" i="5"/>
  <c r="C13" i="5"/>
  <c r="D13" i="5"/>
  <c r="E13" i="5"/>
  <c r="F13" i="5"/>
  <c r="B13" i="5"/>
  <c r="F20" i="5"/>
  <c r="E20" i="5"/>
  <c r="D20" i="5"/>
  <c r="C20" i="5"/>
  <c r="B20" i="5"/>
  <c r="B18" i="5"/>
  <c r="C18" i="5"/>
  <c r="E18" i="5"/>
  <c r="B31" i="5"/>
  <c r="C31" i="5"/>
  <c r="D31" i="5"/>
  <c r="D18" i="5"/>
  <c r="B19" i="5"/>
  <c r="C19" i="5"/>
  <c r="D19" i="5"/>
  <c r="B11" i="5"/>
  <c r="C11" i="5"/>
  <c r="D11" i="5"/>
  <c r="E31" i="5"/>
  <c r="F31" i="5"/>
  <c r="E19" i="5"/>
  <c r="F19" i="5"/>
  <c r="F18" i="5"/>
  <c r="E11" i="5"/>
  <c r="F11" i="5"/>
  <c r="F11" i="3"/>
  <c r="E11" i="3"/>
  <c r="D11" i="3"/>
  <c r="C11" i="3"/>
  <c r="B11" i="3"/>
  <c r="F10" i="3"/>
  <c r="F12" i="3" s="1"/>
  <c r="E10" i="3"/>
  <c r="E12" i="3" s="1"/>
  <c r="D10" i="3"/>
  <c r="D12" i="3" s="1"/>
  <c r="C10" i="3"/>
  <c r="B10" i="3"/>
  <c r="D6" i="3"/>
  <c r="E6" i="3"/>
  <c r="F6" i="3"/>
  <c r="C6" i="3"/>
  <c r="B6" i="3"/>
  <c r="D18" i="7" l="1"/>
  <c r="B17" i="7"/>
  <c r="B18" i="7" s="1"/>
  <c r="F17" i="7"/>
  <c r="F18" i="7" s="1"/>
  <c r="B12" i="3"/>
  <c r="C12" i="3"/>
</calcChain>
</file>

<file path=xl/sharedStrings.xml><?xml version="1.0" encoding="utf-8"?>
<sst xmlns="http://schemas.openxmlformats.org/spreadsheetml/2006/main" count="213" uniqueCount="97">
  <si>
    <t>Ford Motors</t>
  </si>
  <si>
    <t>GM Motors</t>
  </si>
  <si>
    <t>Current Ratio</t>
  </si>
  <si>
    <t>In Millions</t>
  </si>
  <si>
    <t>Total Current Assets</t>
  </si>
  <si>
    <t>Total Current Liabilities</t>
  </si>
  <si>
    <t>Current Ratio:</t>
  </si>
  <si>
    <t>Quick Ratio</t>
  </si>
  <si>
    <t>Current assests- Inventory</t>
  </si>
  <si>
    <t>Quick Ratio:</t>
  </si>
  <si>
    <t>Current assests - Inventory</t>
  </si>
  <si>
    <t>Cash Flow Liquidity:</t>
  </si>
  <si>
    <t>(Cash and cash equivalents + marketable securities + cash flow from operating activities)</t>
  </si>
  <si>
    <t>Current liabilities</t>
  </si>
  <si>
    <t>Cash Flow Liquidity</t>
  </si>
  <si>
    <t>FORD Motors</t>
  </si>
  <si>
    <t>Profitability Ratio - Gross Margin</t>
  </si>
  <si>
    <t>Gross Margin</t>
  </si>
  <si>
    <t>Net Revenue</t>
  </si>
  <si>
    <t>Gross Margin %</t>
  </si>
  <si>
    <t>YoY % Change</t>
  </si>
  <si>
    <t>Profitability Ratio - Operating Margin</t>
  </si>
  <si>
    <t>Profitability Ratio - Free Cash Flow Margin</t>
  </si>
  <si>
    <t>Profitability Ratio - Return on Investment (ROI)</t>
  </si>
  <si>
    <t>Profitability Ratio - Return on Equity (ROE)</t>
  </si>
  <si>
    <t>Net Earnings</t>
  </si>
  <si>
    <t>Total Stockholders' Equity</t>
  </si>
  <si>
    <t>Return on Equity</t>
  </si>
  <si>
    <t>Total Assets</t>
  </si>
  <si>
    <t>Return on Investment</t>
  </si>
  <si>
    <t>Free Cash Flow</t>
  </si>
  <si>
    <t>Free Cash Flow Margin</t>
  </si>
  <si>
    <t>Operating Income</t>
  </si>
  <si>
    <t>Net Operating Margin</t>
  </si>
  <si>
    <t>Ford Motors - Liquidity Ratios</t>
  </si>
  <si>
    <t>GM Motors- Liquidity Ratios</t>
  </si>
  <si>
    <t>FORD MOTORS - Leverage Ratios</t>
  </si>
  <si>
    <t>Debt Ratio</t>
  </si>
  <si>
    <t>Total liabilities</t>
  </si>
  <si>
    <t>Total assets</t>
  </si>
  <si>
    <t>Debt Ratio:</t>
  </si>
  <si>
    <t>Long-term debt to total capitalization</t>
  </si>
  <si>
    <t>Long-term debt</t>
  </si>
  <si>
    <t>Long-term debt + stockholder's equity</t>
  </si>
  <si>
    <t>Long-term debt to total capitalization:</t>
  </si>
  <si>
    <t>Debt to equity:</t>
  </si>
  <si>
    <t>Stockholder's equity</t>
  </si>
  <si>
    <t>Debt to equity</t>
  </si>
  <si>
    <t>GM MOTORS - Leverage Ratios</t>
  </si>
  <si>
    <t>Earnings per common share</t>
  </si>
  <si>
    <t>In billions</t>
  </si>
  <si>
    <t>Net earnings</t>
  </si>
  <si>
    <t>Average common shares outstanding</t>
  </si>
  <si>
    <t>Price to earnings</t>
  </si>
  <si>
    <t>Dividend payout</t>
  </si>
  <si>
    <t>Dividend yield</t>
  </si>
  <si>
    <t>Market price of common stock</t>
  </si>
  <si>
    <t>Earnings per share</t>
  </si>
  <si>
    <t>Dividends per share</t>
  </si>
  <si>
    <t>Financial Ratios</t>
  </si>
  <si>
    <t>Liquidity Ratios</t>
  </si>
  <si>
    <t xml:space="preserve">Leverage Ratios </t>
  </si>
  <si>
    <t>Profitability Ratios</t>
  </si>
  <si>
    <t>Ford (2022)</t>
  </si>
  <si>
    <t>General Motors (2022)</t>
  </si>
  <si>
    <t>Market Ratios</t>
  </si>
  <si>
    <t>Financial Ratio Analysis</t>
  </si>
  <si>
    <t>Ford's negative EPS indicates a loss, while GM's positive EPS reflects profitability on a per-share basis.</t>
  </si>
  <si>
    <t>Ford's current ratio of 1.2, compared to GM's 1.1, suggests that Ford has a marginally stronger ability to meet its short-term liabilities with its short-term assets.</t>
  </si>
  <si>
    <t>Ford's quick ratio of 1.06 indicates a slightly higher capacity than GM's 0.93 to fulfill its immediate obligations without selling inventory.</t>
  </si>
  <si>
    <t>Both Ford and GM maintain comparable cash flow liquidity ratios (0.53 and 0.52, respectively), implying a similar ability to handle short-term debts through available cash and operational income.</t>
  </si>
  <si>
    <t>Ford's debt ratio of 0.83 signifies more asset reliance on debt than GM's 0.73.</t>
  </si>
  <si>
    <t>Ford's long-term debt to capitalization ratio of 0.67 exceeds GM's 0.53, indicating Ford's greater reliance on long-term debt financing.</t>
  </si>
  <si>
    <t>Ford's debt to equity ratio of 4.93, substantially higher than GM's 2.83, signals Ford's greater use of debt in its financial structure.</t>
  </si>
  <si>
    <t>Ford's gross margin of 14.97% surpasses GM's 12.79%, suggesting Ford has a more efficient cost structure in generating revenue from its sales.</t>
  </si>
  <si>
    <t>Ford's negative net operating margin (-3.97%) reflects operational losses, contrasting with GM's positive margin (10.63%), signaling its operational profitability.</t>
  </si>
  <si>
    <t>Ford's negative free cash flow margin (-0.01%) points to challenges in generating cash from operations, while GM's positive margin (4.34%) demonstrates effective cash generation compared to its revenue.</t>
  </si>
  <si>
    <t>Ford's negative ROI of -1.18% indicates a loss on its assets, while GM's positive ROI of 3.66% reflects efficient asset utilization to generate profits.</t>
  </si>
  <si>
    <t>Ford's negative ROE of -6.99% indicates shareholders are facing losses, while GM's positive ROE of 14.32% shows it's generating profit from shareholders' equity.</t>
  </si>
  <si>
    <t>Ford's negative P/E ratio reflects its earnings loss, while GM's P/E of 2.27 suggests its earnings are priced modestly by the market.</t>
  </si>
  <si>
    <t>Ford's negative dividend payout is a result of its loss per share, whereas GM's positive ratio shows it distributes part of its earnings as dividends.</t>
  </si>
  <si>
    <t>A higher dividend yield for Ford suggests it provides more income per invested dollar than GM, although stock price context is essential for complete analysis.</t>
  </si>
  <si>
    <r>
      <rPr>
        <b/>
        <sz val="16"/>
        <color theme="1"/>
        <rFont val="Calibri"/>
        <family val="2"/>
        <scheme val="minor"/>
      </rPr>
      <t>Current Ratio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Current Assets / Current Liabilities</t>
    </r>
  </si>
  <si>
    <r>
      <rPr>
        <b/>
        <sz val="16"/>
        <color theme="1"/>
        <rFont val="Calibri"/>
        <family val="2"/>
        <scheme val="minor"/>
      </rPr>
      <t>Quick Ratio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(Current Assets - Inventory) / Total Current Liabilities</t>
    </r>
  </si>
  <si>
    <r>
      <rPr>
        <b/>
        <sz val="16"/>
        <color theme="1"/>
        <rFont val="Calibri"/>
        <family val="2"/>
        <scheme val="minor"/>
      </rPr>
      <t>Cash Flow Liquidity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(Cash and cash equivalents + marketable securities + cash flow from operating activities)</t>
    </r>
  </si>
  <si>
    <r>
      <rPr>
        <b/>
        <sz val="16"/>
        <color theme="1"/>
        <rFont val="Calibri"/>
        <family val="2"/>
        <scheme val="minor"/>
      </rPr>
      <t>Debt ratio</t>
    </r>
    <r>
      <rPr>
        <sz val="16"/>
        <color theme="1"/>
        <rFont val="Calibri"/>
        <family val="2"/>
        <scheme val="minor"/>
      </rPr>
      <t xml:space="preserve"> =</t>
    </r>
    <r>
      <rPr>
        <i/>
        <sz val="16"/>
        <color theme="1"/>
        <rFont val="Calibri"/>
        <family val="2"/>
        <scheme val="minor"/>
      </rPr>
      <t xml:space="preserve"> Total liabilities / Total assets</t>
    </r>
  </si>
  <si>
    <r>
      <rPr>
        <b/>
        <i/>
        <sz val="16"/>
        <color theme="1"/>
        <rFont val="Calibri"/>
        <family val="2"/>
        <scheme val="minor"/>
      </rPr>
      <t>Long-term debt to total capitalization</t>
    </r>
    <r>
      <rPr>
        <i/>
        <sz val="16"/>
        <color theme="1"/>
        <rFont val="Calibri"/>
        <family val="2"/>
        <scheme val="minor"/>
      </rPr>
      <t xml:space="preserve"> = Long-term debt / (Long-term debt + stockholder's equity)</t>
    </r>
  </si>
  <si>
    <r>
      <rPr>
        <b/>
        <sz val="16"/>
        <color theme="1"/>
        <rFont val="Calibri"/>
        <family val="2"/>
        <scheme val="minor"/>
      </rPr>
      <t>Debt to Equity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Total liabilities / Stockholder's equity</t>
    </r>
  </si>
  <si>
    <r>
      <rPr>
        <b/>
        <sz val="16"/>
        <color theme="1"/>
        <rFont val="Calibri"/>
        <family val="2"/>
        <scheme val="minor"/>
      </rPr>
      <t>Gross Margin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Gross Margin / Net Revenue</t>
    </r>
  </si>
  <si>
    <r>
      <rPr>
        <b/>
        <sz val="16"/>
        <color theme="1"/>
        <rFont val="Calibri"/>
        <family val="2"/>
        <scheme val="minor"/>
      </rPr>
      <t>Net Operating Margin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Operating Income / Net Revenue</t>
    </r>
  </si>
  <si>
    <r>
      <rPr>
        <b/>
        <sz val="16"/>
        <color theme="1"/>
        <rFont val="Calibri"/>
        <family val="2"/>
        <scheme val="minor"/>
      </rPr>
      <t>Free Cash Flow Margin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Free Cash Flow / Net Revenue</t>
    </r>
  </si>
  <si>
    <r>
      <rPr>
        <b/>
        <sz val="16"/>
        <color theme="1"/>
        <rFont val="Calibri"/>
        <family val="2"/>
        <scheme val="minor"/>
      </rPr>
      <t>Return on Investment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Net Earning / Total Assets</t>
    </r>
  </si>
  <si>
    <r>
      <rPr>
        <b/>
        <sz val="16"/>
        <color theme="1"/>
        <rFont val="Calibri"/>
        <family val="2"/>
        <scheme val="minor"/>
      </rPr>
      <t xml:space="preserve">Return on Equity </t>
    </r>
    <r>
      <rPr>
        <sz val="16"/>
        <color theme="1"/>
        <rFont val="Calibri"/>
        <family val="2"/>
        <scheme val="minor"/>
      </rPr>
      <t xml:space="preserve">= </t>
    </r>
    <r>
      <rPr>
        <i/>
        <sz val="16"/>
        <color theme="1"/>
        <rFont val="Calibri"/>
        <family val="2"/>
        <scheme val="minor"/>
      </rPr>
      <t>Net Earnings / Total Stockholder's Equity</t>
    </r>
  </si>
  <si>
    <r>
      <rPr>
        <b/>
        <sz val="16"/>
        <color theme="1"/>
        <rFont val="Calibri"/>
        <family val="2"/>
        <scheme val="minor"/>
      </rPr>
      <t>Earnings per common share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Net Earnings / Average common shares outstanding</t>
    </r>
  </si>
  <si>
    <r>
      <rPr>
        <b/>
        <sz val="16"/>
        <color theme="1"/>
        <rFont val="Calibri"/>
        <family val="2"/>
        <scheme val="minor"/>
      </rPr>
      <t>Price to Earnings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Market price of common stock / Earnings per share</t>
    </r>
  </si>
  <si>
    <r>
      <rPr>
        <b/>
        <sz val="16"/>
        <color theme="1"/>
        <rFont val="Calibri"/>
        <family val="2"/>
        <scheme val="minor"/>
      </rPr>
      <t>Dividend payout</t>
    </r>
    <r>
      <rPr>
        <sz val="16"/>
        <color theme="1"/>
        <rFont val="Calibri"/>
        <family val="2"/>
        <scheme val="minor"/>
      </rPr>
      <t xml:space="preserve"> = </t>
    </r>
    <r>
      <rPr>
        <i/>
        <sz val="16"/>
        <color theme="1"/>
        <rFont val="Calibri"/>
        <family val="2"/>
        <scheme val="minor"/>
      </rPr>
      <t>Dividends per share / Earnings per share</t>
    </r>
  </si>
  <si>
    <r>
      <rPr>
        <b/>
        <sz val="16"/>
        <color theme="1"/>
        <rFont val="Calibri"/>
        <family val="2"/>
        <scheme val="minor"/>
      </rPr>
      <t xml:space="preserve">Dividend yield </t>
    </r>
    <r>
      <rPr>
        <sz val="16"/>
        <color theme="1"/>
        <rFont val="Calibri"/>
        <family val="2"/>
        <scheme val="minor"/>
      </rPr>
      <t xml:space="preserve">= </t>
    </r>
    <r>
      <rPr>
        <i/>
        <sz val="16"/>
        <color theme="1"/>
        <rFont val="Calibri"/>
        <family val="2"/>
        <scheme val="minor"/>
      </rPr>
      <t>Dividends per share / Market price of common stock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</si>
</sst>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DA0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44" fontId="0" fillId="7" borderId="1" xfId="1" applyFont="1" applyFill="1" applyBorder="1"/>
    <xf numFmtId="0" fontId="0" fillId="8" borderId="1" xfId="0" applyFill="1" applyBorder="1"/>
    <xf numFmtId="2" fontId="0" fillId="8" borderId="1" xfId="0" applyNumberFormat="1" applyFill="1" applyBorder="1"/>
    <xf numFmtId="0" fontId="0" fillId="0" borderId="1" xfId="0" applyBorder="1"/>
    <xf numFmtId="0" fontId="0" fillId="7" borderId="1" xfId="0" applyFill="1" applyBorder="1" applyAlignment="1">
      <alignment wrapText="1"/>
    </xf>
    <xf numFmtId="0" fontId="0" fillId="8" borderId="2" xfId="0" applyFill="1" applyBorder="1"/>
    <xf numFmtId="2" fontId="0" fillId="8" borderId="2" xfId="0" applyNumberFormat="1" applyFill="1" applyBorder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9" borderId="1" xfId="0" applyFill="1" applyBorder="1" applyAlignment="1">
      <alignment wrapText="1"/>
    </xf>
    <xf numFmtId="0" fontId="0" fillId="9" borderId="1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0" fontId="0" fillId="11" borderId="1" xfId="0" applyFill="1" applyBorder="1" applyAlignment="1">
      <alignment wrapText="1"/>
    </xf>
    <xf numFmtId="164" fontId="0" fillId="11" borderId="1" xfId="1" applyNumberFormat="1" applyFont="1" applyFill="1" applyBorder="1"/>
    <xf numFmtId="0" fontId="0" fillId="11" borderId="1" xfId="0" applyFill="1" applyBorder="1"/>
    <xf numFmtId="0" fontId="0" fillId="12" borderId="1" xfId="0" applyFill="1" applyBorder="1" applyAlignment="1">
      <alignment wrapText="1"/>
    </xf>
    <xf numFmtId="2" fontId="0" fillId="12" borderId="1" xfId="0" applyNumberFormat="1" applyFill="1" applyBorder="1"/>
    <xf numFmtId="164" fontId="0" fillId="11" borderId="1" xfId="0" applyNumberFormat="1" applyFill="1" applyBorder="1"/>
    <xf numFmtId="44" fontId="0" fillId="11" borderId="1" xfId="1" applyFont="1" applyFill="1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2" fillId="0" borderId="7" xfId="0" applyFont="1" applyBorder="1"/>
    <xf numFmtId="0" fontId="2" fillId="0" borderId="8" xfId="0" applyFont="1" applyBorder="1"/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44" fontId="0" fillId="9" borderId="1" xfId="1" applyFon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horizontal="center" wrapText="1"/>
    </xf>
    <xf numFmtId="0" fontId="0" fillId="14" borderId="1" xfId="0" applyFill="1" applyBorder="1" applyAlignment="1">
      <alignment wrapText="1"/>
    </xf>
    <xf numFmtId="0" fontId="2" fillId="16" borderId="1" xfId="0" applyFont="1" applyFill="1" applyBorder="1" applyAlignment="1">
      <alignment horizontal="left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44" fontId="2" fillId="11" borderId="1" xfId="0" applyNumberFormat="1" applyFont="1" applyFill="1" applyBorder="1"/>
    <xf numFmtId="0" fontId="2" fillId="12" borderId="1" xfId="0" applyFont="1" applyFill="1" applyBorder="1"/>
    <xf numFmtId="2" fontId="2" fillId="12" borderId="1" xfId="0" applyNumberFormat="1" applyFont="1" applyFill="1" applyBorder="1"/>
    <xf numFmtId="0" fontId="2" fillId="10" borderId="1" xfId="0" applyFont="1" applyFill="1" applyBorder="1" applyAlignment="1">
      <alignment wrapText="1"/>
    </xf>
    <xf numFmtId="0" fontId="2" fillId="11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wrapText="1"/>
    </xf>
    <xf numFmtId="44" fontId="2" fillId="11" borderId="1" xfId="1" applyFont="1" applyFill="1" applyBorder="1"/>
    <xf numFmtId="0" fontId="2" fillId="0" borderId="7" xfId="0" applyFont="1" applyBorder="1" applyAlignment="1">
      <alignment wrapText="1"/>
    </xf>
    <xf numFmtId="44" fontId="0" fillId="13" borderId="1" xfId="1" applyFont="1" applyFill="1" applyBorder="1"/>
    <xf numFmtId="10" fontId="0" fillId="10" borderId="1" xfId="2" applyNumberFormat="1" applyFont="1" applyFill="1" applyBorder="1"/>
    <xf numFmtId="0" fontId="2" fillId="5" borderId="1" xfId="0" applyFont="1" applyFill="1" applyBorder="1"/>
    <xf numFmtId="0" fontId="2" fillId="13" borderId="1" xfId="0" applyFont="1" applyFill="1" applyBorder="1"/>
    <xf numFmtId="44" fontId="2" fillId="13" borderId="1" xfId="1" applyFont="1" applyFill="1" applyBorder="1"/>
    <xf numFmtId="10" fontId="2" fillId="10" borderId="1" xfId="2" applyNumberFormat="1" applyFont="1" applyFill="1" applyBorder="1"/>
    <xf numFmtId="0" fontId="2" fillId="0" borderId="1" xfId="0" applyFont="1" applyBorder="1"/>
    <xf numFmtId="44" fontId="0" fillId="10" borderId="1" xfId="1" applyFont="1" applyFill="1" applyBorder="1"/>
    <xf numFmtId="0" fontId="0" fillId="12" borderId="1" xfId="0" applyFill="1" applyBorder="1"/>
    <xf numFmtId="165" fontId="0" fillId="12" borderId="1" xfId="2" applyNumberFormat="1" applyFont="1" applyFill="1" applyBorder="1"/>
    <xf numFmtId="9" fontId="0" fillId="12" borderId="1" xfId="2" applyFont="1" applyFill="1" applyBorder="1"/>
    <xf numFmtId="44" fontId="0" fillId="10" borderId="1" xfId="0" applyNumberFormat="1" applyFill="1" applyBorder="1"/>
    <xf numFmtId="10" fontId="0" fillId="12" borderId="1" xfId="2" applyNumberFormat="1" applyFont="1" applyFill="1" applyBorder="1"/>
    <xf numFmtId="44" fontId="2" fillId="10" borderId="1" xfId="1" applyFont="1" applyFill="1" applyBorder="1"/>
    <xf numFmtId="44" fontId="2" fillId="10" borderId="1" xfId="0" applyNumberFormat="1" applyFont="1" applyFill="1" applyBorder="1"/>
    <xf numFmtId="10" fontId="2" fillId="12" borderId="1" xfId="2" applyNumberFormat="1" applyFont="1" applyFill="1" applyBorder="1"/>
    <xf numFmtId="0" fontId="0" fillId="16" borderId="1" xfId="0" applyFill="1" applyBorder="1"/>
    <xf numFmtId="44" fontId="0" fillId="16" borderId="1" xfId="1" applyFont="1" applyFill="1" applyBorder="1"/>
    <xf numFmtId="0" fontId="0" fillId="16" borderId="1" xfId="1" applyNumberFormat="1" applyFont="1" applyFill="1" applyBorder="1"/>
    <xf numFmtId="44" fontId="0" fillId="5" borderId="1" xfId="1" applyFont="1" applyFill="1" applyBorder="1"/>
    <xf numFmtId="44" fontId="0" fillId="16" borderId="1" xfId="0" applyNumberFormat="1" applyFill="1" applyBorder="1"/>
    <xf numFmtId="2" fontId="0" fillId="5" borderId="1" xfId="0" applyNumberFormat="1" applyFill="1" applyBorder="1"/>
    <xf numFmtId="2" fontId="0" fillId="16" borderId="1" xfId="0" applyNumberFormat="1" applyFill="1" applyBorder="1"/>
    <xf numFmtId="44" fontId="0" fillId="5" borderId="1" xfId="0" applyNumberFormat="1" applyFill="1" applyBorder="1"/>
    <xf numFmtId="2" fontId="0" fillId="10" borderId="1" xfId="0" applyNumberFormat="1" applyFill="1" applyBorder="1"/>
    <xf numFmtId="44" fontId="0" fillId="12" borderId="1" xfId="0" applyNumberFormat="1" applyFill="1" applyBorder="1"/>
    <xf numFmtId="165" fontId="0" fillId="10" borderId="1" xfId="2" applyNumberFormat="1" applyFont="1" applyFill="1" applyBorder="1"/>
    <xf numFmtId="0" fontId="4" fillId="12" borderId="12" xfId="0" applyFont="1" applyFill="1" applyBorder="1" applyAlignment="1">
      <alignment wrapText="1"/>
    </xf>
    <xf numFmtId="0" fontId="5" fillId="12" borderId="4" xfId="0" applyFont="1" applyFill="1" applyBorder="1"/>
    <xf numFmtId="0" fontId="5" fillId="12" borderId="5" xfId="0" applyFont="1" applyFill="1" applyBorder="1"/>
    <xf numFmtId="0" fontId="5" fillId="12" borderId="13" xfId="0" applyFont="1" applyFill="1" applyBorder="1"/>
    <xf numFmtId="0" fontId="5" fillId="20" borderId="14" xfId="0" applyFont="1" applyFill="1" applyBorder="1" applyAlignment="1">
      <alignment wrapText="1"/>
    </xf>
    <xf numFmtId="0" fontId="5" fillId="17" borderId="15" xfId="0" applyFont="1" applyFill="1" applyBorder="1" applyAlignment="1">
      <alignment horizontal="left" wrapText="1"/>
    </xf>
    <xf numFmtId="0" fontId="5" fillId="17" borderId="16" xfId="0" applyFont="1" applyFill="1" applyBorder="1" applyAlignment="1">
      <alignment wrapText="1"/>
    </xf>
    <xf numFmtId="0" fontId="5" fillId="17" borderId="17" xfId="0" applyFont="1" applyFill="1" applyBorder="1" applyAlignment="1">
      <alignment vertical="center" wrapText="1"/>
    </xf>
    <xf numFmtId="0" fontId="5" fillId="12" borderId="6" xfId="0" applyFont="1" applyFill="1" applyBorder="1"/>
    <xf numFmtId="0" fontId="5" fillId="20" borderId="14" xfId="0" applyFont="1" applyFill="1" applyBorder="1" applyAlignment="1">
      <alignment vertical="center" wrapText="1"/>
    </xf>
    <xf numFmtId="0" fontId="5" fillId="17" borderId="15" xfId="0" applyFont="1" applyFill="1" applyBorder="1" applyAlignment="1">
      <alignment wrapText="1"/>
    </xf>
    <xf numFmtId="0" fontId="6" fillId="20" borderId="14" xfId="0" applyFont="1" applyFill="1" applyBorder="1" applyAlignment="1">
      <alignment wrapText="1"/>
    </xf>
    <xf numFmtId="0" fontId="5" fillId="17" borderId="17" xfId="0" applyFont="1" applyFill="1" applyBorder="1" applyAlignment="1">
      <alignment wrapText="1"/>
    </xf>
    <xf numFmtId="0" fontId="5" fillId="20" borderId="14" xfId="0" applyFont="1" applyFill="1" applyBorder="1" applyAlignment="1">
      <alignment horizontal="center" wrapText="1"/>
    </xf>
    <xf numFmtId="0" fontId="5" fillId="20" borderId="18" xfId="0" applyFont="1" applyFill="1" applyBorder="1" applyAlignment="1">
      <alignment wrapText="1"/>
    </xf>
    <xf numFmtId="0" fontId="5" fillId="17" borderId="20" xfId="0" applyFont="1" applyFill="1" applyBorder="1" applyAlignment="1">
      <alignment wrapText="1"/>
    </xf>
    <xf numFmtId="0" fontId="4" fillId="18" borderId="3" xfId="0" applyFont="1" applyFill="1" applyBorder="1"/>
    <xf numFmtId="0" fontId="4" fillId="19" borderId="3" xfId="0" applyFont="1" applyFill="1" applyBorder="1"/>
    <xf numFmtId="0" fontId="4" fillId="18" borderId="1" xfId="0" applyFont="1" applyFill="1" applyBorder="1"/>
    <xf numFmtId="0" fontId="4" fillId="19" borderId="1" xfId="0" applyFont="1" applyFill="1" applyBorder="1"/>
    <xf numFmtId="0" fontId="4" fillId="18" borderId="2" xfId="0" applyFont="1" applyFill="1" applyBorder="1"/>
    <xf numFmtId="0" fontId="4" fillId="19" borderId="2" xfId="0" applyFont="1" applyFill="1" applyBorder="1"/>
    <xf numFmtId="0" fontId="4" fillId="12" borderId="4" xfId="0" applyFont="1" applyFill="1" applyBorder="1"/>
    <xf numFmtId="0" fontId="4" fillId="12" borderId="5" xfId="0" applyFont="1" applyFill="1" applyBorder="1"/>
    <xf numFmtId="10" fontId="4" fillId="18" borderId="3" xfId="0" applyNumberFormat="1" applyFont="1" applyFill="1" applyBorder="1"/>
    <xf numFmtId="10" fontId="4" fillId="19" borderId="3" xfId="0" applyNumberFormat="1" applyFont="1" applyFill="1" applyBorder="1"/>
    <xf numFmtId="10" fontId="4" fillId="18" borderId="1" xfId="0" applyNumberFormat="1" applyFont="1" applyFill="1" applyBorder="1"/>
    <xf numFmtId="10" fontId="4" fillId="19" borderId="1" xfId="0" applyNumberFormat="1" applyFont="1" applyFill="1" applyBorder="1"/>
    <xf numFmtId="10" fontId="4" fillId="18" borderId="2" xfId="0" applyNumberFormat="1" applyFont="1" applyFill="1" applyBorder="1"/>
    <xf numFmtId="10" fontId="4" fillId="19" borderId="2" xfId="2" applyNumberFormat="1" applyFont="1" applyFill="1" applyBorder="1"/>
    <xf numFmtId="8" fontId="4" fillId="18" borderId="3" xfId="0" applyNumberFormat="1" applyFont="1" applyFill="1" applyBorder="1"/>
    <xf numFmtId="2" fontId="4" fillId="18" borderId="1" xfId="1" applyNumberFormat="1" applyFont="1" applyFill="1" applyBorder="1"/>
    <xf numFmtId="8" fontId="4" fillId="18" borderId="1" xfId="0" applyNumberFormat="1" applyFont="1" applyFill="1" applyBorder="1"/>
    <xf numFmtId="8" fontId="4" fillId="19" borderId="1" xfId="0" applyNumberFormat="1" applyFont="1" applyFill="1" applyBorder="1"/>
    <xf numFmtId="8" fontId="4" fillId="18" borderId="19" xfId="0" applyNumberFormat="1" applyFont="1" applyFill="1" applyBorder="1"/>
    <xf numFmtId="8" fontId="4" fillId="19" borderId="19" xfId="0" applyNumberFormat="1" applyFont="1" applyFill="1" applyBorder="1"/>
    <xf numFmtId="0" fontId="4" fillId="20" borderId="9" xfId="0" applyFont="1" applyFill="1" applyBorder="1" applyAlignment="1">
      <alignment horizontal="left"/>
    </xf>
    <xf numFmtId="0" fontId="4" fillId="18" borderId="10" xfId="0" applyFont="1" applyFill="1" applyBorder="1" applyAlignment="1">
      <alignment horizontal="left"/>
    </xf>
    <xf numFmtId="0" fontId="4" fillId="19" borderId="10" xfId="0" applyFont="1" applyFill="1" applyBorder="1" applyAlignment="1">
      <alignment horizontal="left"/>
    </xf>
    <xf numFmtId="0" fontId="4" fillId="17" borderId="11" xfId="0" applyFont="1" applyFill="1" applyBorder="1" applyAlignment="1">
      <alignment horizontal="left"/>
    </xf>
    <xf numFmtId="0" fontId="5" fillId="20" borderId="14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D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0</xdr:row>
      <xdr:rowOff>0</xdr:rowOff>
    </xdr:from>
    <xdr:to>
      <xdr:col>25</xdr:col>
      <xdr:colOff>304800</xdr:colOff>
      <xdr:row>20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E8E7A-FFAB-FF4B-9574-BC96EAC746DA}"/>
            </a:ext>
          </a:extLst>
        </xdr:cNvPr>
        <xdr:cNvSpPr txBox="1"/>
      </xdr:nvSpPr>
      <xdr:spPr>
        <a:xfrm>
          <a:off x="13360400" y="0"/>
          <a:ext cx="6007100" cy="393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pPr algn="ctr"/>
          <a:r>
            <a:rPr lang="en-US" sz="1100"/>
            <a:t>1. Gross Margin %:</a:t>
          </a:r>
        </a:p>
        <a:p>
          <a:pPr algn="ctr"/>
          <a:r>
            <a:rPr lang="en-US" sz="1100"/>
            <a:t>   - Gross Margin = Net Revenue - COGS(Cost of Goods</a:t>
          </a:r>
          <a:r>
            <a:rPr lang="en-US" sz="1100" baseline="0"/>
            <a:t> Sold)</a:t>
          </a:r>
          <a:endParaRPr lang="en-US" sz="1100"/>
        </a:p>
        <a:p>
          <a:pPr algn="ctr"/>
          <a:r>
            <a:rPr lang="en-US" sz="1100"/>
            <a:t>   - Gross Margin % = (Gross Margin / Net Revenue) * 100</a:t>
          </a:r>
        </a:p>
        <a:p>
          <a:pPr algn="ctr"/>
          <a:endParaRPr lang="en-US" sz="1100"/>
        </a:p>
        <a:p>
          <a:pPr algn="ctr"/>
          <a:r>
            <a:rPr lang="en-US" sz="1100"/>
            <a:t>2. Operating Margin:</a:t>
          </a:r>
        </a:p>
        <a:p>
          <a:pPr algn="ctr"/>
          <a:r>
            <a:rPr lang="en-US" sz="1100"/>
            <a:t>   - Operating Margin = Operating Income / Net Revenue</a:t>
          </a:r>
        </a:p>
        <a:p>
          <a:pPr algn="ctr"/>
          <a:r>
            <a:rPr lang="en-US" sz="1100"/>
            <a:t>   - Net Operating Margin = (Operating Income / Net Revenue) * 100</a:t>
          </a:r>
        </a:p>
        <a:p>
          <a:pPr algn="ctr"/>
          <a:endParaRPr lang="en-US" sz="1100"/>
        </a:p>
        <a:p>
          <a:pPr algn="ctr"/>
          <a:r>
            <a:rPr lang="en-US" sz="1100"/>
            <a:t>3. Free Cash Flow Margin:</a:t>
          </a:r>
        </a:p>
        <a:p>
          <a:pPr algn="ctr"/>
          <a:r>
            <a:rPr lang="en-US" sz="1100"/>
            <a:t>   - Free Cash Flow = Net Cash Provided by Operating Activities - Capital Spending</a:t>
          </a:r>
        </a:p>
        <a:p>
          <a:pPr algn="ctr"/>
          <a:r>
            <a:rPr lang="en-US" sz="1100"/>
            <a:t>   - Free Cash Flow Margin = (Free Cash Flow / Net Revenue) * 100</a:t>
          </a:r>
        </a:p>
        <a:p>
          <a:pPr algn="ctr"/>
          <a:endParaRPr lang="en-US" sz="1100"/>
        </a:p>
        <a:p>
          <a:pPr algn="ctr"/>
          <a:r>
            <a:rPr lang="en-US" sz="1100"/>
            <a:t>4. Return on Investment (ROI):</a:t>
          </a:r>
        </a:p>
        <a:p>
          <a:pPr algn="ctr"/>
          <a:r>
            <a:rPr lang="en-US" sz="1100"/>
            <a:t>   - ROI = (Net Earnings / Total Assets) * 100</a:t>
          </a:r>
        </a:p>
        <a:p>
          <a:pPr algn="ctr"/>
          <a:endParaRPr lang="en-US" sz="1100"/>
        </a:p>
        <a:p>
          <a:pPr algn="ctr"/>
          <a:r>
            <a:rPr lang="en-US" sz="1100"/>
            <a:t>5. Return on Equity (ROE):</a:t>
          </a:r>
        </a:p>
        <a:p>
          <a:pPr algn="ctr"/>
          <a:r>
            <a:rPr lang="en-US" sz="1100"/>
            <a:t>   - ROE = (Net Earnings / Total Stockholders' Equity) * 100</a:t>
          </a:r>
        </a:p>
        <a:p>
          <a:pPr algn="ctr"/>
          <a:endParaRPr lang="en-US" sz="1100"/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88" workbookViewId="0">
      <selection activeCell="I30" sqref="I30"/>
    </sheetView>
  </sheetViews>
  <sheetFormatPr defaultColWidth="8.85546875" defaultRowHeight="15" x14ac:dyDescent="0.25"/>
  <cols>
    <col min="1" max="1" width="31.140625" customWidth="1"/>
    <col min="2" max="6" width="13.7109375" bestFit="1" customWidth="1"/>
    <col min="8" max="8" width="29.28515625" style="1" customWidth="1"/>
    <col min="9" max="10" width="12.140625" bestFit="1" customWidth="1"/>
    <col min="11" max="11" width="12.5703125" customWidth="1"/>
    <col min="12" max="12" width="12.28515625" customWidth="1"/>
    <col min="13" max="13" width="12" customWidth="1"/>
  </cols>
  <sheetData>
    <row r="1" spans="1:13" x14ac:dyDescent="0.25">
      <c r="A1" s="124" t="s">
        <v>34</v>
      </c>
      <c r="B1" s="124"/>
      <c r="C1" s="124"/>
      <c r="D1" s="124"/>
      <c r="E1" s="124"/>
      <c r="F1" s="124"/>
      <c r="G1" s="3"/>
      <c r="H1" s="125" t="s">
        <v>35</v>
      </c>
      <c r="I1" s="125"/>
      <c r="J1" s="125"/>
      <c r="K1" s="125"/>
      <c r="L1" s="125"/>
      <c r="M1" s="125"/>
    </row>
    <row r="2" spans="1:13" ht="21" customHeight="1" x14ac:dyDescent="0.25">
      <c r="A2" s="4" t="s">
        <v>6</v>
      </c>
      <c r="B2" s="4"/>
      <c r="C2" s="4"/>
      <c r="D2" s="4"/>
      <c r="E2" s="4"/>
      <c r="F2" s="4"/>
      <c r="H2" s="18" t="s">
        <v>6</v>
      </c>
      <c r="I2" s="19"/>
      <c r="J2" s="19"/>
      <c r="K2" s="19"/>
      <c r="L2" s="19"/>
      <c r="M2" s="19"/>
    </row>
    <row r="3" spans="1:13" x14ac:dyDescent="0.25">
      <c r="A3" s="5" t="s">
        <v>3</v>
      </c>
      <c r="B3" s="5">
        <v>2022</v>
      </c>
      <c r="C3" s="5">
        <v>2021</v>
      </c>
      <c r="D3" s="5">
        <v>2020</v>
      </c>
      <c r="E3" s="5">
        <v>2019</v>
      </c>
      <c r="F3" s="5">
        <v>2018</v>
      </c>
      <c r="H3" s="20" t="s">
        <v>3</v>
      </c>
      <c r="I3" s="21">
        <v>2022</v>
      </c>
      <c r="J3" s="21">
        <v>2021</v>
      </c>
      <c r="K3" s="21">
        <v>2020</v>
      </c>
      <c r="L3" s="21">
        <v>2019</v>
      </c>
      <c r="M3" s="21">
        <v>2018</v>
      </c>
    </row>
    <row r="4" spans="1:13" x14ac:dyDescent="0.25">
      <c r="A4" s="6" t="s">
        <v>4</v>
      </c>
      <c r="B4" s="7">
        <v>116476</v>
      </c>
      <c r="C4" s="7">
        <v>108996</v>
      </c>
      <c r="D4" s="7">
        <v>116744</v>
      </c>
      <c r="E4" s="7">
        <v>114047</v>
      </c>
      <c r="F4" s="7">
        <v>114649</v>
      </c>
      <c r="H4" s="22" t="s">
        <v>4</v>
      </c>
      <c r="I4" s="23">
        <v>100451</v>
      </c>
      <c r="J4" s="24">
        <v>82103</v>
      </c>
      <c r="K4" s="24">
        <v>80924</v>
      </c>
      <c r="L4" s="24">
        <v>74992</v>
      </c>
      <c r="M4" s="24">
        <v>75293</v>
      </c>
    </row>
    <row r="5" spans="1:13" x14ac:dyDescent="0.25">
      <c r="A5" s="6" t="s">
        <v>5</v>
      </c>
      <c r="B5" s="7">
        <v>96866</v>
      </c>
      <c r="C5" s="7">
        <v>90727</v>
      </c>
      <c r="D5" s="7">
        <v>97192</v>
      </c>
      <c r="E5" s="7">
        <v>98132</v>
      </c>
      <c r="F5" s="7">
        <v>95569</v>
      </c>
      <c r="H5" s="22" t="s">
        <v>5</v>
      </c>
      <c r="I5" s="23">
        <v>91173</v>
      </c>
      <c r="J5" s="23">
        <v>74408</v>
      </c>
      <c r="K5" s="23">
        <v>79910</v>
      </c>
      <c r="L5" s="23">
        <v>84905</v>
      </c>
      <c r="M5" s="23">
        <v>82237</v>
      </c>
    </row>
    <row r="6" spans="1:13" x14ac:dyDescent="0.25">
      <c r="A6" s="12" t="s">
        <v>2</v>
      </c>
      <c r="B6" s="13">
        <f>B4/B5</f>
        <v>1.2024446142093201</v>
      </c>
      <c r="C6" s="13">
        <f>C4/C5</f>
        <v>1.2013623287444752</v>
      </c>
      <c r="D6" s="13">
        <f t="shared" ref="D6:F6" si="0">D4/D5</f>
        <v>1.2011688204790518</v>
      </c>
      <c r="E6" s="13">
        <f t="shared" si="0"/>
        <v>1.1621795133086048</v>
      </c>
      <c r="F6" s="13">
        <f t="shared" si="0"/>
        <v>1.1996463288304784</v>
      </c>
      <c r="H6" s="25" t="s">
        <v>2</v>
      </c>
      <c r="I6" s="26">
        <f>I4/I5</f>
        <v>1.1017625832209097</v>
      </c>
      <c r="J6" s="26">
        <f>J4/J5</f>
        <v>1.1034162993226535</v>
      </c>
      <c r="K6" s="26">
        <f t="shared" ref="K6:M6" si="1">K4/K5</f>
        <v>1.0126892754348642</v>
      </c>
      <c r="L6" s="26">
        <f t="shared" si="1"/>
        <v>0.88324598080207295</v>
      </c>
      <c r="M6" s="26">
        <f t="shared" si="1"/>
        <v>0.91556112212264551</v>
      </c>
    </row>
    <row r="7" spans="1:13" x14ac:dyDescent="0.25">
      <c r="A7" s="15"/>
      <c r="B7" s="16"/>
      <c r="C7" s="16"/>
      <c r="D7" s="16"/>
      <c r="E7" s="16"/>
      <c r="F7" s="17"/>
      <c r="H7" s="29"/>
      <c r="M7" s="30"/>
    </row>
    <row r="8" spans="1:13" x14ac:dyDescent="0.25">
      <c r="A8" s="14" t="s">
        <v>9</v>
      </c>
      <c r="B8" s="14"/>
      <c r="C8" s="14"/>
      <c r="D8" s="14"/>
      <c r="E8" s="14"/>
      <c r="F8" s="14"/>
      <c r="H8" s="18" t="s">
        <v>9</v>
      </c>
      <c r="I8" s="19"/>
      <c r="J8" s="19"/>
      <c r="K8" s="19"/>
      <c r="L8" s="19"/>
      <c r="M8" s="19"/>
    </row>
    <row r="9" spans="1:13" x14ac:dyDescent="0.25">
      <c r="A9" s="5" t="s">
        <v>3</v>
      </c>
      <c r="B9" s="5">
        <v>2022</v>
      </c>
      <c r="C9" s="5">
        <v>2021</v>
      </c>
      <c r="D9" s="5">
        <v>2020</v>
      </c>
      <c r="E9" s="5">
        <v>2019</v>
      </c>
      <c r="F9" s="5">
        <v>2018</v>
      </c>
      <c r="H9" s="20" t="s">
        <v>3</v>
      </c>
      <c r="I9" s="21">
        <v>2022</v>
      </c>
      <c r="J9" s="21">
        <v>2021</v>
      </c>
      <c r="K9" s="21">
        <v>2020</v>
      </c>
      <c r="L9" s="21">
        <v>2019</v>
      </c>
      <c r="M9" s="21">
        <v>2018</v>
      </c>
    </row>
    <row r="10" spans="1:13" ht="14.1" customHeight="1" x14ac:dyDescent="0.25">
      <c r="A10" s="11" t="s">
        <v>10</v>
      </c>
      <c r="B10" s="7">
        <f>116476-14080</f>
        <v>102396</v>
      </c>
      <c r="C10" s="7">
        <f>108996-12065</f>
        <v>96931</v>
      </c>
      <c r="D10" s="7">
        <f>116744-10808</f>
        <v>105936</v>
      </c>
      <c r="E10" s="7">
        <f>114047-10786</f>
        <v>103261</v>
      </c>
      <c r="F10" s="7">
        <f>114649-11220</f>
        <v>103429</v>
      </c>
      <c r="H10" s="22" t="s">
        <v>8</v>
      </c>
      <c r="I10" s="27">
        <f>I4-15366</f>
        <v>85085</v>
      </c>
      <c r="J10" s="24">
        <f>J4-12988</f>
        <v>69115</v>
      </c>
      <c r="K10" s="24">
        <f>K4-10235</f>
        <v>70689</v>
      </c>
      <c r="L10" s="24">
        <f>L4-10398</f>
        <v>64594</v>
      </c>
      <c r="M10" s="24">
        <f>M4-9816</f>
        <v>65477</v>
      </c>
    </row>
    <row r="11" spans="1:13" x14ac:dyDescent="0.25">
      <c r="A11" s="6" t="s">
        <v>5</v>
      </c>
      <c r="B11" s="7">
        <f>B5</f>
        <v>96866</v>
      </c>
      <c r="C11" s="7">
        <f>C5</f>
        <v>90727</v>
      </c>
      <c r="D11" s="7">
        <f>D5</f>
        <v>97192</v>
      </c>
      <c r="E11" s="7">
        <f>E5</f>
        <v>98132</v>
      </c>
      <c r="F11" s="7">
        <f>F5</f>
        <v>95569</v>
      </c>
      <c r="H11" s="24" t="s">
        <v>5</v>
      </c>
      <c r="I11" s="27">
        <f>I5</f>
        <v>91173</v>
      </c>
      <c r="J11" s="27">
        <f t="shared" ref="J11:M11" si="2">J5</f>
        <v>74408</v>
      </c>
      <c r="K11" s="27">
        <f t="shared" si="2"/>
        <v>79910</v>
      </c>
      <c r="L11" s="27">
        <f t="shared" si="2"/>
        <v>84905</v>
      </c>
      <c r="M11" s="27">
        <f t="shared" si="2"/>
        <v>82237</v>
      </c>
    </row>
    <row r="12" spans="1:13" x14ac:dyDescent="0.25">
      <c r="A12" s="12" t="s">
        <v>7</v>
      </c>
      <c r="B12" s="13">
        <f>B10/B11</f>
        <v>1.0570891747362336</v>
      </c>
      <c r="C12" s="13">
        <f>C10/C11</f>
        <v>1.0683809670770554</v>
      </c>
      <c r="D12" s="13">
        <f t="shared" ref="D12:F12" si="3">D10/D11</f>
        <v>1.08996625236645</v>
      </c>
      <c r="E12" s="13">
        <f t="shared" si="3"/>
        <v>1.0522663351404231</v>
      </c>
      <c r="F12" s="13">
        <f t="shared" si="3"/>
        <v>1.0822442423798513</v>
      </c>
      <c r="H12" s="25" t="s">
        <v>7</v>
      </c>
      <c r="I12" s="26">
        <f>I10/I11</f>
        <v>0.93322584537088826</v>
      </c>
      <c r="J12" s="26">
        <f t="shared" ref="J12:M12" si="4">J10/J11</f>
        <v>0.92886517578754968</v>
      </c>
      <c r="K12" s="26">
        <f t="shared" si="4"/>
        <v>0.88460768364409958</v>
      </c>
      <c r="L12" s="26">
        <f t="shared" si="4"/>
        <v>0.76077969495318298</v>
      </c>
      <c r="M12" s="26">
        <f t="shared" si="4"/>
        <v>0.79619879129832072</v>
      </c>
    </row>
    <row r="13" spans="1:13" x14ac:dyDescent="0.25">
      <c r="A13" s="15"/>
      <c r="B13" s="16"/>
      <c r="C13" s="16"/>
      <c r="D13" s="16"/>
      <c r="E13" s="16"/>
      <c r="F13" s="17"/>
      <c r="H13" s="29"/>
      <c r="M13" s="30"/>
    </row>
    <row r="14" spans="1:13" ht="18" customHeight="1" x14ac:dyDescent="0.25">
      <c r="A14" s="14" t="s">
        <v>11</v>
      </c>
      <c r="B14" s="14"/>
      <c r="C14" s="14"/>
      <c r="D14" s="14"/>
      <c r="E14" s="14"/>
      <c r="F14" s="14"/>
      <c r="H14" s="18" t="s">
        <v>11</v>
      </c>
      <c r="I14" s="19"/>
      <c r="J14" s="19"/>
      <c r="K14" s="19"/>
      <c r="L14" s="19"/>
      <c r="M14" s="19"/>
    </row>
    <row r="15" spans="1:13" ht="23.1" customHeight="1" x14ac:dyDescent="0.25">
      <c r="A15" s="5" t="s">
        <v>3</v>
      </c>
      <c r="B15" s="5">
        <v>2022</v>
      </c>
      <c r="C15" s="5">
        <v>2021</v>
      </c>
      <c r="D15" s="5">
        <v>2020</v>
      </c>
      <c r="E15" s="5">
        <v>2019</v>
      </c>
      <c r="F15" s="5">
        <v>2018</v>
      </c>
      <c r="H15" s="20" t="s">
        <v>3</v>
      </c>
      <c r="I15" s="21">
        <v>2022</v>
      </c>
      <c r="J15" s="21">
        <v>2021</v>
      </c>
      <c r="K15" s="21">
        <v>2020</v>
      </c>
      <c r="L15" s="21">
        <v>2019</v>
      </c>
      <c r="M15" s="21">
        <v>2018</v>
      </c>
    </row>
    <row r="16" spans="1:13" ht="45.95" customHeight="1" x14ac:dyDescent="0.25">
      <c r="A16" s="11" t="s">
        <v>12</v>
      </c>
      <c r="B16" s="7">
        <f>+ 25134+18936+6853</f>
        <v>50923</v>
      </c>
      <c r="C16" s="7">
        <f>20540+29053+15787</f>
        <v>65380</v>
      </c>
      <c r="D16" s="7">
        <f>25935+24269+24718</f>
        <v>74922</v>
      </c>
      <c r="E16" s="7">
        <f>34888</f>
        <v>34888</v>
      </c>
      <c r="F16" s="7">
        <v>34140</v>
      </c>
      <c r="H16" s="22" t="s">
        <v>12</v>
      </c>
      <c r="I16" s="28">
        <f>19153+12150+16043</f>
        <v>47346</v>
      </c>
      <c r="J16" s="28">
        <f>20067+8609+15188</f>
        <v>43864</v>
      </c>
      <c r="K16" s="28">
        <f>19992+9046+16670</f>
        <v>45708</v>
      </c>
      <c r="L16" s="28">
        <f>19069+4174+15021</f>
        <v>38264</v>
      </c>
      <c r="M16" s="28">
        <f>20844+5966+15256</f>
        <v>42066</v>
      </c>
    </row>
    <row r="17" spans="1:13" ht="21.95" customHeight="1" x14ac:dyDescent="0.25">
      <c r="A17" s="6" t="s">
        <v>13</v>
      </c>
      <c r="B17" s="7">
        <v>96866</v>
      </c>
      <c r="C17" s="7">
        <v>90727</v>
      </c>
      <c r="D17" s="7">
        <v>97192</v>
      </c>
      <c r="E17" s="7">
        <v>98132</v>
      </c>
      <c r="F17" s="7">
        <v>95569</v>
      </c>
      <c r="H17" s="22" t="s">
        <v>13</v>
      </c>
      <c r="I17" s="28">
        <f>I5</f>
        <v>91173</v>
      </c>
      <c r="J17" s="28">
        <f t="shared" ref="J17:M17" si="5">J5</f>
        <v>74408</v>
      </c>
      <c r="K17" s="28">
        <f t="shared" si="5"/>
        <v>79910</v>
      </c>
      <c r="L17" s="28">
        <f t="shared" si="5"/>
        <v>84905</v>
      </c>
      <c r="M17" s="28">
        <f t="shared" si="5"/>
        <v>82237</v>
      </c>
    </row>
    <row r="18" spans="1:13" ht="15.95" customHeight="1" x14ac:dyDescent="0.25">
      <c r="A18" s="8" t="s">
        <v>14</v>
      </c>
      <c r="B18" s="9">
        <f>B16/B17</f>
        <v>0.52570561394090809</v>
      </c>
      <c r="C18" s="9">
        <f>C16/C17</f>
        <v>0.72062340868760122</v>
      </c>
      <c r="D18" s="9">
        <f>D16/D17</f>
        <v>0.77086591489011447</v>
      </c>
      <c r="E18" s="9">
        <f>E16/E17</f>
        <v>0.35552113479802716</v>
      </c>
      <c r="F18" s="9">
        <f>F16/F17</f>
        <v>0.35722880850484989</v>
      </c>
      <c r="H18" s="25" t="s">
        <v>14</v>
      </c>
      <c r="I18" s="26">
        <f>I16/I17</f>
        <v>0.51929847652265471</v>
      </c>
      <c r="J18" s="26">
        <f t="shared" ref="J18:M18" si="6">J16/J17</f>
        <v>0.58950650467691645</v>
      </c>
      <c r="K18" s="26">
        <f t="shared" si="6"/>
        <v>0.57199349267926414</v>
      </c>
      <c r="L18" s="26">
        <f t="shared" si="6"/>
        <v>0.45066839408750958</v>
      </c>
      <c r="M18" s="26">
        <f t="shared" si="6"/>
        <v>0.51152157787857044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75" workbookViewId="0">
      <selection activeCell="F36" sqref="F36"/>
    </sheetView>
  </sheetViews>
  <sheetFormatPr defaultColWidth="8.85546875" defaultRowHeight="15" x14ac:dyDescent="0.25"/>
  <cols>
    <col min="1" max="1" width="29.140625" customWidth="1"/>
    <col min="2" max="6" width="14.7109375" bestFit="1" customWidth="1"/>
    <col min="8" max="8" width="30.7109375" customWidth="1"/>
    <col min="9" max="9" width="17.140625" customWidth="1"/>
    <col min="10" max="10" width="16.85546875" customWidth="1"/>
    <col min="11" max="11" width="23.7109375" customWidth="1"/>
    <col min="12" max="12" width="16.140625" customWidth="1"/>
    <col min="13" max="13" width="17.7109375" customWidth="1"/>
  </cols>
  <sheetData>
    <row r="1" spans="1:13" x14ac:dyDescent="0.25">
      <c r="A1" s="126" t="s">
        <v>36</v>
      </c>
      <c r="B1" s="126"/>
      <c r="C1" s="126"/>
      <c r="D1" s="126"/>
      <c r="E1" s="126"/>
      <c r="F1" s="126"/>
      <c r="H1" s="125" t="s">
        <v>48</v>
      </c>
      <c r="I1" s="125"/>
      <c r="J1" s="125"/>
      <c r="K1" s="125"/>
      <c r="L1" s="125"/>
      <c r="M1" s="125"/>
    </row>
    <row r="2" spans="1:13" x14ac:dyDescent="0.25">
      <c r="A2" s="34" t="s">
        <v>40</v>
      </c>
      <c r="B2" s="35"/>
      <c r="C2" s="35"/>
      <c r="D2" s="35"/>
      <c r="E2" s="35"/>
      <c r="F2" s="36"/>
      <c r="H2" s="43" t="s">
        <v>40</v>
      </c>
      <c r="I2" s="44"/>
      <c r="J2" s="44"/>
      <c r="K2" s="44"/>
      <c r="L2" s="44"/>
      <c r="M2" s="45"/>
    </row>
    <row r="3" spans="1:13" x14ac:dyDescent="0.25">
      <c r="A3" s="5" t="s">
        <v>3</v>
      </c>
      <c r="B3" s="5">
        <v>2022</v>
      </c>
      <c r="C3" s="5">
        <v>2021</v>
      </c>
      <c r="D3" s="5">
        <v>2020</v>
      </c>
      <c r="E3" s="5">
        <v>2019</v>
      </c>
      <c r="F3" s="5">
        <v>2018</v>
      </c>
      <c r="H3" s="46" t="s">
        <v>3</v>
      </c>
      <c r="I3" s="46">
        <v>2022</v>
      </c>
      <c r="J3" s="46">
        <v>2021</v>
      </c>
      <c r="K3" s="46">
        <v>2020</v>
      </c>
      <c r="L3" s="46">
        <v>2019</v>
      </c>
      <c r="M3" s="46">
        <v>2018</v>
      </c>
    </row>
    <row r="4" spans="1:13" x14ac:dyDescent="0.25">
      <c r="A4" s="19" t="s">
        <v>38</v>
      </c>
      <c r="B4" s="37">
        <v>212717</v>
      </c>
      <c r="C4" s="37">
        <v>208413</v>
      </c>
      <c r="D4" s="37">
        <v>236450</v>
      </c>
      <c r="E4" s="37">
        <v>225307</v>
      </c>
      <c r="F4" s="37">
        <v>220474</v>
      </c>
      <c r="H4" s="47" t="s">
        <v>38</v>
      </c>
      <c r="I4" s="48">
        <v>191752</v>
      </c>
      <c r="J4" s="48">
        <v>178903</v>
      </c>
      <c r="K4" s="48">
        <v>185517</v>
      </c>
      <c r="L4" s="48">
        <v>182080</v>
      </c>
      <c r="M4" s="48">
        <v>184562</v>
      </c>
    </row>
    <row r="5" spans="1:13" x14ac:dyDescent="0.25">
      <c r="A5" s="19" t="s">
        <v>39</v>
      </c>
      <c r="B5" s="37">
        <v>255884</v>
      </c>
      <c r="C5" s="37">
        <v>257035</v>
      </c>
      <c r="D5" s="37">
        <v>267261</v>
      </c>
      <c r="E5" s="37">
        <v>258537</v>
      </c>
      <c r="F5" s="37">
        <v>256540</v>
      </c>
      <c r="H5" s="47" t="s">
        <v>39</v>
      </c>
      <c r="I5" s="48">
        <v>264037</v>
      </c>
      <c r="J5" s="48">
        <v>244718</v>
      </c>
      <c r="K5" s="48">
        <v>235194</v>
      </c>
      <c r="L5" s="48">
        <v>228037</v>
      </c>
      <c r="M5" s="48">
        <v>227339</v>
      </c>
    </row>
    <row r="6" spans="1:13" x14ac:dyDescent="0.25">
      <c r="A6" s="38" t="s">
        <v>37</v>
      </c>
      <c r="B6" s="39">
        <f>B4/B5</f>
        <v>0.83130246517953443</v>
      </c>
      <c r="C6" s="39">
        <f t="shared" ref="C6:F6" si="0">C4/C5</f>
        <v>0.81083510027817218</v>
      </c>
      <c r="D6" s="39">
        <f t="shared" si="0"/>
        <v>0.88471568990612171</v>
      </c>
      <c r="E6" s="39">
        <f t="shared" si="0"/>
        <v>0.87146907405903218</v>
      </c>
      <c r="F6" s="39">
        <f t="shared" si="0"/>
        <v>0.85941373664925547</v>
      </c>
      <c r="H6" s="49" t="s">
        <v>37</v>
      </c>
      <c r="I6" s="50">
        <f>I4/I5</f>
        <v>0.72623155088112656</v>
      </c>
      <c r="J6" s="50">
        <f t="shared" ref="J6:M6" si="1">J4/J5</f>
        <v>0.73105778896525797</v>
      </c>
      <c r="K6" s="50">
        <f t="shared" si="1"/>
        <v>0.78878287711421213</v>
      </c>
      <c r="L6" s="50">
        <f t="shared" si="1"/>
        <v>0.79846691545670223</v>
      </c>
      <c r="M6" s="50">
        <f t="shared" si="1"/>
        <v>0.81183606860239554</v>
      </c>
    </row>
    <row r="7" spans="1:13" x14ac:dyDescent="0.25">
      <c r="A7" s="31"/>
      <c r="F7" s="30"/>
      <c r="H7" s="32"/>
      <c r="I7" s="2"/>
      <c r="J7" s="2"/>
      <c r="K7" s="2"/>
      <c r="L7" s="2"/>
      <c r="M7" s="33"/>
    </row>
    <row r="8" spans="1:13" x14ac:dyDescent="0.25">
      <c r="A8" s="36" t="s">
        <v>44</v>
      </c>
      <c r="B8" s="36"/>
      <c r="C8" s="36"/>
      <c r="D8" s="36"/>
      <c r="E8" s="36"/>
      <c r="F8" s="36"/>
      <c r="H8" s="45" t="s">
        <v>44</v>
      </c>
      <c r="I8" s="45"/>
      <c r="J8" s="45"/>
      <c r="K8" s="45"/>
      <c r="L8" s="45"/>
      <c r="M8" s="45"/>
    </row>
    <row r="9" spans="1:13" x14ac:dyDescent="0.25">
      <c r="A9" s="40" t="s">
        <v>3</v>
      </c>
      <c r="B9" s="5">
        <v>2022</v>
      </c>
      <c r="C9" s="5">
        <v>2021</v>
      </c>
      <c r="D9" s="5">
        <v>2020</v>
      </c>
      <c r="E9" s="5">
        <v>2019</v>
      </c>
      <c r="F9" s="5">
        <v>2018</v>
      </c>
      <c r="H9" s="51" t="s">
        <v>3</v>
      </c>
      <c r="I9" s="46">
        <v>2022</v>
      </c>
      <c r="J9" s="46">
        <v>2021</v>
      </c>
      <c r="K9" s="46">
        <v>2020</v>
      </c>
      <c r="L9" s="46">
        <v>2019</v>
      </c>
      <c r="M9" s="46">
        <v>2018</v>
      </c>
    </row>
    <row r="10" spans="1:13" x14ac:dyDescent="0.25">
      <c r="A10" s="19" t="s">
        <v>42</v>
      </c>
      <c r="B10" s="37">
        <f>19200+69605</f>
        <v>88805</v>
      </c>
      <c r="C10" s="37">
        <f>17200+71200</f>
        <v>88400</v>
      </c>
      <c r="D10" s="37">
        <f>22633+87708</f>
        <v>110341</v>
      </c>
      <c r="E10" s="37">
        <f>13233+87658+470</f>
        <v>101361</v>
      </c>
      <c r="F10" s="37">
        <f>88887+11233+600</f>
        <v>100720</v>
      </c>
      <c r="H10" s="47" t="s">
        <v>42</v>
      </c>
      <c r="I10" s="48">
        <f>15885+60036</f>
        <v>75921</v>
      </c>
      <c r="J10" s="48">
        <f>16355+59304</f>
        <v>75659</v>
      </c>
      <c r="K10" s="48">
        <f>16193+56788</f>
        <v>72981</v>
      </c>
      <c r="L10" s="48">
        <f>53435+12489</f>
        <v>65924</v>
      </c>
      <c r="M10" s="48">
        <f>60032+13028</f>
        <v>73060</v>
      </c>
    </row>
    <row r="11" spans="1:13" ht="36" customHeight="1" x14ac:dyDescent="0.25">
      <c r="A11" s="41" t="s">
        <v>43</v>
      </c>
      <c r="B11" s="37">
        <f>B10+43167</f>
        <v>131972</v>
      </c>
      <c r="C11" s="37">
        <f>C10+48622</f>
        <v>137022</v>
      </c>
      <c r="D11" s="37">
        <f>D10+30811</f>
        <v>141152</v>
      </c>
      <c r="E11" s="37">
        <f>33230+E10</f>
        <v>134591</v>
      </c>
      <c r="F11" s="37">
        <f>35966+F10</f>
        <v>136686</v>
      </c>
      <c r="H11" s="52" t="s">
        <v>43</v>
      </c>
      <c r="I11" s="48">
        <f>I10+I17</f>
        <v>143713</v>
      </c>
      <c r="J11" s="48">
        <f>J10+J17</f>
        <v>135403</v>
      </c>
      <c r="K11" s="48">
        <f t="shared" ref="K11:M11" si="2">K10+K17</f>
        <v>118011</v>
      </c>
      <c r="L11" s="48">
        <f t="shared" si="2"/>
        <v>107716</v>
      </c>
      <c r="M11" s="48">
        <f t="shared" si="2"/>
        <v>111920</v>
      </c>
    </row>
    <row r="12" spans="1:13" ht="17.100000000000001" customHeight="1" x14ac:dyDescent="0.25">
      <c r="A12" s="42" t="s">
        <v>41</v>
      </c>
      <c r="B12" s="39">
        <f>B10/B11</f>
        <v>0.67290788955232927</v>
      </c>
      <c r="C12" s="39">
        <f t="shared" ref="C12:F12" si="3">C10/C11</f>
        <v>0.64515187342178626</v>
      </c>
      <c r="D12" s="39">
        <f t="shared" si="3"/>
        <v>0.78171758104738154</v>
      </c>
      <c r="E12" s="39">
        <f t="shared" si="3"/>
        <v>0.75310384795417229</v>
      </c>
      <c r="F12" s="39">
        <f t="shared" si="3"/>
        <v>0.73687136941603382</v>
      </c>
      <c r="H12" s="53" t="s">
        <v>41</v>
      </c>
      <c r="I12" s="50">
        <f>I10/I11</f>
        <v>0.52828206216556606</v>
      </c>
      <c r="J12" s="50">
        <f t="shared" ref="J12:M12" si="4">J10/J11</f>
        <v>0.55876900807219931</v>
      </c>
      <c r="K12" s="50">
        <f t="shared" si="4"/>
        <v>0.61842540102193866</v>
      </c>
      <c r="L12" s="50">
        <f t="shared" si="4"/>
        <v>0.61201678487875522</v>
      </c>
      <c r="M12" s="50">
        <f t="shared" si="4"/>
        <v>0.65278770550393139</v>
      </c>
    </row>
    <row r="13" spans="1:13" x14ac:dyDescent="0.25">
      <c r="A13" s="29"/>
      <c r="F13" s="30"/>
      <c r="H13" s="55"/>
      <c r="I13" s="2"/>
      <c r="J13" s="2"/>
      <c r="K13" s="2"/>
      <c r="L13" s="2"/>
      <c r="M13" s="33"/>
    </row>
    <row r="14" spans="1:13" x14ac:dyDescent="0.25">
      <c r="A14" s="36" t="s">
        <v>45</v>
      </c>
      <c r="B14" s="36"/>
      <c r="C14" s="36"/>
      <c r="D14" s="36"/>
      <c r="E14" s="36"/>
      <c r="F14" s="36"/>
      <c r="H14" s="46" t="s">
        <v>45</v>
      </c>
      <c r="I14" s="46"/>
      <c r="J14" s="46"/>
      <c r="K14" s="46"/>
      <c r="L14" s="46"/>
      <c r="M14" s="46"/>
    </row>
    <row r="15" spans="1:13" x14ac:dyDescent="0.25">
      <c r="A15" s="5" t="s">
        <v>3</v>
      </c>
      <c r="B15" s="5">
        <v>2022</v>
      </c>
      <c r="C15" s="5">
        <v>2021</v>
      </c>
      <c r="D15" s="5">
        <v>2020</v>
      </c>
      <c r="E15" s="5">
        <v>2019</v>
      </c>
      <c r="F15" s="5">
        <v>2018</v>
      </c>
      <c r="H15" s="46" t="s">
        <v>3</v>
      </c>
      <c r="I15" s="46">
        <v>2022</v>
      </c>
      <c r="J15" s="46">
        <v>2021</v>
      </c>
      <c r="K15" s="46">
        <v>2020</v>
      </c>
      <c r="L15" s="46">
        <v>2019</v>
      </c>
      <c r="M15" s="46">
        <v>2018</v>
      </c>
    </row>
    <row r="16" spans="1:13" x14ac:dyDescent="0.25">
      <c r="A16" s="19" t="s">
        <v>38</v>
      </c>
      <c r="B16" s="37">
        <f>B4</f>
        <v>212717</v>
      </c>
      <c r="C16" s="37">
        <f>C4</f>
        <v>208413</v>
      </c>
      <c r="D16" s="37">
        <f>D4</f>
        <v>236450</v>
      </c>
      <c r="E16" s="37">
        <f>E4</f>
        <v>225307</v>
      </c>
      <c r="F16" s="37">
        <f>F4</f>
        <v>220474</v>
      </c>
      <c r="H16" s="47" t="s">
        <v>38</v>
      </c>
      <c r="I16" s="48">
        <f>I4</f>
        <v>191752</v>
      </c>
      <c r="J16" s="48">
        <f t="shared" ref="J16:M16" si="5">J4</f>
        <v>178903</v>
      </c>
      <c r="K16" s="48">
        <f t="shared" si="5"/>
        <v>185517</v>
      </c>
      <c r="L16" s="48">
        <f t="shared" si="5"/>
        <v>182080</v>
      </c>
      <c r="M16" s="48">
        <f t="shared" si="5"/>
        <v>184562</v>
      </c>
    </row>
    <row r="17" spans="1:13" x14ac:dyDescent="0.25">
      <c r="A17" s="19" t="s">
        <v>46</v>
      </c>
      <c r="B17" s="37">
        <v>43167</v>
      </c>
      <c r="C17" s="37">
        <v>48622</v>
      </c>
      <c r="D17" s="37">
        <v>30811</v>
      </c>
      <c r="E17" s="37">
        <v>33230</v>
      </c>
      <c r="F17" s="37">
        <v>35966</v>
      </c>
      <c r="H17" s="47" t="s">
        <v>46</v>
      </c>
      <c r="I17" s="54">
        <v>67792</v>
      </c>
      <c r="J17" s="54">
        <v>59744</v>
      </c>
      <c r="K17" s="54">
        <v>45030</v>
      </c>
      <c r="L17" s="54">
        <v>41792</v>
      </c>
      <c r="M17" s="54">
        <v>38860</v>
      </c>
    </row>
    <row r="18" spans="1:13" x14ac:dyDescent="0.25">
      <c r="A18" s="38" t="s">
        <v>47</v>
      </c>
      <c r="B18" s="39">
        <f>B16/B17</f>
        <v>4.9277688975374705</v>
      </c>
      <c r="C18" s="39">
        <f t="shared" ref="C18:F18" si="6">C16/C17</f>
        <v>4.2863929908271974</v>
      </c>
      <c r="D18" s="39">
        <f t="shared" si="6"/>
        <v>7.6742072636396088</v>
      </c>
      <c r="E18" s="39">
        <f t="shared" si="6"/>
        <v>6.7802287089978934</v>
      </c>
      <c r="F18" s="39">
        <f t="shared" si="6"/>
        <v>6.1300672857698935</v>
      </c>
      <c r="H18" s="49" t="s">
        <v>47</v>
      </c>
      <c r="I18" s="50">
        <f>I16/I17</f>
        <v>2.8285343403351426</v>
      </c>
      <c r="J18" s="50">
        <f t="shared" ref="J18:M18" si="7">J16/J17</f>
        <v>2.9944931708623459</v>
      </c>
      <c r="K18" s="50">
        <f t="shared" si="7"/>
        <v>4.1198534310459696</v>
      </c>
      <c r="L18" s="50">
        <f t="shared" si="7"/>
        <v>4.3568147013782541</v>
      </c>
      <c r="M18" s="50">
        <f t="shared" si="7"/>
        <v>4.7494081317550183</v>
      </c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E19" sqref="E19"/>
    </sheetView>
  </sheetViews>
  <sheetFormatPr defaultColWidth="8.85546875" defaultRowHeight="15" x14ac:dyDescent="0.25"/>
  <cols>
    <col min="1" max="1" width="21.28515625" customWidth="1"/>
    <col min="2" max="2" width="15" customWidth="1"/>
    <col min="3" max="3" width="14.140625" customWidth="1"/>
    <col min="4" max="4" width="14.42578125" customWidth="1"/>
    <col min="5" max="5" width="12.85546875" customWidth="1"/>
    <col min="6" max="6" width="12.28515625" bestFit="1" customWidth="1"/>
    <col min="9" max="9" width="20.28515625" customWidth="1"/>
    <col min="10" max="10" width="16.28515625" customWidth="1"/>
    <col min="11" max="11" width="14.140625" customWidth="1"/>
    <col min="12" max="12" width="13" customWidth="1"/>
    <col min="13" max="13" width="13.5703125" customWidth="1"/>
    <col min="14" max="14" width="12.85546875" customWidth="1"/>
  </cols>
  <sheetData>
    <row r="1" spans="1:14" x14ac:dyDescent="0.25">
      <c r="A1" s="126" t="s">
        <v>15</v>
      </c>
      <c r="B1" s="126"/>
      <c r="C1" s="126"/>
      <c r="D1" s="126"/>
      <c r="E1" s="126"/>
      <c r="F1" s="126"/>
      <c r="I1" s="125" t="s">
        <v>1</v>
      </c>
      <c r="J1" s="125"/>
      <c r="K1" s="125"/>
      <c r="L1" s="125"/>
      <c r="M1" s="125"/>
      <c r="N1" s="125"/>
    </row>
    <row r="2" spans="1:14" x14ac:dyDescent="0.25">
      <c r="A2" s="128" t="s">
        <v>16</v>
      </c>
      <c r="B2" s="128"/>
      <c r="C2" s="128"/>
      <c r="D2" s="128"/>
      <c r="E2" s="128"/>
      <c r="F2" s="128"/>
      <c r="I2" s="128" t="s">
        <v>16</v>
      </c>
      <c r="J2" s="128"/>
      <c r="K2" s="128"/>
      <c r="L2" s="128"/>
      <c r="M2" s="128"/>
      <c r="N2" s="128"/>
    </row>
    <row r="3" spans="1:14" x14ac:dyDescent="0.25">
      <c r="A3" s="5" t="s">
        <v>3</v>
      </c>
      <c r="B3" s="5">
        <v>2022</v>
      </c>
      <c r="C3" s="5">
        <v>2021</v>
      </c>
      <c r="D3" s="5">
        <v>2020</v>
      </c>
      <c r="E3" s="5">
        <v>2019</v>
      </c>
      <c r="F3" s="5">
        <v>2018</v>
      </c>
      <c r="I3" s="5" t="s">
        <v>3</v>
      </c>
      <c r="J3" s="5">
        <v>2022</v>
      </c>
      <c r="K3" s="5">
        <v>2021</v>
      </c>
      <c r="L3" s="5">
        <v>2020</v>
      </c>
      <c r="M3" s="5">
        <v>2019</v>
      </c>
      <c r="N3" s="5">
        <v>2018</v>
      </c>
    </row>
    <row r="4" spans="1:14" x14ac:dyDescent="0.25">
      <c r="A4" s="36" t="s">
        <v>17</v>
      </c>
      <c r="B4" s="56">
        <f>B5-134397</f>
        <v>23660</v>
      </c>
      <c r="C4" s="56">
        <f>C5-114651</f>
        <v>21690</v>
      </c>
      <c r="D4" s="56">
        <f>D5-112752</f>
        <v>14392</v>
      </c>
      <c r="E4" s="56">
        <f>E5-134693</f>
        <v>21207</v>
      </c>
      <c r="F4" s="56">
        <f>F5-136269</f>
        <v>24069</v>
      </c>
      <c r="I4" s="21" t="s">
        <v>17</v>
      </c>
      <c r="J4" s="63">
        <f>J5-126892</f>
        <v>29843</v>
      </c>
      <c r="K4" s="63">
        <f>K5-100544</f>
        <v>26460</v>
      </c>
      <c r="L4" s="63">
        <f>L5-97539</f>
        <v>24946</v>
      </c>
      <c r="M4" s="63">
        <f>M5-110651</f>
        <v>26586</v>
      </c>
      <c r="N4" s="63">
        <f>N5-120656</f>
        <v>26393</v>
      </c>
    </row>
    <row r="5" spans="1:14" x14ac:dyDescent="0.25">
      <c r="A5" s="36" t="s">
        <v>18</v>
      </c>
      <c r="B5" s="56">
        <v>158057</v>
      </c>
      <c r="C5" s="56">
        <v>136341</v>
      </c>
      <c r="D5" s="56">
        <v>127144</v>
      </c>
      <c r="E5" s="56">
        <v>155900</v>
      </c>
      <c r="F5" s="56">
        <v>160338</v>
      </c>
      <c r="I5" s="21" t="s">
        <v>18</v>
      </c>
      <c r="J5" s="63">
        <v>156735</v>
      </c>
      <c r="K5" s="63">
        <v>127004</v>
      </c>
      <c r="L5" s="63">
        <v>122485</v>
      </c>
      <c r="M5" s="63">
        <v>137237</v>
      </c>
      <c r="N5" s="63">
        <v>147049</v>
      </c>
    </row>
    <row r="6" spans="1:14" x14ac:dyDescent="0.25">
      <c r="A6" s="21" t="s">
        <v>19</v>
      </c>
      <c r="B6" s="57">
        <f>(B4/B5)</f>
        <v>0.1496928323326395</v>
      </c>
      <c r="C6" s="57">
        <f t="shared" ref="C6:F6" si="0">(C4/C5)</f>
        <v>0.15908640834378507</v>
      </c>
      <c r="D6" s="57">
        <f t="shared" si="0"/>
        <v>0.11319448813943246</v>
      </c>
      <c r="E6" s="57">
        <f t="shared" si="0"/>
        <v>0.13602950609364978</v>
      </c>
      <c r="F6" s="57">
        <f t="shared" si="0"/>
        <v>0.15011413389215283</v>
      </c>
      <c r="I6" s="64" t="s">
        <v>19</v>
      </c>
      <c r="J6" s="65">
        <f>J4/J5</f>
        <v>0.19040418540849205</v>
      </c>
      <c r="K6" s="65">
        <f t="shared" ref="K6:M6" si="1">K4/K5</f>
        <v>0.20833989480646278</v>
      </c>
      <c r="L6" s="65">
        <f t="shared" si="1"/>
        <v>0.20366575499040698</v>
      </c>
      <c r="M6" s="65">
        <f t="shared" si="1"/>
        <v>0.19372326704897366</v>
      </c>
      <c r="N6" s="65">
        <f>N4/N5</f>
        <v>0.17948438955722243</v>
      </c>
    </row>
    <row r="7" spans="1:14" x14ac:dyDescent="0.25">
      <c r="A7" s="21" t="s">
        <v>20</v>
      </c>
      <c r="B7" s="82">
        <f>(B4-C4)/C4</f>
        <v>9.0825265099124017E-2</v>
      </c>
      <c r="C7" s="82">
        <f t="shared" ref="C7:E7" si="2">(C4-D4)/D4</f>
        <v>0.50708727070594772</v>
      </c>
      <c r="D7" s="82">
        <f t="shared" si="2"/>
        <v>-0.32135615598623096</v>
      </c>
      <c r="E7" s="82">
        <f t="shared" si="2"/>
        <v>-0.11890813910008725</v>
      </c>
      <c r="F7" s="82"/>
      <c r="I7" s="64" t="s">
        <v>20</v>
      </c>
      <c r="J7" s="68">
        <f>(J4-K4)/K4</f>
        <v>0.12785336356764929</v>
      </c>
      <c r="K7" s="68">
        <f>(K4-L4)/L4</f>
        <v>6.0691092760362386E-2</v>
      </c>
      <c r="L7" s="68">
        <f>(L4-M4)/M4</f>
        <v>-6.1686601970962159E-2</v>
      </c>
      <c r="M7" s="68">
        <f>(M4-N4)/N4</f>
        <v>7.3125449929905655E-3</v>
      </c>
      <c r="N7" s="66"/>
    </row>
    <row r="8" spans="1:14" x14ac:dyDescent="0.25">
      <c r="A8" s="10"/>
      <c r="B8" s="10"/>
      <c r="C8" s="10"/>
      <c r="D8" s="10"/>
      <c r="E8" s="10"/>
      <c r="F8" s="10"/>
      <c r="I8" s="10"/>
      <c r="J8" s="10"/>
      <c r="K8" s="10"/>
      <c r="L8" s="10"/>
      <c r="M8" s="10"/>
      <c r="N8" s="10"/>
    </row>
    <row r="9" spans="1:14" x14ac:dyDescent="0.25">
      <c r="A9" s="128" t="s">
        <v>21</v>
      </c>
      <c r="B9" s="128"/>
      <c r="C9" s="128"/>
      <c r="D9" s="128"/>
      <c r="E9" s="128"/>
      <c r="F9" s="128"/>
      <c r="I9" s="128" t="s">
        <v>21</v>
      </c>
      <c r="J9" s="128"/>
      <c r="K9" s="128"/>
      <c r="L9" s="128"/>
      <c r="M9" s="128"/>
      <c r="N9" s="128"/>
    </row>
    <row r="10" spans="1:14" x14ac:dyDescent="0.25">
      <c r="A10" s="5" t="s">
        <v>3</v>
      </c>
      <c r="B10" s="5">
        <v>2022</v>
      </c>
      <c r="C10" s="5">
        <v>2021</v>
      </c>
      <c r="D10" s="5">
        <v>2020</v>
      </c>
      <c r="E10" s="5">
        <v>2019</v>
      </c>
      <c r="F10" s="5">
        <v>2018</v>
      </c>
      <c r="I10" s="5" t="s">
        <v>3</v>
      </c>
      <c r="J10" s="5">
        <v>2022</v>
      </c>
      <c r="K10" s="5">
        <v>2021</v>
      </c>
      <c r="L10" s="5">
        <v>2020</v>
      </c>
      <c r="M10" s="5">
        <v>2019</v>
      </c>
      <c r="N10" s="5">
        <v>2018</v>
      </c>
    </row>
    <row r="11" spans="1:14" x14ac:dyDescent="0.25">
      <c r="A11" s="36" t="s">
        <v>18</v>
      </c>
      <c r="B11" s="56">
        <f>B5</f>
        <v>158057</v>
      </c>
      <c r="C11" s="56">
        <f>C5</f>
        <v>136341</v>
      </c>
      <c r="D11" s="56">
        <f>D5</f>
        <v>127144</v>
      </c>
      <c r="E11" s="56">
        <f>E5</f>
        <v>155900</v>
      </c>
      <c r="F11" s="56">
        <f>F5</f>
        <v>160338</v>
      </c>
      <c r="I11" s="21" t="s">
        <v>18</v>
      </c>
      <c r="J11" s="67">
        <f>J5</f>
        <v>156735</v>
      </c>
      <c r="K11" s="67">
        <f>K5</f>
        <v>127004</v>
      </c>
      <c r="L11" s="67">
        <f t="shared" ref="L11:N11" si="3">L5</f>
        <v>122485</v>
      </c>
      <c r="M11" s="67">
        <f t="shared" si="3"/>
        <v>137237</v>
      </c>
      <c r="N11" s="67">
        <f t="shared" si="3"/>
        <v>147049</v>
      </c>
    </row>
    <row r="12" spans="1:14" x14ac:dyDescent="0.25">
      <c r="A12" s="36" t="s">
        <v>32</v>
      </c>
      <c r="B12" s="56">
        <v>-6276</v>
      </c>
      <c r="C12" s="56">
        <v>-4523</v>
      </c>
      <c r="D12" s="56">
        <v>-4408</v>
      </c>
      <c r="E12" s="56">
        <v>574</v>
      </c>
      <c r="F12" s="56">
        <v>3203</v>
      </c>
      <c r="I12" s="21" t="s">
        <v>32</v>
      </c>
      <c r="J12" s="63">
        <v>10315</v>
      </c>
      <c r="K12" s="63">
        <v>9324</v>
      </c>
      <c r="L12" s="63">
        <v>6634</v>
      </c>
      <c r="M12" s="63">
        <v>5481</v>
      </c>
      <c r="N12" s="63">
        <v>4445</v>
      </c>
    </row>
    <row r="13" spans="1:14" x14ac:dyDescent="0.25">
      <c r="A13" s="21" t="s">
        <v>33</v>
      </c>
      <c r="B13" s="57">
        <f>(B12/B11)</f>
        <v>-3.9707194240052639E-2</v>
      </c>
      <c r="C13" s="57">
        <f t="shared" ref="C13:F13" si="4">(C12/C11)</f>
        <v>-3.317417357948086E-2</v>
      </c>
      <c r="D13" s="57">
        <f t="shared" si="4"/>
        <v>-3.4669351286730009E-2</v>
      </c>
      <c r="E13" s="57">
        <f t="shared" si="4"/>
        <v>3.6818473380372035E-3</v>
      </c>
      <c r="F13" s="57">
        <f t="shared" si="4"/>
        <v>1.9976549539098654E-2</v>
      </c>
      <c r="I13" s="64" t="s">
        <v>33</v>
      </c>
      <c r="J13" s="68">
        <f>J12/J11</f>
        <v>6.5811720419816894E-2</v>
      </c>
      <c r="K13" s="68">
        <f t="shared" ref="K13:N13" si="5">K12/K11</f>
        <v>7.3415010550848786E-2</v>
      </c>
      <c r="L13" s="68">
        <f t="shared" si="5"/>
        <v>5.4161734089888558E-2</v>
      </c>
      <c r="M13" s="68">
        <f t="shared" si="5"/>
        <v>3.9938209083556185E-2</v>
      </c>
      <c r="N13" s="68">
        <f t="shared" si="5"/>
        <v>3.0228019231684677E-2</v>
      </c>
    </row>
    <row r="14" spans="1:14" x14ac:dyDescent="0.25">
      <c r="A14" s="21" t="s">
        <v>20</v>
      </c>
      <c r="B14" s="82">
        <f>(B12-C12)/C12</f>
        <v>0.38757461861596287</v>
      </c>
      <c r="C14" s="82">
        <f t="shared" ref="C14:E14" si="6">(C12-D12)/D12</f>
        <v>2.6088929219600727E-2</v>
      </c>
      <c r="D14" s="82">
        <f t="shared" si="6"/>
        <v>-8.6794425087108014</v>
      </c>
      <c r="E14" s="82">
        <f t="shared" si="6"/>
        <v>-0.82079300655635345</v>
      </c>
      <c r="F14" s="82"/>
      <c r="I14" s="64" t="s">
        <v>20</v>
      </c>
      <c r="J14" s="68">
        <f>(J12-K12)/K12</f>
        <v>0.10628485628485629</v>
      </c>
      <c r="K14" s="68">
        <f>(K12-L12)/L12</f>
        <v>0.40548688574012665</v>
      </c>
      <c r="L14" s="68">
        <f>(L12-M12)/M12</f>
        <v>0.21036307243203795</v>
      </c>
      <c r="M14" s="68">
        <f>(M12-N12)/N12</f>
        <v>0.23307086614173228</v>
      </c>
      <c r="N14" s="64"/>
    </row>
    <row r="15" spans="1:14" x14ac:dyDescent="0.25">
      <c r="A15" s="10"/>
      <c r="B15" s="10"/>
      <c r="C15" s="10"/>
      <c r="D15" s="10"/>
      <c r="E15" s="10"/>
      <c r="F15" s="10"/>
      <c r="I15" s="10"/>
      <c r="J15" s="10"/>
      <c r="K15" s="10"/>
      <c r="L15" s="10"/>
      <c r="M15" s="10"/>
      <c r="N15" s="10"/>
    </row>
    <row r="16" spans="1:14" x14ac:dyDescent="0.25">
      <c r="A16" s="127" t="s">
        <v>22</v>
      </c>
      <c r="B16" s="127"/>
      <c r="C16" s="127"/>
      <c r="D16" s="127"/>
      <c r="E16" s="127"/>
      <c r="F16" s="127"/>
      <c r="I16" s="127" t="s">
        <v>22</v>
      </c>
      <c r="J16" s="127"/>
      <c r="K16" s="127"/>
      <c r="L16" s="127"/>
      <c r="M16" s="127"/>
      <c r="N16" s="127"/>
    </row>
    <row r="17" spans="1:14" x14ac:dyDescent="0.25">
      <c r="A17" s="58" t="s">
        <v>3</v>
      </c>
      <c r="B17" s="58">
        <v>2022</v>
      </c>
      <c r="C17" s="58">
        <v>2021</v>
      </c>
      <c r="D17" s="58">
        <v>2020</v>
      </c>
      <c r="E17" s="58">
        <v>2019</v>
      </c>
      <c r="F17" s="58">
        <v>2018</v>
      </c>
      <c r="I17" s="58" t="s">
        <v>3</v>
      </c>
      <c r="J17" s="58">
        <v>2022</v>
      </c>
      <c r="K17" s="58">
        <v>2021</v>
      </c>
      <c r="L17" s="58">
        <v>2020</v>
      </c>
      <c r="M17" s="5">
        <v>2019</v>
      </c>
      <c r="N17" s="5">
        <v>2018</v>
      </c>
    </row>
    <row r="18" spans="1:14" x14ac:dyDescent="0.25">
      <c r="A18" s="59" t="s">
        <v>30</v>
      </c>
      <c r="B18" s="60">
        <f>6853-6866</f>
        <v>-13</v>
      </c>
      <c r="C18" s="60">
        <f>15787-6227</f>
        <v>9560</v>
      </c>
      <c r="D18" s="60">
        <f>24269-5742</f>
        <v>18527</v>
      </c>
      <c r="E18" s="60">
        <f>17639-7632</f>
        <v>10007</v>
      </c>
      <c r="F18" s="60">
        <f>15022-7785</f>
        <v>7237</v>
      </c>
      <c r="I18" s="46" t="s">
        <v>30</v>
      </c>
      <c r="J18" s="69">
        <f>16043-9238</f>
        <v>6805</v>
      </c>
      <c r="K18" s="69">
        <f>15188-7509</f>
        <v>7679</v>
      </c>
      <c r="L18" s="69">
        <f>16670-5300</f>
        <v>11370</v>
      </c>
      <c r="M18" s="69">
        <f>15021-7592</f>
        <v>7429</v>
      </c>
      <c r="N18" s="69">
        <f>15256-8761</f>
        <v>6495</v>
      </c>
    </row>
    <row r="19" spans="1:14" x14ac:dyDescent="0.25">
      <c r="A19" s="59" t="s">
        <v>18</v>
      </c>
      <c r="B19" s="60">
        <f>B5</f>
        <v>158057</v>
      </c>
      <c r="C19" s="60">
        <f>C5</f>
        <v>136341</v>
      </c>
      <c r="D19" s="60">
        <f>D5</f>
        <v>127144</v>
      </c>
      <c r="E19" s="60">
        <f>E5</f>
        <v>155900</v>
      </c>
      <c r="F19" s="60">
        <f>F5</f>
        <v>160338</v>
      </c>
      <c r="I19" s="46" t="s">
        <v>18</v>
      </c>
      <c r="J19" s="70">
        <f>J5</f>
        <v>156735</v>
      </c>
      <c r="K19" s="70">
        <f>K5</f>
        <v>127004</v>
      </c>
      <c r="L19" s="70">
        <f t="shared" ref="L19:N19" si="7">L5</f>
        <v>122485</v>
      </c>
      <c r="M19" s="70">
        <f t="shared" si="7"/>
        <v>137237</v>
      </c>
      <c r="N19" s="70">
        <f t="shared" si="7"/>
        <v>147049</v>
      </c>
    </row>
    <row r="20" spans="1:14" x14ac:dyDescent="0.25">
      <c r="A20" s="46" t="s">
        <v>31</v>
      </c>
      <c r="B20" s="61">
        <f>(B18/B19)</f>
        <v>-8.2248808973977747E-5</v>
      </c>
      <c r="C20" s="61">
        <f>(C18/C19)</f>
        <v>7.0118306305513384E-2</v>
      </c>
      <c r="D20" s="61">
        <f>(D18/D19)</f>
        <v>0.14571666771534639</v>
      </c>
      <c r="E20" s="61">
        <f>(E18/E19)</f>
        <v>6.4188582424631171E-2</v>
      </c>
      <c r="F20" s="61">
        <f>(F18/F19)</f>
        <v>4.5135900410383067E-2</v>
      </c>
      <c r="I20" s="49" t="s">
        <v>31</v>
      </c>
      <c r="J20" s="71">
        <f>J18/J19</f>
        <v>4.3417232909050307E-2</v>
      </c>
      <c r="K20" s="71">
        <f t="shared" ref="K20:N20" si="8">K18/K19</f>
        <v>6.0462662593304149E-2</v>
      </c>
      <c r="L20" s="71">
        <f t="shared" si="8"/>
        <v>9.2827693186920843E-2</v>
      </c>
      <c r="M20" s="71">
        <f t="shared" si="8"/>
        <v>5.4132631870413957E-2</v>
      </c>
      <c r="N20" s="71">
        <f t="shared" si="8"/>
        <v>4.4168950485892457E-2</v>
      </c>
    </row>
    <row r="21" spans="1:14" x14ac:dyDescent="0.25">
      <c r="A21" s="62"/>
      <c r="B21" s="62"/>
      <c r="C21" s="62"/>
      <c r="D21" s="62"/>
      <c r="E21" s="62"/>
      <c r="F21" s="62"/>
      <c r="I21" s="62"/>
      <c r="J21" s="62"/>
      <c r="K21" s="62"/>
      <c r="L21" s="62"/>
      <c r="M21" s="62"/>
      <c r="N21" s="62"/>
    </row>
    <row r="22" spans="1:14" x14ac:dyDescent="0.25">
      <c r="A22" s="10"/>
      <c r="B22" s="10"/>
      <c r="C22" s="10"/>
      <c r="D22" s="10"/>
      <c r="E22" s="10"/>
      <c r="F22" s="10"/>
      <c r="I22" s="10"/>
      <c r="J22" s="10"/>
      <c r="K22" s="10"/>
      <c r="L22" s="10"/>
      <c r="M22" s="10"/>
      <c r="N22" s="10"/>
    </row>
    <row r="23" spans="1:14" x14ac:dyDescent="0.25">
      <c r="A23" s="127" t="s">
        <v>23</v>
      </c>
      <c r="B23" s="127"/>
      <c r="C23" s="127"/>
      <c r="D23" s="127"/>
      <c r="E23" s="127"/>
      <c r="F23" s="127"/>
      <c r="I23" s="127" t="s">
        <v>23</v>
      </c>
      <c r="J23" s="127"/>
      <c r="K23" s="127"/>
      <c r="L23" s="127"/>
      <c r="M23" s="127"/>
      <c r="N23" s="127"/>
    </row>
    <row r="24" spans="1:14" x14ac:dyDescent="0.25">
      <c r="A24" s="58" t="s">
        <v>3</v>
      </c>
      <c r="B24" s="58">
        <v>2022</v>
      </c>
      <c r="C24" s="58">
        <v>2021</v>
      </c>
      <c r="D24" s="58">
        <v>2020</v>
      </c>
      <c r="E24" s="58">
        <v>2019</v>
      </c>
      <c r="F24" s="58">
        <v>2018</v>
      </c>
      <c r="I24" s="58" t="s">
        <v>3</v>
      </c>
      <c r="J24" s="58">
        <v>2022</v>
      </c>
      <c r="K24" s="58">
        <v>2021</v>
      </c>
      <c r="L24" s="58">
        <v>2020</v>
      </c>
      <c r="M24" s="5">
        <v>2019</v>
      </c>
      <c r="N24" s="5">
        <v>2018</v>
      </c>
    </row>
    <row r="25" spans="1:14" x14ac:dyDescent="0.25">
      <c r="A25" s="59" t="s">
        <v>25</v>
      </c>
      <c r="B25" s="60">
        <v>-3016</v>
      </c>
      <c r="C25" s="60">
        <v>-17910</v>
      </c>
      <c r="D25" s="60">
        <v>-1276</v>
      </c>
      <c r="E25" s="60">
        <v>84</v>
      </c>
      <c r="F25" s="60">
        <v>3695</v>
      </c>
      <c r="I25" s="46" t="s">
        <v>25</v>
      </c>
      <c r="J25" s="69">
        <v>9708</v>
      </c>
      <c r="K25" s="69">
        <v>9945</v>
      </c>
      <c r="L25" s="69">
        <v>6321</v>
      </c>
      <c r="M25" s="69">
        <v>6667</v>
      </c>
      <c r="N25" s="69">
        <v>8005</v>
      </c>
    </row>
    <row r="26" spans="1:14" x14ac:dyDescent="0.25">
      <c r="A26" s="59" t="s">
        <v>28</v>
      </c>
      <c r="B26" s="60">
        <v>255884</v>
      </c>
      <c r="C26" s="60">
        <v>257035</v>
      </c>
      <c r="D26" s="60">
        <v>267261</v>
      </c>
      <c r="E26" s="60">
        <v>258537</v>
      </c>
      <c r="F26" s="60">
        <v>256540</v>
      </c>
      <c r="I26" s="46" t="s">
        <v>28</v>
      </c>
      <c r="J26" s="69">
        <v>265037</v>
      </c>
      <c r="K26" s="69">
        <v>244718</v>
      </c>
      <c r="L26" s="69">
        <v>235194</v>
      </c>
      <c r="M26" s="69">
        <v>228037</v>
      </c>
      <c r="N26" s="69">
        <v>227339</v>
      </c>
    </row>
    <row r="27" spans="1:14" x14ac:dyDescent="0.25">
      <c r="A27" s="46" t="s">
        <v>29</v>
      </c>
      <c r="B27" s="61">
        <f>B25/B26</f>
        <v>-1.1786590798955776E-2</v>
      </c>
      <c r="C27" s="61">
        <f t="shared" ref="C27:F27" si="9">C25/C26</f>
        <v>-6.9679226564475658E-2</v>
      </c>
      <c r="D27" s="61">
        <f t="shared" si="9"/>
        <v>-4.77435914705101E-3</v>
      </c>
      <c r="E27" s="61">
        <f t="shared" si="9"/>
        <v>3.2490513930307847E-4</v>
      </c>
      <c r="F27" s="61">
        <f t="shared" si="9"/>
        <v>1.4403211974740782E-2</v>
      </c>
      <c r="I27" s="49" t="s">
        <v>29</v>
      </c>
      <c r="J27" s="71">
        <f>J25/J26</f>
        <v>3.6628848047631085E-2</v>
      </c>
      <c r="K27" s="71">
        <f t="shared" ref="K27:N27" si="10">K25/K26</f>
        <v>4.0638612607164164E-2</v>
      </c>
      <c r="L27" s="71">
        <f t="shared" si="10"/>
        <v>2.6875685604224597E-2</v>
      </c>
      <c r="M27" s="71">
        <f t="shared" si="10"/>
        <v>2.9236483553107609E-2</v>
      </c>
      <c r="N27" s="71">
        <f t="shared" si="10"/>
        <v>3.5211732258873314E-2</v>
      </c>
    </row>
    <row r="28" spans="1:14" x14ac:dyDescent="0.25">
      <c r="A28" s="10"/>
      <c r="B28" s="10"/>
      <c r="C28" s="10"/>
      <c r="D28" s="10"/>
      <c r="E28" s="10"/>
      <c r="F28" s="10"/>
      <c r="I28" s="10"/>
      <c r="J28" s="10"/>
      <c r="K28" s="10"/>
      <c r="L28" s="10"/>
      <c r="M28" s="10"/>
      <c r="N28" s="10"/>
    </row>
    <row r="29" spans="1:14" x14ac:dyDescent="0.25">
      <c r="A29" s="127" t="s">
        <v>24</v>
      </c>
      <c r="B29" s="127"/>
      <c r="C29" s="127"/>
      <c r="D29" s="127"/>
      <c r="E29" s="127"/>
      <c r="F29" s="127"/>
      <c r="I29" s="127" t="s">
        <v>24</v>
      </c>
      <c r="J29" s="127"/>
      <c r="K29" s="127"/>
      <c r="L29" s="127"/>
      <c r="M29" s="127"/>
      <c r="N29" s="127"/>
    </row>
    <row r="30" spans="1:14" x14ac:dyDescent="0.25">
      <c r="A30" s="58" t="s">
        <v>3</v>
      </c>
      <c r="B30" s="58">
        <v>2022</v>
      </c>
      <c r="C30" s="58">
        <v>2021</v>
      </c>
      <c r="D30" s="58">
        <v>2020</v>
      </c>
      <c r="E30" s="58">
        <v>2019</v>
      </c>
      <c r="F30" s="58">
        <v>2018</v>
      </c>
      <c r="I30" s="58" t="s">
        <v>3</v>
      </c>
      <c r="J30" s="58">
        <v>2022</v>
      </c>
      <c r="K30" s="58">
        <v>2021</v>
      </c>
      <c r="L30" s="58">
        <v>2020</v>
      </c>
      <c r="M30" s="5">
        <v>2019</v>
      </c>
      <c r="N30" s="5">
        <v>2018</v>
      </c>
    </row>
    <row r="31" spans="1:14" x14ac:dyDescent="0.25">
      <c r="A31" s="59" t="s">
        <v>25</v>
      </c>
      <c r="B31" s="60">
        <f>B25</f>
        <v>-3016</v>
      </c>
      <c r="C31" s="60">
        <f>C25</f>
        <v>-17910</v>
      </c>
      <c r="D31" s="60">
        <f>D25</f>
        <v>-1276</v>
      </c>
      <c r="E31" s="60">
        <f>E25</f>
        <v>84</v>
      </c>
      <c r="F31" s="60">
        <f>F25</f>
        <v>3695</v>
      </c>
      <c r="I31" s="46" t="s">
        <v>25</v>
      </c>
      <c r="J31" s="70">
        <f>J25</f>
        <v>9708</v>
      </c>
      <c r="K31" s="70">
        <f t="shared" ref="K31:N31" si="11">K25</f>
        <v>9945</v>
      </c>
      <c r="L31" s="70">
        <f t="shared" si="11"/>
        <v>6321</v>
      </c>
      <c r="M31" s="70">
        <f t="shared" si="11"/>
        <v>6667</v>
      </c>
      <c r="N31" s="70">
        <f t="shared" si="11"/>
        <v>8005</v>
      </c>
    </row>
    <row r="32" spans="1:14" x14ac:dyDescent="0.25">
      <c r="A32" s="59" t="s">
        <v>26</v>
      </c>
      <c r="B32" s="60">
        <v>43167</v>
      </c>
      <c r="C32" s="60">
        <v>48622</v>
      </c>
      <c r="D32" s="60">
        <v>30811</v>
      </c>
      <c r="E32" s="60">
        <v>33185</v>
      </c>
      <c r="F32" s="60">
        <v>35932</v>
      </c>
      <c r="I32" s="46" t="s">
        <v>26</v>
      </c>
      <c r="J32" s="69">
        <v>67792</v>
      </c>
      <c r="K32" s="69">
        <v>59744</v>
      </c>
      <c r="L32" s="69">
        <v>45030</v>
      </c>
      <c r="M32" s="69">
        <v>41792</v>
      </c>
      <c r="N32" s="69">
        <v>38860</v>
      </c>
    </row>
    <row r="33" spans="1:14" x14ac:dyDescent="0.25">
      <c r="A33" s="46" t="s">
        <v>27</v>
      </c>
      <c r="B33" s="61">
        <f>B31/B32</f>
        <v>-6.9868186346051381E-2</v>
      </c>
      <c r="C33" s="61">
        <f t="shared" ref="C33:F33" si="12">C31/C32</f>
        <v>-0.3683517749167044</v>
      </c>
      <c r="D33" s="61">
        <f t="shared" si="12"/>
        <v>-4.141378079257408E-2</v>
      </c>
      <c r="E33" s="61">
        <f t="shared" si="12"/>
        <v>2.5312641253578422E-3</v>
      </c>
      <c r="F33" s="61">
        <f t="shared" si="12"/>
        <v>0.1028331292441278</v>
      </c>
      <c r="I33" s="49" t="s">
        <v>27</v>
      </c>
      <c r="J33" s="71">
        <f>J31/J32</f>
        <v>0.14320273778616946</v>
      </c>
      <c r="K33" s="71">
        <f t="shared" ref="K33:N33" si="13">K31/K32</f>
        <v>0.16646023031601501</v>
      </c>
      <c r="L33" s="71">
        <f t="shared" si="13"/>
        <v>0.14037308461025982</v>
      </c>
      <c r="M33" s="71">
        <f t="shared" si="13"/>
        <v>0.1595281393568147</v>
      </c>
      <c r="N33" s="71">
        <f t="shared" si="13"/>
        <v>0.20599588265568708</v>
      </c>
    </row>
    <row r="34" spans="1:14" x14ac:dyDescent="0.25">
      <c r="A34" s="2"/>
      <c r="B34" s="2"/>
      <c r="C34" s="2"/>
      <c r="D34" s="2"/>
      <c r="E34" s="2"/>
      <c r="F34" s="2"/>
    </row>
  </sheetData>
  <mergeCells count="12">
    <mergeCell ref="I29:N29"/>
    <mergeCell ref="A1:F1"/>
    <mergeCell ref="A2:F2"/>
    <mergeCell ref="A9:F9"/>
    <mergeCell ref="A16:F16"/>
    <mergeCell ref="A23:F23"/>
    <mergeCell ref="A29:F29"/>
    <mergeCell ref="I1:N1"/>
    <mergeCell ref="I2:N2"/>
    <mergeCell ref="I9:N9"/>
    <mergeCell ref="I16:N16"/>
    <mergeCell ref="I23:N2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07" workbookViewId="0">
      <selection activeCell="C4" sqref="C4"/>
    </sheetView>
  </sheetViews>
  <sheetFormatPr defaultColWidth="11.42578125" defaultRowHeight="15" x14ac:dyDescent="0.25"/>
  <cols>
    <col min="1" max="1" width="28.7109375" customWidth="1"/>
    <col min="2" max="2" width="11" bestFit="1" customWidth="1"/>
    <col min="3" max="3" width="11.140625" bestFit="1" customWidth="1"/>
    <col min="8" max="8" width="28.85546875" customWidth="1"/>
    <col min="9" max="13" width="12.7109375" bestFit="1" customWidth="1"/>
  </cols>
  <sheetData>
    <row r="1" spans="1:13" x14ac:dyDescent="0.25">
      <c r="A1" s="126" t="s">
        <v>0</v>
      </c>
      <c r="B1" s="126"/>
      <c r="C1" s="126"/>
      <c r="D1" s="126"/>
      <c r="E1" s="126"/>
      <c r="F1" s="126"/>
      <c r="H1" s="125" t="s">
        <v>1</v>
      </c>
      <c r="I1" s="125"/>
      <c r="J1" s="125"/>
      <c r="K1" s="125"/>
      <c r="L1" s="125"/>
      <c r="M1" s="125"/>
    </row>
    <row r="2" spans="1:13" x14ac:dyDescent="0.25">
      <c r="A2" s="128" t="s">
        <v>49</v>
      </c>
      <c r="B2" s="128"/>
      <c r="C2" s="128"/>
      <c r="D2" s="128"/>
      <c r="E2" s="128"/>
      <c r="F2" s="128"/>
      <c r="H2" s="128" t="s">
        <v>49</v>
      </c>
      <c r="I2" s="128"/>
      <c r="J2" s="128"/>
      <c r="K2" s="128"/>
      <c r="L2" s="128"/>
      <c r="M2" s="128"/>
    </row>
    <row r="3" spans="1:13" x14ac:dyDescent="0.25">
      <c r="A3" s="21" t="s">
        <v>50</v>
      </c>
      <c r="B3" s="21">
        <v>2022</v>
      </c>
      <c r="C3" s="21">
        <v>2021</v>
      </c>
      <c r="D3" s="21">
        <v>2020</v>
      </c>
      <c r="E3" s="21">
        <v>2019</v>
      </c>
      <c r="F3" s="21">
        <v>2018</v>
      </c>
      <c r="H3" s="24" t="s">
        <v>50</v>
      </c>
      <c r="I3" s="24">
        <v>2022</v>
      </c>
      <c r="J3" s="24">
        <v>2021</v>
      </c>
      <c r="K3" s="24">
        <v>2020</v>
      </c>
      <c r="L3" s="24">
        <v>2019</v>
      </c>
      <c r="M3" s="24">
        <v>2018</v>
      </c>
    </row>
    <row r="4" spans="1:13" x14ac:dyDescent="0.25">
      <c r="A4" s="72" t="s">
        <v>51</v>
      </c>
      <c r="B4" s="73">
        <v>-1981</v>
      </c>
      <c r="C4" s="73">
        <v>17937</v>
      </c>
      <c r="D4" s="73">
        <v>-1279</v>
      </c>
      <c r="E4" s="73">
        <v>47</v>
      </c>
      <c r="F4" s="73">
        <v>3677</v>
      </c>
      <c r="H4" s="21" t="s">
        <v>51</v>
      </c>
      <c r="I4" s="63">
        <v>8915</v>
      </c>
      <c r="J4" s="63">
        <v>9837</v>
      </c>
      <c r="K4" s="63">
        <v>6247</v>
      </c>
      <c r="L4" s="63">
        <v>6581</v>
      </c>
      <c r="M4" s="63">
        <v>7916</v>
      </c>
    </row>
    <row r="5" spans="1:13" x14ac:dyDescent="0.25">
      <c r="A5" s="72" t="s">
        <v>52</v>
      </c>
      <c r="B5" s="74">
        <v>4014</v>
      </c>
      <c r="C5" s="74">
        <v>4034</v>
      </c>
      <c r="D5" s="74">
        <v>3973</v>
      </c>
      <c r="E5" s="74">
        <v>4004</v>
      </c>
      <c r="F5" s="74">
        <v>3998</v>
      </c>
      <c r="H5" s="21" t="s">
        <v>52</v>
      </c>
      <c r="I5" s="21">
        <v>1445</v>
      </c>
      <c r="J5" s="21">
        <v>1451</v>
      </c>
      <c r="K5" s="21">
        <v>1433</v>
      </c>
      <c r="L5" s="21">
        <v>1424</v>
      </c>
      <c r="M5" s="21">
        <v>1411</v>
      </c>
    </row>
    <row r="6" spans="1:13" x14ac:dyDescent="0.25">
      <c r="A6" s="5" t="s">
        <v>49</v>
      </c>
      <c r="B6" s="75">
        <f>B4/B5</f>
        <v>-0.49352267065271549</v>
      </c>
      <c r="C6" s="75">
        <f t="shared" ref="C6:F6" si="0">C4/C5</f>
        <v>4.4464551313832423</v>
      </c>
      <c r="D6" s="75">
        <f t="shared" si="0"/>
        <v>-0.32192298011578152</v>
      </c>
      <c r="E6" s="75">
        <f t="shared" si="0"/>
        <v>1.1738261738261738E-2</v>
      </c>
      <c r="F6" s="75">
        <f t="shared" si="0"/>
        <v>0.91970985492746371</v>
      </c>
      <c r="H6" s="64" t="s">
        <v>49</v>
      </c>
      <c r="I6" s="81">
        <f>I4/I5</f>
        <v>6.1695501730103803</v>
      </c>
      <c r="J6" s="81">
        <f t="shared" ref="J6:M6" si="1">J4/J5</f>
        <v>6.7794624396967604</v>
      </c>
      <c r="K6" s="81">
        <f t="shared" si="1"/>
        <v>4.3593859036985343</v>
      </c>
      <c r="L6" s="81">
        <f t="shared" si="1"/>
        <v>4.621488764044944</v>
      </c>
      <c r="M6" s="81">
        <f t="shared" si="1"/>
        <v>5.6102055279943306</v>
      </c>
    </row>
    <row r="7" spans="1:13" x14ac:dyDescent="0.25">
      <c r="A7" s="31"/>
      <c r="F7" s="30"/>
      <c r="H7" s="31"/>
      <c r="M7" s="30"/>
    </row>
    <row r="8" spans="1:13" x14ac:dyDescent="0.25">
      <c r="A8" s="128" t="s">
        <v>53</v>
      </c>
      <c r="B8" s="128"/>
      <c r="C8" s="128"/>
      <c r="D8" s="128"/>
      <c r="E8" s="128"/>
      <c r="F8" s="128"/>
      <c r="H8" s="128" t="s">
        <v>53</v>
      </c>
      <c r="I8" s="128"/>
      <c r="J8" s="128"/>
      <c r="K8" s="128"/>
      <c r="L8" s="128"/>
      <c r="M8" s="128"/>
    </row>
    <row r="9" spans="1:13" x14ac:dyDescent="0.25">
      <c r="A9" s="21" t="s">
        <v>50</v>
      </c>
      <c r="B9" s="21">
        <v>2022</v>
      </c>
      <c r="C9" s="21">
        <v>2021</v>
      </c>
      <c r="D9" s="21">
        <v>2020</v>
      </c>
      <c r="E9" s="21">
        <v>2019</v>
      </c>
      <c r="F9" s="21">
        <v>2018</v>
      </c>
      <c r="H9" s="24" t="s">
        <v>50</v>
      </c>
      <c r="I9" s="24">
        <v>2022</v>
      </c>
      <c r="J9" s="24">
        <v>2021</v>
      </c>
      <c r="K9" s="24">
        <v>2020</v>
      </c>
      <c r="L9" s="24">
        <v>2019</v>
      </c>
      <c r="M9" s="24">
        <v>2018</v>
      </c>
    </row>
    <row r="10" spans="1:13" x14ac:dyDescent="0.25">
      <c r="A10" s="72" t="s">
        <v>56</v>
      </c>
      <c r="B10" s="76">
        <v>13.2158</v>
      </c>
      <c r="C10" s="76">
        <v>12.416700000000001</v>
      </c>
      <c r="D10" s="76">
        <v>6.1374000000000004</v>
      </c>
      <c r="E10" s="76">
        <v>7.7141999999999999</v>
      </c>
      <c r="F10" s="76">
        <v>8.1298999999999992</v>
      </c>
      <c r="H10" s="21" t="s">
        <v>56</v>
      </c>
      <c r="I10" s="67">
        <v>14</v>
      </c>
      <c r="J10" s="67">
        <v>15</v>
      </c>
      <c r="K10" s="67">
        <v>14</v>
      </c>
      <c r="L10" s="67">
        <v>14</v>
      </c>
      <c r="M10" s="67">
        <v>14</v>
      </c>
    </row>
    <row r="11" spans="1:13" x14ac:dyDescent="0.25">
      <c r="A11" s="72" t="s">
        <v>57</v>
      </c>
      <c r="B11" s="76">
        <f>B6</f>
        <v>-0.49352267065271549</v>
      </c>
      <c r="C11" s="76">
        <f t="shared" ref="C11:F11" si="2">C6</f>
        <v>4.4464551313832423</v>
      </c>
      <c r="D11" s="76">
        <f t="shared" si="2"/>
        <v>-0.32192298011578152</v>
      </c>
      <c r="E11" s="76">
        <f t="shared" si="2"/>
        <v>1.1738261738261738E-2</v>
      </c>
      <c r="F11" s="76">
        <f t="shared" si="2"/>
        <v>0.91970985492746371</v>
      </c>
      <c r="H11" s="21" t="s">
        <v>57</v>
      </c>
      <c r="I11" s="67">
        <f>I6</f>
        <v>6.1695501730103803</v>
      </c>
      <c r="J11" s="67">
        <f t="shared" ref="J11:M11" si="3">J6</f>
        <v>6.7794624396967604</v>
      </c>
      <c r="K11" s="67">
        <f t="shared" si="3"/>
        <v>4.3593859036985343</v>
      </c>
      <c r="L11" s="67">
        <f t="shared" si="3"/>
        <v>4.621488764044944</v>
      </c>
      <c r="M11" s="67">
        <f t="shared" si="3"/>
        <v>5.6102055279943306</v>
      </c>
    </row>
    <row r="12" spans="1:13" x14ac:dyDescent="0.25">
      <c r="A12" s="5" t="s">
        <v>53</v>
      </c>
      <c r="B12" s="77">
        <f>B10/B11</f>
        <v>-26.778506410903585</v>
      </c>
      <c r="C12" s="77">
        <f t="shared" ref="C12:F12" si="4">C10/C11</f>
        <v>2.7924941629034956</v>
      </c>
      <c r="D12" s="77">
        <f t="shared" si="4"/>
        <v>-19.064808600469117</v>
      </c>
      <c r="E12" s="77">
        <f t="shared" si="4"/>
        <v>657.18418723404261</v>
      </c>
      <c r="F12" s="77">
        <f t="shared" si="4"/>
        <v>8.8396356268697307</v>
      </c>
      <c r="H12" s="64" t="s">
        <v>53</v>
      </c>
      <c r="I12" s="26">
        <f>I10/I11</f>
        <v>2.2692091979809312</v>
      </c>
      <c r="J12" s="26">
        <f>J10/J11</f>
        <v>2.2125648063433974</v>
      </c>
      <c r="K12" s="26">
        <f>K10/K11</f>
        <v>3.2114615015207302</v>
      </c>
      <c r="L12" s="26">
        <f>L10/L11</f>
        <v>3.0293268500227928</v>
      </c>
      <c r="M12" s="26">
        <f>M10/M11</f>
        <v>2.4954522486104094</v>
      </c>
    </row>
    <row r="13" spans="1:13" x14ac:dyDescent="0.25">
      <c r="A13" s="31"/>
      <c r="F13" s="30"/>
      <c r="H13" s="31"/>
      <c r="M13" s="30"/>
    </row>
    <row r="14" spans="1:13" x14ac:dyDescent="0.25">
      <c r="A14" s="128" t="s">
        <v>54</v>
      </c>
      <c r="B14" s="128"/>
      <c r="C14" s="128"/>
      <c r="D14" s="128"/>
      <c r="E14" s="128"/>
      <c r="F14" s="128"/>
      <c r="H14" s="128" t="s">
        <v>54</v>
      </c>
      <c r="I14" s="128"/>
      <c r="J14" s="128"/>
      <c r="K14" s="128"/>
      <c r="L14" s="128"/>
      <c r="M14" s="128"/>
    </row>
    <row r="15" spans="1:13" x14ac:dyDescent="0.25">
      <c r="A15" s="21" t="s">
        <v>50</v>
      </c>
      <c r="B15" s="21">
        <v>2022</v>
      </c>
      <c r="C15" s="21">
        <v>2021</v>
      </c>
      <c r="D15" s="21">
        <v>2020</v>
      </c>
      <c r="E15" s="21">
        <v>2019</v>
      </c>
      <c r="F15" s="21">
        <v>2018</v>
      </c>
      <c r="H15" s="24" t="s">
        <v>50</v>
      </c>
      <c r="I15" s="24">
        <v>2022</v>
      </c>
      <c r="J15" s="24">
        <v>2021</v>
      </c>
      <c r="K15" s="24">
        <v>2020</v>
      </c>
      <c r="L15" s="24">
        <v>2019</v>
      </c>
      <c r="M15" s="24">
        <v>2018</v>
      </c>
    </row>
    <row r="16" spans="1:13" x14ac:dyDescent="0.25">
      <c r="A16" s="72" t="s">
        <v>58</v>
      </c>
      <c r="B16" s="78">
        <f>2009/B5</f>
        <v>0.5004982561036373</v>
      </c>
      <c r="C16" s="78">
        <f>403/C5</f>
        <v>9.9900842835894899E-2</v>
      </c>
      <c r="D16" s="78">
        <f>596/D5</f>
        <v>0.15001258494840172</v>
      </c>
      <c r="E16" s="78">
        <f>2389/E5</f>
        <v>0.59665334665334668</v>
      </c>
      <c r="F16" s="78">
        <f>2905/F5</f>
        <v>0.72661330665332668</v>
      </c>
      <c r="H16" s="21" t="s">
        <v>58</v>
      </c>
      <c r="I16" s="80">
        <f>397/I5</f>
        <v>0.27474048442906573</v>
      </c>
      <c r="J16" s="80">
        <f>186/J5</f>
        <v>0.12818745692625774</v>
      </c>
      <c r="K16" s="80">
        <f>669/K5</f>
        <v>0.46685275645498953</v>
      </c>
      <c r="L16" s="80">
        <f>2350/L5</f>
        <v>1.6502808988764044</v>
      </c>
      <c r="M16" s="80">
        <f>2242/M5</f>
        <v>1.5889440113394755</v>
      </c>
    </row>
    <row r="17" spans="1:13" x14ac:dyDescent="0.25">
      <c r="A17" s="72" t="s">
        <v>57</v>
      </c>
      <c r="B17" s="76">
        <f>B6</f>
        <v>-0.49352267065271549</v>
      </c>
      <c r="C17" s="76">
        <f t="shared" ref="C17:F17" si="5">C6</f>
        <v>4.4464551313832423</v>
      </c>
      <c r="D17" s="76">
        <f t="shared" si="5"/>
        <v>-0.32192298011578152</v>
      </c>
      <c r="E17" s="76">
        <f t="shared" si="5"/>
        <v>1.1738261738261738E-2</v>
      </c>
      <c r="F17" s="76">
        <f t="shared" si="5"/>
        <v>0.91970985492746371</v>
      </c>
      <c r="H17" s="21" t="s">
        <v>57</v>
      </c>
      <c r="I17" s="67">
        <f>I6</f>
        <v>6.1695501730103803</v>
      </c>
      <c r="J17" s="67">
        <f t="shared" ref="J17:M17" si="6">J6</f>
        <v>6.7794624396967604</v>
      </c>
      <c r="K17" s="67">
        <f t="shared" si="6"/>
        <v>4.3593859036985343</v>
      </c>
      <c r="L17" s="67">
        <f t="shared" si="6"/>
        <v>4.621488764044944</v>
      </c>
      <c r="M17" s="67">
        <f t="shared" si="6"/>
        <v>5.6102055279943306</v>
      </c>
    </row>
    <row r="18" spans="1:13" x14ac:dyDescent="0.25">
      <c r="A18" s="5" t="s">
        <v>54</v>
      </c>
      <c r="B18" s="79">
        <f>B16/B17</f>
        <v>-1.0141342756183747</v>
      </c>
      <c r="C18" s="79">
        <f t="shared" ref="C18:F18" si="7">C16/C17</f>
        <v>2.2467525227184034E-2</v>
      </c>
      <c r="D18" s="79">
        <f t="shared" si="7"/>
        <v>-0.46598905394839724</v>
      </c>
      <c r="E18" s="79">
        <f t="shared" si="7"/>
        <v>50.829787234042556</v>
      </c>
      <c r="F18" s="79">
        <f t="shared" si="7"/>
        <v>0.79004623334239876</v>
      </c>
      <c r="H18" s="64" t="s">
        <v>54</v>
      </c>
      <c r="I18" s="81">
        <f>I16/I17</f>
        <v>4.4531688166012343E-2</v>
      </c>
      <c r="J18" s="81">
        <f t="shared" ref="J18:M18" si="8">J16/J17</f>
        <v>1.8908203720646537E-2</v>
      </c>
      <c r="K18" s="81">
        <f t="shared" si="8"/>
        <v>0.10709140387385946</v>
      </c>
      <c r="L18" s="81">
        <f t="shared" si="8"/>
        <v>0.3570885883604315</v>
      </c>
      <c r="M18" s="81">
        <f t="shared" si="8"/>
        <v>0.28322385042950982</v>
      </c>
    </row>
    <row r="19" spans="1:13" x14ac:dyDescent="0.25">
      <c r="A19" s="31"/>
      <c r="F19" s="30"/>
      <c r="H19" s="31"/>
      <c r="M19" s="30"/>
    </row>
    <row r="20" spans="1:13" x14ac:dyDescent="0.25">
      <c r="A20" s="128" t="s">
        <v>55</v>
      </c>
      <c r="B20" s="128"/>
      <c r="C20" s="128"/>
      <c r="D20" s="128"/>
      <c r="E20" s="128"/>
      <c r="F20" s="128"/>
      <c r="H20" s="128" t="s">
        <v>55</v>
      </c>
      <c r="I20" s="128"/>
      <c r="J20" s="128"/>
      <c r="K20" s="128"/>
      <c r="L20" s="128"/>
      <c r="M20" s="128"/>
    </row>
    <row r="21" spans="1:13" x14ac:dyDescent="0.25">
      <c r="A21" s="21" t="s">
        <v>50</v>
      </c>
      <c r="B21" s="21">
        <v>2022</v>
      </c>
      <c r="C21" s="21">
        <v>2021</v>
      </c>
      <c r="D21" s="21">
        <v>2020</v>
      </c>
      <c r="E21" s="21">
        <v>2019</v>
      </c>
      <c r="F21" s="21">
        <v>2018</v>
      </c>
      <c r="H21" s="24" t="s">
        <v>50</v>
      </c>
      <c r="I21" s="24">
        <v>2022</v>
      </c>
      <c r="J21" s="24">
        <v>2021</v>
      </c>
      <c r="K21" s="24">
        <v>2020</v>
      </c>
      <c r="L21" s="24">
        <v>2019</v>
      </c>
      <c r="M21" s="24">
        <v>2018</v>
      </c>
    </row>
    <row r="22" spans="1:13" x14ac:dyDescent="0.25">
      <c r="A22" s="72" t="s">
        <v>58</v>
      </c>
      <c r="B22" s="78">
        <f>B16</f>
        <v>0.5004982561036373</v>
      </c>
      <c r="C22" s="78">
        <f t="shared" ref="C22:F22" si="9">C16</f>
        <v>9.9900842835894899E-2</v>
      </c>
      <c r="D22" s="78">
        <f>D16</f>
        <v>0.15001258494840172</v>
      </c>
      <c r="E22" s="78">
        <f t="shared" si="9"/>
        <v>0.59665334665334668</v>
      </c>
      <c r="F22" s="78">
        <f t="shared" si="9"/>
        <v>0.72661330665332668</v>
      </c>
      <c r="H22" s="21" t="s">
        <v>58</v>
      </c>
      <c r="I22" s="80">
        <f>I16</f>
        <v>0.27474048442906573</v>
      </c>
      <c r="J22" s="80">
        <f t="shared" ref="J22:M22" si="10">J16</f>
        <v>0.12818745692625774</v>
      </c>
      <c r="K22" s="80">
        <f t="shared" si="10"/>
        <v>0.46685275645498953</v>
      </c>
      <c r="L22" s="80">
        <f t="shared" si="10"/>
        <v>1.6502808988764044</v>
      </c>
      <c r="M22" s="80">
        <f t="shared" si="10"/>
        <v>1.5889440113394755</v>
      </c>
    </row>
    <row r="23" spans="1:13" x14ac:dyDescent="0.25">
      <c r="A23" s="72" t="s">
        <v>56</v>
      </c>
      <c r="B23" s="76">
        <v>13.2158</v>
      </c>
      <c r="C23" s="76">
        <v>12.416700000000001</v>
      </c>
      <c r="D23" s="76">
        <v>6.1374000000000004</v>
      </c>
      <c r="E23" s="76">
        <v>7.7141999999999999</v>
      </c>
      <c r="F23" s="76">
        <v>8.1298999999999992</v>
      </c>
      <c r="H23" s="21" t="s">
        <v>56</v>
      </c>
      <c r="I23" s="67">
        <v>14</v>
      </c>
      <c r="J23" s="67">
        <v>15</v>
      </c>
      <c r="K23" s="67">
        <v>14</v>
      </c>
      <c r="L23" s="67">
        <v>14</v>
      </c>
      <c r="M23" s="67">
        <v>14</v>
      </c>
    </row>
    <row r="24" spans="1:13" x14ac:dyDescent="0.25">
      <c r="A24" s="5" t="s">
        <v>55</v>
      </c>
      <c r="B24" s="79">
        <f>B22/B23</f>
        <v>3.7871203869885843E-2</v>
      </c>
      <c r="C24" s="79">
        <f t="shared" ref="C24:F24" si="11">C22/C23</f>
        <v>8.0456838641422349E-3</v>
      </c>
      <c r="D24" s="79">
        <f t="shared" si="11"/>
        <v>2.4442367280672877E-2</v>
      </c>
      <c r="E24" s="79">
        <f t="shared" si="11"/>
        <v>7.7344811730749363E-2</v>
      </c>
      <c r="F24" s="79">
        <f t="shared" si="11"/>
        <v>8.9375429790443522E-2</v>
      </c>
      <c r="H24" s="64" t="s">
        <v>55</v>
      </c>
      <c r="I24" s="81">
        <f>I22/I23</f>
        <v>1.9624320316361837E-2</v>
      </c>
      <c r="J24" s="81">
        <f t="shared" ref="J24:M24" si="12">J22/J23</f>
        <v>8.5458304617505153E-3</v>
      </c>
      <c r="K24" s="81">
        <f t="shared" si="12"/>
        <v>3.3346625461070679E-2</v>
      </c>
      <c r="L24" s="81">
        <f t="shared" si="12"/>
        <v>0.11787720706260031</v>
      </c>
      <c r="M24" s="81">
        <f t="shared" si="12"/>
        <v>0.11349600080996254</v>
      </c>
    </row>
  </sheetData>
  <mergeCells count="10">
    <mergeCell ref="A20:F20"/>
    <mergeCell ref="H1:M1"/>
    <mergeCell ref="H2:M2"/>
    <mergeCell ref="H8:M8"/>
    <mergeCell ref="H14:M14"/>
    <mergeCell ref="H20:M20"/>
    <mergeCell ref="A1:F1"/>
    <mergeCell ref="A2:F2"/>
    <mergeCell ref="A8:F8"/>
    <mergeCell ref="A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65" workbookViewId="0">
      <selection activeCell="M12" sqref="M12"/>
    </sheetView>
  </sheetViews>
  <sheetFormatPr defaultColWidth="11.42578125" defaultRowHeight="15" x14ac:dyDescent="0.25"/>
  <cols>
    <col min="1" max="1" width="36.7109375" customWidth="1"/>
    <col min="2" max="2" width="22.140625" customWidth="1"/>
    <col min="3" max="3" width="26.7109375" customWidth="1"/>
    <col min="4" max="4" width="68.140625" customWidth="1"/>
    <col min="9" max="9" width="30.85546875" customWidth="1"/>
    <col min="10" max="10" width="25.140625" customWidth="1"/>
    <col min="11" max="11" width="25.7109375" customWidth="1"/>
    <col min="12" max="12" width="34.7109375" customWidth="1"/>
  </cols>
  <sheetData>
    <row r="1" spans="1:12" ht="30" customHeight="1" x14ac:dyDescent="0.35">
      <c r="A1" s="119" t="s">
        <v>59</v>
      </c>
      <c r="B1" s="120" t="s">
        <v>63</v>
      </c>
      <c r="C1" s="121" t="s">
        <v>64</v>
      </c>
      <c r="D1" s="122" t="s">
        <v>66</v>
      </c>
      <c r="I1" s="119" t="s">
        <v>59</v>
      </c>
      <c r="J1" s="120" t="s">
        <v>63</v>
      </c>
      <c r="K1" s="121" t="s">
        <v>64</v>
      </c>
      <c r="L1" s="122" t="s">
        <v>66</v>
      </c>
    </row>
    <row r="2" spans="1:12" ht="21" x14ac:dyDescent="0.35">
      <c r="A2" s="83" t="s">
        <v>60</v>
      </c>
      <c r="B2" s="84"/>
      <c r="C2" s="85"/>
      <c r="D2" s="86"/>
      <c r="I2" s="83" t="s">
        <v>65</v>
      </c>
      <c r="J2" s="105"/>
      <c r="K2" s="106"/>
      <c r="L2" s="86"/>
    </row>
    <row r="3" spans="1:12" ht="105" x14ac:dyDescent="0.35">
      <c r="A3" s="87" t="s">
        <v>82</v>
      </c>
      <c r="B3" s="99">
        <v>1.2</v>
      </c>
      <c r="C3" s="100">
        <v>1.1000000000000001</v>
      </c>
      <c r="D3" s="88" t="s">
        <v>68</v>
      </c>
      <c r="I3" s="87" t="s">
        <v>93</v>
      </c>
      <c r="J3" s="113">
        <v>-0.49</v>
      </c>
      <c r="K3" s="100">
        <v>6.17</v>
      </c>
      <c r="L3" s="93" t="s">
        <v>67</v>
      </c>
    </row>
    <row r="4" spans="1:12" ht="126" x14ac:dyDescent="0.35">
      <c r="A4" s="87" t="s">
        <v>83</v>
      </c>
      <c r="B4" s="101">
        <v>1.06</v>
      </c>
      <c r="C4" s="102">
        <v>0.93</v>
      </c>
      <c r="D4" s="89" t="s">
        <v>69</v>
      </c>
      <c r="I4" s="123" t="s">
        <v>94</v>
      </c>
      <c r="J4" s="114">
        <v>-26.78</v>
      </c>
      <c r="K4" s="102">
        <v>2.27</v>
      </c>
      <c r="L4" s="89" t="s">
        <v>79</v>
      </c>
    </row>
    <row r="5" spans="1:12" ht="126" x14ac:dyDescent="0.35">
      <c r="A5" s="87" t="s">
        <v>84</v>
      </c>
      <c r="B5" s="103">
        <v>0.53</v>
      </c>
      <c r="C5" s="104">
        <v>0.52</v>
      </c>
      <c r="D5" s="90" t="s">
        <v>70</v>
      </c>
      <c r="I5" s="87" t="s">
        <v>95</v>
      </c>
      <c r="J5" s="115">
        <v>-1.01</v>
      </c>
      <c r="K5" s="116">
        <v>0.04</v>
      </c>
      <c r="L5" s="89" t="s">
        <v>80</v>
      </c>
    </row>
    <row r="6" spans="1:12" ht="147.75" thickBot="1" x14ac:dyDescent="0.4">
      <c r="A6" s="83" t="s">
        <v>61</v>
      </c>
      <c r="B6" s="105"/>
      <c r="C6" s="106"/>
      <c r="D6" s="91"/>
      <c r="I6" s="97" t="s">
        <v>96</v>
      </c>
      <c r="J6" s="117">
        <v>0.04</v>
      </c>
      <c r="K6" s="118">
        <v>0.02</v>
      </c>
      <c r="L6" s="98" t="s">
        <v>81</v>
      </c>
    </row>
    <row r="7" spans="1:12" ht="42" x14ac:dyDescent="0.35">
      <c r="A7" s="92" t="s">
        <v>85</v>
      </c>
      <c r="B7" s="99">
        <v>0.83</v>
      </c>
      <c r="C7" s="100">
        <v>0.73</v>
      </c>
      <c r="D7" s="93" t="s">
        <v>71</v>
      </c>
    </row>
    <row r="8" spans="1:12" ht="84" x14ac:dyDescent="0.35">
      <c r="A8" s="94" t="s">
        <v>86</v>
      </c>
      <c r="B8" s="101">
        <v>0.67</v>
      </c>
      <c r="C8" s="102">
        <v>0.53</v>
      </c>
      <c r="D8" s="89" t="s">
        <v>72</v>
      </c>
    </row>
    <row r="9" spans="1:12" ht="63" x14ac:dyDescent="0.35">
      <c r="A9" s="87" t="s">
        <v>87</v>
      </c>
      <c r="B9" s="103">
        <v>4.93</v>
      </c>
      <c r="C9" s="104">
        <v>2.83</v>
      </c>
      <c r="D9" s="95" t="s">
        <v>73</v>
      </c>
    </row>
    <row r="10" spans="1:12" ht="21" x14ac:dyDescent="0.35">
      <c r="A10" s="83" t="s">
        <v>62</v>
      </c>
      <c r="B10" s="105"/>
      <c r="C10" s="106"/>
      <c r="D10" s="86"/>
    </row>
    <row r="11" spans="1:12" ht="63" x14ac:dyDescent="0.35">
      <c r="A11" s="87" t="s">
        <v>88</v>
      </c>
      <c r="B11" s="107">
        <v>0.1497</v>
      </c>
      <c r="C11" s="108">
        <v>0.12790000000000001</v>
      </c>
      <c r="D11" s="93" t="s">
        <v>74</v>
      </c>
    </row>
    <row r="12" spans="1:12" ht="84" x14ac:dyDescent="0.35">
      <c r="A12" s="87" t="s">
        <v>89</v>
      </c>
      <c r="B12" s="109">
        <v>-3.9699999999999999E-2</v>
      </c>
      <c r="C12" s="110">
        <v>0.10630000000000001</v>
      </c>
      <c r="D12" s="89" t="s">
        <v>75</v>
      </c>
    </row>
    <row r="13" spans="1:12" ht="84" x14ac:dyDescent="0.35">
      <c r="A13" s="87" t="s">
        <v>90</v>
      </c>
      <c r="B13" s="109">
        <v>-1E-4</v>
      </c>
      <c r="C13" s="110">
        <v>4.3400000000000001E-2</v>
      </c>
      <c r="D13" s="89" t="s">
        <v>76</v>
      </c>
    </row>
    <row r="14" spans="1:12" ht="63" x14ac:dyDescent="0.35">
      <c r="A14" s="87" t="s">
        <v>91</v>
      </c>
      <c r="B14" s="109">
        <v>-1.18E-2</v>
      </c>
      <c r="C14" s="110">
        <v>3.6600000000000001E-2</v>
      </c>
      <c r="D14" s="89" t="s">
        <v>77</v>
      </c>
    </row>
    <row r="15" spans="1:12" ht="84" x14ac:dyDescent="0.35">
      <c r="A15" s="87" t="s">
        <v>92</v>
      </c>
      <c r="B15" s="111">
        <v>-6.9900000000000004E-2</v>
      </c>
      <c r="C15" s="112">
        <v>0.14319999999999999</v>
      </c>
      <c r="D15" s="95" t="s">
        <v>78</v>
      </c>
    </row>
    <row r="16" spans="1:12" ht="21" x14ac:dyDescent="0.35">
      <c r="A16" s="83" t="s">
        <v>65</v>
      </c>
      <c r="B16" s="105"/>
      <c r="C16" s="106"/>
      <c r="D16" s="86"/>
    </row>
    <row r="17" spans="1:4" ht="84" x14ac:dyDescent="0.35">
      <c r="A17" s="87" t="s">
        <v>93</v>
      </c>
      <c r="B17" s="113">
        <v>-0.49</v>
      </c>
      <c r="C17" s="100">
        <v>6.17</v>
      </c>
      <c r="D17" s="93" t="s">
        <v>67</v>
      </c>
    </row>
    <row r="18" spans="1:4" ht="57" customHeight="1" x14ac:dyDescent="0.35">
      <c r="A18" s="96" t="s">
        <v>94</v>
      </c>
      <c r="B18" s="114">
        <v>-26.78</v>
      </c>
      <c r="C18" s="102">
        <v>2.27</v>
      </c>
      <c r="D18" s="89" t="s">
        <v>79</v>
      </c>
    </row>
    <row r="19" spans="1:4" ht="63" x14ac:dyDescent="0.35">
      <c r="A19" s="87" t="s">
        <v>95</v>
      </c>
      <c r="B19" s="115">
        <v>-1.01</v>
      </c>
      <c r="C19" s="116">
        <v>0.04</v>
      </c>
      <c r="D19" s="89" t="s">
        <v>80</v>
      </c>
    </row>
    <row r="20" spans="1:4" ht="63.75" thickBot="1" x14ac:dyDescent="0.4">
      <c r="A20" s="97" t="s">
        <v>96</v>
      </c>
      <c r="B20" s="117">
        <v>0.04</v>
      </c>
      <c r="C20" s="118">
        <v>0.02</v>
      </c>
      <c r="D20" s="98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d17758-9c0f-4b9d-89bf-fabe6e9304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1349586D9C042A477B59F22333948" ma:contentTypeVersion="14" ma:contentTypeDescription="Create a new document." ma:contentTypeScope="" ma:versionID="c4800e284d5a670ff54f0a709a4308b4">
  <xsd:schema xmlns:xsd="http://www.w3.org/2001/XMLSchema" xmlns:xs="http://www.w3.org/2001/XMLSchema" xmlns:p="http://schemas.microsoft.com/office/2006/metadata/properties" xmlns:ns3="bcd17758-9c0f-4b9d-89bf-fabe6e9304aa" xmlns:ns4="1b7178cc-9588-4b1e-a421-c0e5c74d95e1" targetNamespace="http://schemas.microsoft.com/office/2006/metadata/properties" ma:root="true" ma:fieldsID="694419a857fbd6c350fef7615ed7ba1b" ns3:_="" ns4:_="">
    <xsd:import namespace="bcd17758-9c0f-4b9d-89bf-fabe6e9304aa"/>
    <xsd:import namespace="1b7178cc-9588-4b1e-a421-c0e5c74d95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17758-9c0f-4b9d-89bf-fabe6e930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178cc-9588-4b1e-a421-c0e5c74d95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E065F8-C652-446A-9D19-3777BB5C4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054A5A-B048-4C5B-A962-27E89FDD5CB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1b7178cc-9588-4b1e-a421-c0e5c74d95e1"/>
    <ds:schemaRef ds:uri="http://purl.org/dc/dcmitype/"/>
    <ds:schemaRef ds:uri="http://schemas.openxmlformats.org/package/2006/metadata/core-properties"/>
    <ds:schemaRef ds:uri="bcd17758-9c0f-4b9d-89bf-fabe6e9304a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B47FD0D-2F33-4746-8E5D-E677F796D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d17758-9c0f-4b9d-89bf-fabe6e9304aa"/>
    <ds:schemaRef ds:uri="1b7178cc-9588-4b1e-a421-c0e5c74d95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Liquidity</vt:lpstr>
      <vt:lpstr>Leverage</vt:lpstr>
      <vt:lpstr>Profitability</vt:lpstr>
      <vt:lpstr>Market</vt:lpstr>
      <vt:lpstr>Comaprison table</vt:lpstr>
    </vt:vector>
  </TitlesOfParts>
  <Company>DePaul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Sikdar, Anasuya</dc:creator>
  <cp:lastModifiedBy>Sikdar, Anasuya</cp:lastModifiedBy>
  <dcterms:created xsi:type="dcterms:W3CDTF">2023-11-02T16:12:08Z</dcterms:created>
  <dcterms:modified xsi:type="dcterms:W3CDTF">2024-01-25T15:16:35Z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0x010100EEA1349586D9C042A477B59F22333948</vt:lpwstr>
  </property>
</Properties>
</file>