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y Panshikar\Desktop\Aero IITB\Sem 5\AE 651\Design Project\"/>
    </mc:Choice>
  </mc:AlternateContent>
  <xr:revisionPtr revIDLastSave="0" documentId="13_ncr:1_{9E9C04DF-FB5C-4799-981C-9919A94303C4}" xr6:coauthVersionLast="45" xr6:coauthVersionMax="45" xr10:uidLastSave="{00000000-0000-0000-0000-000000000000}"/>
  <bookViews>
    <workbookView xWindow="-120" yWindow="-120" windowWidth="20730" windowHeight="11160" xr2:uid="{E9434A80-9212-43D9-BA06-29664A6B1C7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I36" i="2"/>
  <c r="J36" i="2"/>
  <c r="K36" i="2"/>
  <c r="L36" i="2"/>
  <c r="M36" i="2"/>
  <c r="N36" i="2"/>
  <c r="C36" i="2"/>
  <c r="D36" i="2"/>
  <c r="E36" i="2"/>
  <c r="F36" i="2"/>
  <c r="G36" i="2"/>
  <c r="H36" i="2"/>
  <c r="B36" i="2"/>
  <c r="N35" i="2"/>
  <c r="J35" i="2"/>
  <c r="K35" i="2"/>
  <c r="L35" i="2"/>
  <c r="M35" i="2"/>
  <c r="C35" i="2"/>
  <c r="D35" i="2"/>
  <c r="E35" i="2"/>
  <c r="F35" i="2"/>
  <c r="G35" i="2"/>
  <c r="I35" i="2"/>
  <c r="B35" i="2"/>
  <c r="C20" i="2" l="1"/>
  <c r="D20" i="2"/>
  <c r="E20" i="2"/>
  <c r="F20" i="2"/>
  <c r="G20" i="2"/>
  <c r="H20" i="2"/>
  <c r="I20" i="2"/>
  <c r="J20" i="2"/>
  <c r="K20" i="2"/>
  <c r="L20" i="2"/>
  <c r="M20" i="2"/>
  <c r="C18" i="2"/>
  <c r="D18" i="2"/>
  <c r="E18" i="2"/>
  <c r="F18" i="2"/>
  <c r="M17" i="2"/>
  <c r="N17" i="2"/>
  <c r="C17" i="2"/>
  <c r="D17" i="2"/>
  <c r="E17" i="2"/>
  <c r="F17" i="2"/>
  <c r="G17" i="2"/>
  <c r="H17" i="2"/>
  <c r="I17" i="2"/>
  <c r="J17" i="2"/>
  <c r="K17" i="2"/>
  <c r="L17" i="2"/>
  <c r="B17" i="2"/>
  <c r="B6" i="2" l="1"/>
  <c r="C6" i="2"/>
  <c r="D6" i="2"/>
  <c r="E6" i="2"/>
  <c r="F6" i="2"/>
  <c r="G6" i="2"/>
  <c r="H6" i="2"/>
  <c r="I6" i="2"/>
  <c r="J6" i="2"/>
  <c r="K6" i="2"/>
  <c r="L6" i="2"/>
  <c r="M6" i="2"/>
  <c r="N6" i="2"/>
  <c r="B22" i="1" l="1"/>
  <c r="N8" i="2"/>
  <c r="C8" i="2"/>
  <c r="D8" i="2"/>
  <c r="E8" i="2"/>
  <c r="F8" i="2"/>
  <c r="G8" i="2"/>
  <c r="H8" i="2"/>
  <c r="I8" i="2"/>
  <c r="J8" i="2"/>
  <c r="K8" i="2"/>
  <c r="L8" i="2"/>
  <c r="M8" i="2"/>
  <c r="B8" i="2"/>
  <c r="B7" i="2"/>
  <c r="C7" i="2"/>
  <c r="D7" i="2"/>
  <c r="E7" i="2"/>
  <c r="F7" i="2"/>
  <c r="G7" i="2"/>
  <c r="H7" i="2"/>
  <c r="I7" i="2"/>
  <c r="J7" i="2"/>
  <c r="K7" i="2"/>
  <c r="L7" i="2"/>
  <c r="M7" i="2"/>
  <c r="N7" i="2"/>
  <c r="B33" i="1"/>
  <c r="B29" i="2" l="1"/>
  <c r="J29" i="2"/>
  <c r="M29" i="2"/>
  <c r="E27" i="2"/>
  <c r="C21" i="2"/>
  <c r="N29" i="2"/>
  <c r="F29" i="2"/>
  <c r="I27" i="2"/>
  <c r="L5" i="2"/>
  <c r="L33" i="2" s="1"/>
  <c r="H29" i="2"/>
  <c r="J25" i="2"/>
  <c r="B18" i="2"/>
  <c r="F25" i="2"/>
  <c r="F27" i="2"/>
  <c r="N18" i="2"/>
  <c r="N21" i="2" s="1"/>
  <c r="B27" i="2"/>
  <c r="N27" i="2"/>
  <c r="J18" i="2"/>
  <c r="J21" i="2" s="1"/>
  <c r="M25" i="2"/>
  <c r="J27" i="2"/>
  <c r="M27" i="2"/>
  <c r="L25" i="2"/>
  <c r="H18" i="2"/>
  <c r="E29" i="2"/>
  <c r="L27" i="2"/>
  <c r="D27" i="2"/>
  <c r="H19" i="2"/>
  <c r="H22" i="2" s="1"/>
  <c r="H24" i="2" s="1"/>
  <c r="G27" i="2"/>
  <c r="G19" i="2"/>
  <c r="G29" i="2"/>
  <c r="L18" i="2"/>
  <c r="G18" i="2"/>
  <c r="B21" i="2"/>
  <c r="L29" i="2"/>
  <c r="D29" i="2"/>
  <c r="H27" i="2"/>
  <c r="K27" i="2"/>
  <c r="K19" i="2"/>
  <c r="K22" i="2" s="1"/>
  <c r="K24" i="2" s="1"/>
  <c r="K29" i="2"/>
  <c r="C27" i="2"/>
  <c r="C19" i="2"/>
  <c r="C22" i="2" s="1"/>
  <c r="C24" i="2" s="1"/>
  <c r="C29" i="2"/>
  <c r="M18" i="2"/>
  <c r="I18" i="2"/>
  <c r="K18" i="2"/>
  <c r="F21" i="2"/>
  <c r="D19" i="2"/>
  <c r="I29" i="2"/>
  <c r="B19" i="2"/>
  <c r="B22" i="2" s="1"/>
  <c r="B24" i="2" s="1"/>
  <c r="B32" i="1"/>
  <c r="B31" i="1"/>
  <c r="B30" i="1"/>
  <c r="B29" i="1"/>
  <c r="B28" i="1"/>
  <c r="B27" i="1"/>
  <c r="B26" i="1"/>
  <c r="B1" i="1"/>
  <c r="B25" i="1" s="1"/>
  <c r="B19" i="1"/>
  <c r="B12" i="1"/>
  <c r="B17" i="1"/>
  <c r="B16" i="1"/>
  <c r="B18" i="1" s="1"/>
  <c r="B23" i="1" s="1"/>
  <c r="B24" i="1" s="1"/>
  <c r="M5" i="2" l="1"/>
  <c r="M33" i="2" s="1"/>
  <c r="L19" i="2"/>
  <c r="L22" i="2" s="1"/>
  <c r="L24" i="2" s="1"/>
  <c r="M19" i="2"/>
  <c r="M22" i="2" s="1"/>
  <c r="M24" i="2" s="1"/>
  <c r="H10" i="2"/>
  <c r="K10" i="2"/>
  <c r="L10" i="2"/>
  <c r="J5" i="2"/>
  <c r="J14" i="2" s="1"/>
  <c r="G10" i="2"/>
  <c r="D10" i="2"/>
  <c r="B10" i="2"/>
  <c r="C10" i="2"/>
  <c r="J19" i="2"/>
  <c r="J22" i="2" s="1"/>
  <c r="J24" i="2" s="1"/>
  <c r="F5" i="2"/>
  <c r="F33" i="2" s="1"/>
  <c r="L14" i="2"/>
  <c r="F19" i="2"/>
  <c r="F10" i="2" s="1"/>
  <c r="N25" i="2"/>
  <c r="N5" i="2"/>
  <c r="N19" i="2"/>
  <c r="N10" i="2" s="1"/>
  <c r="D22" i="2"/>
  <c r="D24" i="2" s="1"/>
  <c r="G22" i="2"/>
  <c r="G24" i="2" s="1"/>
  <c r="E25" i="2"/>
  <c r="E5" i="2"/>
  <c r="E21" i="2"/>
  <c r="H5" i="2"/>
  <c r="H25" i="2"/>
  <c r="B20" i="2"/>
  <c r="K21" i="2"/>
  <c r="I21" i="2"/>
  <c r="G25" i="2"/>
  <c r="G5" i="2"/>
  <c r="E19" i="2"/>
  <c r="E22" i="2" s="1"/>
  <c r="E24" i="2" s="1"/>
  <c r="B25" i="2"/>
  <c r="B5" i="2"/>
  <c r="I25" i="2"/>
  <c r="I5" i="2"/>
  <c r="G21" i="2"/>
  <c r="N23" i="2"/>
  <c r="N31" i="2"/>
  <c r="D21" i="2"/>
  <c r="B23" i="2"/>
  <c r="B31" i="2"/>
  <c r="L21" i="2"/>
  <c r="C31" i="2"/>
  <c r="C23" i="2"/>
  <c r="D5" i="2"/>
  <c r="D25" i="2"/>
  <c r="F31" i="2"/>
  <c r="F23" i="2"/>
  <c r="I19" i="2"/>
  <c r="I22" i="2" s="1"/>
  <c r="I24" i="2" s="1"/>
  <c r="M21" i="2"/>
  <c r="C25" i="2"/>
  <c r="C5" i="2"/>
  <c r="K5" i="2"/>
  <c r="K25" i="2"/>
  <c r="J31" i="2"/>
  <c r="J23" i="2"/>
  <c r="H21" i="2"/>
  <c r="B21" i="1"/>
  <c r="M14" i="2" l="1"/>
  <c r="M10" i="2"/>
  <c r="J33" i="2"/>
  <c r="F14" i="2"/>
  <c r="J10" i="2"/>
  <c r="I10" i="2"/>
  <c r="E10" i="2"/>
  <c r="K14" i="2"/>
  <c r="K33" i="2"/>
  <c r="C14" i="2"/>
  <c r="C33" i="2"/>
  <c r="G14" i="2"/>
  <c r="G33" i="2"/>
  <c r="D14" i="2"/>
  <c r="D33" i="2"/>
  <c r="B14" i="2"/>
  <c r="B33" i="2"/>
  <c r="F22" i="2"/>
  <c r="F24" i="2" s="1"/>
  <c r="E14" i="2"/>
  <c r="E33" i="2"/>
  <c r="N22" i="2"/>
  <c r="N24" i="2" s="1"/>
  <c r="N20" i="2"/>
  <c r="I14" i="2"/>
  <c r="I33" i="2"/>
  <c r="H14" i="2"/>
  <c r="H33" i="2"/>
  <c r="N14" i="2"/>
  <c r="N33" i="2"/>
  <c r="M31" i="2"/>
  <c r="M23" i="2"/>
  <c r="G31" i="2"/>
  <c r="G23" i="2"/>
  <c r="E23" i="2"/>
  <c r="E31" i="2"/>
  <c r="L31" i="2"/>
  <c r="L23" i="2"/>
  <c r="I31" i="2"/>
  <c r="I23" i="2"/>
  <c r="H31" i="2"/>
  <c r="H23" i="2"/>
  <c r="D31" i="2"/>
  <c r="D23" i="2"/>
  <c r="K23" i="2"/>
  <c r="K31" i="2"/>
</calcChain>
</file>

<file path=xl/sharedStrings.xml><?xml version="1.0" encoding="utf-8"?>
<sst xmlns="http://schemas.openxmlformats.org/spreadsheetml/2006/main" count="89" uniqueCount="75">
  <si>
    <t xml:space="preserve">density </t>
  </si>
  <si>
    <t>Inlet temperature</t>
  </si>
  <si>
    <t>K</t>
  </si>
  <si>
    <t xml:space="preserve">massflow </t>
  </si>
  <si>
    <t>kg/s</t>
  </si>
  <si>
    <t>rpm</t>
  </si>
  <si>
    <t xml:space="preserve">rotorspeed </t>
  </si>
  <si>
    <t>m</t>
  </si>
  <si>
    <t xml:space="preserve">pratio </t>
  </si>
  <si>
    <t>outerdia</t>
  </si>
  <si>
    <t xml:space="preserve">htratio </t>
  </si>
  <si>
    <t xml:space="preserve">R </t>
  </si>
  <si>
    <t>J/kg-K</t>
  </si>
  <si>
    <t>Assumptions</t>
  </si>
  <si>
    <t>gamma</t>
  </si>
  <si>
    <t>kg/m^3</t>
  </si>
  <si>
    <t>C1 = Ca (No IGV)</t>
  </si>
  <si>
    <t>Rtip</t>
  </si>
  <si>
    <t>Rhub</t>
  </si>
  <si>
    <t>Rmean</t>
  </si>
  <si>
    <t>Inlet Area</t>
  </si>
  <si>
    <t>Umean</t>
  </si>
  <si>
    <t>m/s</t>
  </si>
  <si>
    <t>(alpha1)mean</t>
  </si>
  <si>
    <t>(beta1)mean</t>
  </si>
  <si>
    <t>Efficiency</t>
  </si>
  <si>
    <t>delTo</t>
  </si>
  <si>
    <t>(alpha2)mean</t>
  </si>
  <si>
    <t>Pa</t>
  </si>
  <si>
    <t>Mach number</t>
  </si>
  <si>
    <t>Total Temp</t>
  </si>
  <si>
    <t>pressure</t>
  </si>
  <si>
    <t>Total Pressure</t>
  </si>
  <si>
    <t>delHo</t>
  </si>
  <si>
    <t>Cp</t>
  </si>
  <si>
    <t xml:space="preserve">J </t>
  </si>
  <si>
    <t>(beta2)mean</t>
  </si>
  <si>
    <t>flow coeff</t>
  </si>
  <si>
    <t>stage loading coeff</t>
  </si>
  <si>
    <t>Degree of reaction</t>
  </si>
  <si>
    <t>Vrel</t>
  </si>
  <si>
    <t>Mach rel</t>
  </si>
  <si>
    <t>C2</t>
  </si>
  <si>
    <t>Parameters</t>
  </si>
  <si>
    <t>r(m)</t>
  </si>
  <si>
    <t>R(r/rm)</t>
  </si>
  <si>
    <t>Cw2(m/s)</t>
  </si>
  <si>
    <t>Cw1(m/s)</t>
  </si>
  <si>
    <t>U1(m/s)</t>
  </si>
  <si>
    <t>U2(m/s)</t>
  </si>
  <si>
    <t>Rx</t>
  </si>
  <si>
    <t>Ca1(m/s)</t>
  </si>
  <si>
    <t>Ca2(m/s)</t>
  </si>
  <si>
    <t>delT0(K)</t>
  </si>
  <si>
    <t>UdelCw(J/kg)</t>
  </si>
  <si>
    <t>alpha1</t>
  </si>
  <si>
    <t>alpha2</t>
  </si>
  <si>
    <t>beta1</t>
  </si>
  <si>
    <t>beta2</t>
  </si>
  <si>
    <t>beta1-beta2</t>
  </si>
  <si>
    <t>V1(m/s)</t>
  </si>
  <si>
    <t>V2(m/s)</t>
  </si>
  <si>
    <t>Vw2(m/s)</t>
  </si>
  <si>
    <t>Vw1(m/s)</t>
  </si>
  <si>
    <t>C2(m/s)</t>
  </si>
  <si>
    <t>flowcoeff</t>
  </si>
  <si>
    <t>stageloading</t>
  </si>
  <si>
    <t>Mrel1</t>
  </si>
  <si>
    <t>Sectional Radius</t>
  </si>
  <si>
    <t>Hub</t>
  </si>
  <si>
    <t>Tip</t>
  </si>
  <si>
    <t>Mean</t>
  </si>
  <si>
    <t>Assumed quantities</t>
  </si>
  <si>
    <t>D*_r</t>
  </si>
  <si>
    <t>D*_s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</si>
</sst>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Flow 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alpha1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Sheet2!$B$15:$U$15</c:f>
              <c:numCache>
                <c:formatCode>General</c:formatCode>
                <c:ptCount val="20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</c:numCache>
            </c:numRef>
          </c:xVal>
          <c:yVal>
            <c:numRef>
              <c:f>Sheet2!$B$16:$U$16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463-852C-42ACBF1CA38A}"/>
            </c:ext>
          </c:extLst>
        </c:ser>
        <c:ser>
          <c:idx val="1"/>
          <c:order val="1"/>
          <c:tx>
            <c:strRef>
              <c:f>Sheet2!$A$17</c:f>
              <c:strCache>
                <c:ptCount val="1"/>
                <c:pt idx="0">
                  <c:v>alpha2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Sheet2!$B$15:$U$15</c:f>
              <c:numCache>
                <c:formatCode>General</c:formatCode>
                <c:ptCount val="20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</c:numCache>
            </c:numRef>
          </c:xVal>
          <c:yVal>
            <c:numRef>
              <c:f>Sheet2!$B$17:$U$17</c:f>
              <c:numCache>
                <c:formatCode>General</c:formatCode>
                <c:ptCount val="20"/>
                <c:pt idx="0">
                  <c:v>61.334136568368642</c:v>
                </c:pt>
                <c:pt idx="1">
                  <c:v>58.40646321605066</c:v>
                </c:pt>
                <c:pt idx="2">
                  <c:v>55.651792774277396</c:v>
                </c:pt>
                <c:pt idx="3">
                  <c:v>53.066860346378874</c:v>
                </c:pt>
                <c:pt idx="4">
                  <c:v>50.646026629982913</c:v>
                </c:pt>
                <c:pt idx="5">
                  <c:v>48.381998191531054</c:v>
                </c:pt>
                <c:pt idx="6">
                  <c:v>46.266431646415199</c:v>
                </c:pt>
                <c:pt idx="7">
                  <c:v>44.290416724431935</c:v>
                </c:pt>
                <c:pt idx="8">
                  <c:v>42.444846247091228</c:v>
                </c:pt>
                <c:pt idx="9">
                  <c:v>40.72068781139069</c:v>
                </c:pt>
                <c:pt idx="10">
                  <c:v>39.10917434532157</c:v>
                </c:pt>
                <c:pt idx="11">
                  <c:v>37.601930355294016</c:v>
                </c:pt>
                <c:pt idx="12">
                  <c:v>36.191048898738771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E-4463-852C-42ACBF1CA38A}"/>
            </c:ext>
          </c:extLst>
        </c:ser>
        <c:ser>
          <c:idx val="2"/>
          <c:order val="2"/>
          <c:tx>
            <c:strRef>
              <c:f>Sheet2!$A$18</c:f>
              <c:strCache>
                <c:ptCount val="1"/>
                <c:pt idx="0">
                  <c:v>beta1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Sheet2!$B$15:$U$15</c:f>
              <c:numCache>
                <c:formatCode>General</c:formatCode>
                <c:ptCount val="20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</c:numCache>
            </c:numRef>
          </c:xVal>
          <c:yVal>
            <c:numRef>
              <c:f>Sheet2!$B$18:$U$18</c:f>
              <c:numCache>
                <c:formatCode>General</c:formatCode>
                <c:ptCount val="20"/>
                <c:pt idx="0">
                  <c:v>42.511216405416832</c:v>
                </c:pt>
                <c:pt idx="1">
                  <c:v>45.882175871422533</c:v>
                </c:pt>
                <c:pt idx="2">
                  <c:v>48.888674699339276</c:v>
                </c:pt>
                <c:pt idx="3">
                  <c:v>51.572674661666682</c:v>
                </c:pt>
                <c:pt idx="4">
                  <c:v>53.973361284013983</c:v>
                </c:pt>
                <c:pt idx="5">
                  <c:v>56.12612037395396</c:v>
                </c:pt>
                <c:pt idx="6">
                  <c:v>58.062244435553673</c:v>
                </c:pt>
                <c:pt idx="7">
                  <c:v>59.809048382316639</c:v>
                </c:pt>
                <c:pt idx="8">
                  <c:v>61.390189601675168</c:v>
                </c:pt>
                <c:pt idx="9">
                  <c:v>62.826069751278567</c:v>
                </c:pt>
                <c:pt idx="10">
                  <c:v>64.134249510217614</c:v>
                </c:pt>
                <c:pt idx="11">
                  <c:v>65.329840726902859</c:v>
                </c:pt>
                <c:pt idx="12">
                  <c:v>66.425859945429806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E-4463-852C-42ACBF1CA38A}"/>
            </c:ext>
          </c:extLst>
        </c:ser>
        <c:ser>
          <c:idx val="3"/>
          <c:order val="3"/>
          <c:tx>
            <c:strRef>
              <c:f>Sheet2!$A$19</c:f>
              <c:strCache>
                <c:ptCount val="1"/>
                <c:pt idx="0">
                  <c:v>beta2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Sheet2!$B$15:$U$15</c:f>
              <c:numCache>
                <c:formatCode>General</c:formatCode>
                <c:ptCount val="20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</c:numCache>
            </c:numRef>
          </c:xVal>
          <c:yVal>
            <c:numRef>
              <c:f>Sheet2!$B$19:$U$19</c:f>
              <c:numCache>
                <c:formatCode>General</c:formatCode>
                <c:ptCount val="20"/>
                <c:pt idx="0">
                  <c:v>-42.378335164064701</c:v>
                </c:pt>
                <c:pt idx="1">
                  <c:v>-30.736136871566774</c:v>
                </c:pt>
                <c:pt idx="2">
                  <c:v>-17.611246287239101</c:v>
                </c:pt>
                <c:pt idx="3">
                  <c:v>-3.9939746024849017</c:v>
                </c:pt>
                <c:pt idx="4">
                  <c:v>8.8454906283089425</c:v>
                </c:pt>
                <c:pt idx="5">
                  <c:v>20.001956486110455</c:v>
                </c:pt>
                <c:pt idx="6">
                  <c:v>29.205031868601658</c:v>
                </c:pt>
                <c:pt idx="7">
                  <c:v>36.622082274775487</c:v>
                </c:pt>
                <c:pt idx="8">
                  <c:v>42.577445908906448</c:v>
                </c:pt>
                <c:pt idx="9">
                  <c:v>47.392471631637981</c:v>
                </c:pt>
                <c:pt idx="10">
                  <c:v>51.331508718569204</c:v>
                </c:pt>
                <c:pt idx="11">
                  <c:v>54.597076915325403</c:v>
                </c:pt>
                <c:pt idx="12">
                  <c:v>57.340404887218114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E-4463-852C-42ACBF1C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90416"/>
        <c:axId val="476987792"/>
      </c:scatterChart>
      <c:valAx>
        <c:axId val="476990416"/>
        <c:scaling>
          <c:orientation val="minMax"/>
          <c:max val="0.41000000000000003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Sectional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7792"/>
        <c:crosses val="autoZero"/>
        <c:crossBetween val="midCat"/>
      </c:valAx>
      <c:valAx>
        <c:axId val="476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Angles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9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of </a:t>
            </a:r>
            <a:r>
              <a:rPr lang="en-US"/>
              <a:t>Degree</a:t>
            </a:r>
            <a:r>
              <a:rPr lang="en-US" baseline="0"/>
              <a:t> of Reaction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Rx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Sheet2!$B$9:$U$9</c:f>
              <c:numCache>
                <c:formatCode>General</c:formatCode>
                <c:ptCount val="20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</c:numCache>
            </c:numRef>
          </c:xVal>
          <c:yVal>
            <c:numRef>
              <c:f>Sheet2!$B$10:$U$10</c:f>
              <c:numCache>
                <c:formatCode>General</c:formatCode>
                <c:ptCount val="20"/>
                <c:pt idx="0">
                  <c:v>2.3230599649522593E-3</c:v>
                </c:pt>
                <c:pt idx="1">
                  <c:v>0.21171204737971577</c:v>
                </c:pt>
                <c:pt idx="2">
                  <c:v>0.36148675837756972</c:v>
                </c:pt>
                <c:pt idx="3">
                  <c:v>0.47230310609716508</c:v>
                </c:pt>
                <c:pt idx="4">
                  <c:v>0.55658802665108997</c:v>
                </c:pt>
                <c:pt idx="5">
                  <c:v>0.62218151383288145</c:v>
                </c:pt>
                <c:pt idx="6">
                  <c:v>0.67422793794773994</c:v>
                </c:pt>
                <c:pt idx="7">
                  <c:v>0.71621633705669785</c:v>
                </c:pt>
                <c:pt idx="8">
                  <c:v>0.75058076499123827</c:v>
                </c:pt>
                <c:pt idx="9">
                  <c:v>0.77906116206836307</c:v>
                </c:pt>
                <c:pt idx="10">
                  <c:v>0.80292801184492935</c:v>
                </c:pt>
                <c:pt idx="11">
                  <c:v>0.82312652586636259</c:v>
                </c:pt>
                <c:pt idx="12">
                  <c:v>0.84037168959439246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6-4B32-B63A-06B85E92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12256"/>
        <c:axId val="396119472"/>
      </c:scatterChart>
      <c:valAx>
        <c:axId val="396112256"/>
        <c:scaling>
          <c:orientation val="minMax"/>
          <c:max val="0.41000000000000003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Sectional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19472"/>
        <c:crosses val="autoZero"/>
        <c:crossBetween val="midCat"/>
      </c:valAx>
      <c:valAx>
        <c:axId val="396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Reaction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Flow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flowcoeff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Sheet2!$B$26:$U$26</c:f>
              <c:numCache>
                <c:formatCode>General</c:formatCode>
                <c:ptCount val="20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</c:numCache>
            </c:numRef>
          </c:xVal>
          <c:yVal>
            <c:numRef>
              <c:f>Sheet2!$B$27:$U$27</c:f>
              <c:numCache>
                <c:formatCode>General</c:formatCode>
                <c:ptCount val="20"/>
                <c:pt idx="0">
                  <c:v>1.0908796844509474</c:v>
                </c:pt>
                <c:pt idx="1">
                  <c:v>0.96967083062306436</c:v>
                </c:pt>
                <c:pt idx="2">
                  <c:v>0.87270374756075786</c:v>
                </c:pt>
                <c:pt idx="3">
                  <c:v>0.79336704323705265</c:v>
                </c:pt>
                <c:pt idx="4">
                  <c:v>0.72725312296729827</c:v>
                </c:pt>
                <c:pt idx="5">
                  <c:v>0.67131057504673675</c:v>
                </c:pt>
                <c:pt idx="6">
                  <c:v>0.62335981968625553</c:v>
                </c:pt>
                <c:pt idx="7">
                  <c:v>0.58180249837383857</c:v>
                </c:pt>
                <c:pt idx="8">
                  <c:v>0.5454398422254747</c:v>
                </c:pt>
                <c:pt idx="9">
                  <c:v>0.51335514562397611</c:v>
                </c:pt>
                <c:pt idx="10">
                  <c:v>0.48483541531153307</c:v>
                </c:pt>
                <c:pt idx="11">
                  <c:v>0.45931776187408391</c:v>
                </c:pt>
                <c:pt idx="12">
                  <c:v>0.43635187378037971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6-40C7-B1DE-0A7B5384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05256"/>
        <c:axId val="398100664"/>
      </c:scatterChart>
      <c:valAx>
        <c:axId val="398105256"/>
        <c:scaling>
          <c:orientation val="minMax"/>
          <c:max val="0.41000000000000003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Sectional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00664"/>
        <c:crosses val="autoZero"/>
        <c:crossBetween val="midCat"/>
      </c:valAx>
      <c:valAx>
        <c:axId val="3981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0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Stage</a:t>
            </a:r>
            <a:r>
              <a:rPr lang="en-US" baseline="0"/>
              <a:t> L</a:t>
            </a:r>
            <a:r>
              <a:rPr lang="en-US"/>
              <a:t>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stageloading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Sheet2!$B$28:$U$28</c:f>
              <c:numCache>
                <c:formatCode>General</c:formatCode>
                <c:ptCount val="20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</c:numCache>
            </c:numRef>
          </c:xVal>
          <c:yVal>
            <c:numRef>
              <c:f>Sheet2!$B$29:$U$29</c:f>
              <c:numCache>
                <c:formatCode>General</c:formatCode>
                <c:ptCount val="20"/>
                <c:pt idx="0">
                  <c:v>1.9953538800700947</c:v>
                </c:pt>
                <c:pt idx="1">
                  <c:v>1.5765759052405686</c:v>
                </c:pt>
                <c:pt idx="2">
                  <c:v>1.2770264832448601</c:v>
                </c:pt>
                <c:pt idx="3">
                  <c:v>1.0553937878056698</c:v>
                </c:pt>
                <c:pt idx="4">
                  <c:v>0.88682394669781983</c:v>
                </c:pt>
                <c:pt idx="5">
                  <c:v>0.75563697233423688</c:v>
                </c:pt>
                <c:pt idx="6">
                  <c:v>0.65154412410452034</c:v>
                </c:pt>
                <c:pt idx="7">
                  <c:v>0.56756732588660463</c:v>
                </c:pt>
                <c:pt idx="8">
                  <c:v>0.49883847001752368</c:v>
                </c:pt>
                <c:pt idx="9">
                  <c:v>0.44187767586327376</c:v>
                </c:pt>
                <c:pt idx="10">
                  <c:v>0.39414397631014236</c:v>
                </c:pt>
                <c:pt idx="11">
                  <c:v>0.35374694826727454</c:v>
                </c:pt>
                <c:pt idx="12">
                  <c:v>0.31925662081121525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F-4BD6-9172-29C5A6CAE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26400"/>
        <c:axId val="480028696"/>
      </c:scatterChart>
      <c:valAx>
        <c:axId val="480026400"/>
        <c:scaling>
          <c:orientation val="minMax"/>
          <c:max val="0.41000000000000003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Sectional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8696"/>
        <c:crosses val="autoZero"/>
        <c:crossBetween val="midCat"/>
      </c:valAx>
      <c:valAx>
        <c:axId val="4800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r>
                  <a:rPr lang="en-US" baseline="0"/>
                  <a:t> Loading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Inlet</a:t>
            </a:r>
            <a:r>
              <a:rPr lang="en-US" baseline="0"/>
              <a:t> Relative Mach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Sheet2!$A$31</c:f>
              <c:strCache>
                <c:ptCount val="1"/>
                <c:pt idx="0">
                  <c:v>Mrel1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Sheet2!$B$30:$U$30</c:f>
              <c:numCache>
                <c:formatCode>General</c:formatCode>
                <c:ptCount val="20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</c:numCache>
            </c:numRef>
          </c:xVal>
          <c:yVal>
            <c:numRef>
              <c:f>Sheet2!$B$31:$U$31</c:f>
              <c:numCache>
                <c:formatCode>General</c:formatCode>
                <c:ptCount val="20"/>
                <c:pt idx="0">
                  <c:v>0.67829254023072283</c:v>
                </c:pt>
                <c:pt idx="1">
                  <c:v>0.7182502869467795</c:v>
                </c:pt>
                <c:pt idx="2">
                  <c:v>0.76042830255867044</c:v>
                </c:pt>
                <c:pt idx="3">
                  <c:v>0.80447744283605338</c:v>
                </c:pt>
                <c:pt idx="4">
                  <c:v>0.85010689492466496</c:v>
                </c:pt>
                <c:pt idx="5">
                  <c:v>0.89707554510839327</c:v>
                </c:pt>
                <c:pt idx="6">
                  <c:v>0.94518376971424523</c:v>
                </c:pt>
                <c:pt idx="7">
                  <c:v>0.99426616531871748</c:v>
                </c:pt>
                <c:pt idx="8">
                  <c:v>1.0441853669395047</c:v>
                </c:pt>
                <c:pt idx="9">
                  <c:v>1.0948269167453981</c:v>
                </c:pt>
                <c:pt idx="10">
                  <c:v>1.1460950653399253</c:v>
                </c:pt>
                <c:pt idx="11">
                  <c:v>1.1979093638625014</c:v>
                </c:pt>
                <c:pt idx="12">
                  <c:v>1.2502019090247163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9-406C-B684-89461F33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43880"/>
        <c:axId val="488352080"/>
      </c:scatterChart>
      <c:valAx>
        <c:axId val="488343880"/>
        <c:scaling>
          <c:orientation val="minMax"/>
          <c:max val="0.41000000000000003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Sectional</a:t>
                </a:r>
                <a:r>
                  <a:rPr lang="en-US" baseline="0"/>
                  <a:t>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52080"/>
        <c:crosses val="autoZero"/>
        <c:crossBetween val="midCat"/>
      </c:valAx>
      <c:valAx>
        <c:axId val="4883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Inlet</a:t>
                </a:r>
                <a:r>
                  <a:rPr lang="en-US" baseline="0"/>
                  <a:t> Relative 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4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38</xdr:row>
      <xdr:rowOff>171450</xdr:rowOff>
    </xdr:from>
    <xdr:to>
      <xdr:col>21</xdr:col>
      <xdr:colOff>571500</xdr:colOff>
      <xdr:row>53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926FF-2803-4590-A5F8-E354A5D0A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38</xdr:row>
      <xdr:rowOff>152400</xdr:rowOff>
    </xdr:from>
    <xdr:to>
      <xdr:col>14</xdr:col>
      <xdr:colOff>104775</xdr:colOff>
      <xdr:row>53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DEB52C-424B-408A-81E9-250E6E47A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164824</xdr:colOff>
      <xdr:row>38</xdr:row>
      <xdr:rowOff>186359</xdr:rowOff>
    </xdr:from>
    <xdr:to>
      <xdr:col>8</xdr:col>
      <xdr:colOff>469625</xdr:colOff>
      <xdr:row>53</xdr:row>
      <xdr:rowOff>72059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CD20D2-C25A-4EA3-A1C1-334A353A6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8283</xdr:colOff>
      <xdr:row>36</xdr:row>
      <xdr:rowOff>173106</xdr:rowOff>
    </xdr:from>
    <xdr:to>
      <xdr:col>7</xdr:col>
      <xdr:colOff>16566</xdr:colOff>
      <xdr:row>51</xdr:row>
      <xdr:rowOff>58806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273819-DAC1-4EBD-9DA4-7F03AC8D8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571500</xdr:colOff>
      <xdr:row>24</xdr:row>
      <xdr:rowOff>106845</xdr:rowOff>
    </xdr:from>
    <xdr:to>
      <xdr:col>23</xdr:col>
      <xdr:colOff>240196</xdr:colOff>
      <xdr:row>38</xdr:row>
      <xdr:rowOff>183045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9F901B-6ACA-4663-9B80-CD4693D1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BFBE-23E9-4B40-AC37-F3F785BD15E1}">
  <dimension ref="A1:E33"/>
  <sheetViews>
    <sheetView tabSelected="1" workbookViewId="0">
      <selection activeCell="B22" sqref="B22"/>
    </sheetView>
  </sheetViews>
  <sheetFormatPr defaultRowHeight="15" x14ac:dyDescent="0.25"/>
  <cols>
    <col min="1" max="1" width="21.5703125" customWidth="1"/>
    <col min="2" max="2" width="12.140625" bestFit="1" customWidth="1"/>
  </cols>
  <sheetData>
    <row r="1" spans="1:5" x14ac:dyDescent="0.25">
      <c r="A1" t="s">
        <v>34</v>
      </c>
      <c r="B1">
        <f>B7*B10/(B7-1)</f>
        <v>1005.0250000000001</v>
      </c>
    </row>
    <row r="2" spans="1:5" x14ac:dyDescent="0.25">
      <c r="A2" t="s">
        <v>8</v>
      </c>
      <c r="B2">
        <v>1.6</v>
      </c>
    </row>
    <row r="3" spans="1:5" x14ac:dyDescent="0.25">
      <c r="A3" t="s">
        <v>9</v>
      </c>
      <c r="B3">
        <v>0.8</v>
      </c>
      <c r="C3" t="s">
        <v>7</v>
      </c>
    </row>
    <row r="4" spans="1:5" x14ac:dyDescent="0.25">
      <c r="A4" t="s">
        <v>10</v>
      </c>
      <c r="B4">
        <v>0.4</v>
      </c>
    </row>
    <row r="5" spans="1:5" x14ac:dyDescent="0.25">
      <c r="A5" t="s">
        <v>6</v>
      </c>
      <c r="B5">
        <v>9500</v>
      </c>
      <c r="C5" t="s">
        <v>5</v>
      </c>
    </row>
    <row r="6" spans="1:5" x14ac:dyDescent="0.25">
      <c r="A6" t="s">
        <v>3</v>
      </c>
      <c r="B6">
        <v>24</v>
      </c>
      <c r="C6" t="s">
        <v>4</v>
      </c>
    </row>
    <row r="7" spans="1:5" x14ac:dyDescent="0.25">
      <c r="A7" s="2" t="s">
        <v>14</v>
      </c>
      <c r="B7" s="2">
        <v>1.4</v>
      </c>
      <c r="C7" s="2"/>
      <c r="D7" s="15" t="s">
        <v>13</v>
      </c>
      <c r="E7" s="15"/>
    </row>
    <row r="8" spans="1:5" x14ac:dyDescent="0.25">
      <c r="A8" s="2" t="s">
        <v>1</v>
      </c>
      <c r="B8" s="2">
        <v>300</v>
      </c>
      <c r="C8" s="2" t="s">
        <v>2</v>
      </c>
      <c r="D8" s="15"/>
      <c r="E8" s="15"/>
    </row>
    <row r="9" spans="1:5" x14ac:dyDescent="0.25">
      <c r="A9" s="2" t="s">
        <v>29</v>
      </c>
      <c r="B9" s="2">
        <v>0.5</v>
      </c>
      <c r="C9" s="2"/>
      <c r="D9" s="15"/>
      <c r="E9" s="15"/>
    </row>
    <row r="10" spans="1:5" x14ac:dyDescent="0.25">
      <c r="A10" s="2" t="s">
        <v>11</v>
      </c>
      <c r="B10" s="2">
        <v>287.14999999999998</v>
      </c>
      <c r="C10" s="2" t="s">
        <v>12</v>
      </c>
      <c r="D10" s="15"/>
      <c r="E10" s="15"/>
    </row>
    <row r="11" spans="1:5" x14ac:dyDescent="0.25">
      <c r="A11" s="2" t="s">
        <v>25</v>
      </c>
      <c r="B11" s="2">
        <v>0.9</v>
      </c>
      <c r="C11" s="2"/>
      <c r="D11" s="1"/>
      <c r="E11" s="1"/>
    </row>
    <row r="12" spans="1:5" x14ac:dyDescent="0.25">
      <c r="A12" s="5" t="s">
        <v>30</v>
      </c>
      <c r="B12" s="6">
        <f>B8*(1 + (B7-1)*0.5*B9*B9)</f>
        <v>315</v>
      </c>
      <c r="C12" s="5" t="s">
        <v>2</v>
      </c>
      <c r="D12" s="4"/>
      <c r="E12" s="3"/>
    </row>
    <row r="13" spans="1:5" x14ac:dyDescent="0.25">
      <c r="A13" t="s">
        <v>17</v>
      </c>
      <c r="B13">
        <v>0.4</v>
      </c>
      <c r="C13" t="s">
        <v>7</v>
      </c>
    </row>
    <row r="14" spans="1:5" x14ac:dyDescent="0.25">
      <c r="A14" t="s">
        <v>18</v>
      </c>
      <c r="B14">
        <v>0.16</v>
      </c>
      <c r="C14" t="s">
        <v>7</v>
      </c>
    </row>
    <row r="15" spans="1:5" x14ac:dyDescent="0.25">
      <c r="A15" t="s">
        <v>19</v>
      </c>
      <c r="B15">
        <v>0.28000000000000003</v>
      </c>
      <c r="C15" t="s">
        <v>7</v>
      </c>
    </row>
    <row r="16" spans="1:5" x14ac:dyDescent="0.25">
      <c r="A16" t="s">
        <v>20</v>
      </c>
      <c r="B16">
        <f>(B13*B13 - B14*B14)*PI()</f>
        <v>0.42223005264246827</v>
      </c>
    </row>
    <row r="17" spans="1:3" x14ac:dyDescent="0.25">
      <c r="A17" t="s">
        <v>16</v>
      </c>
      <c r="B17">
        <f>(B9)*SQRT(B7*B10*B8)</f>
        <v>173.63971319948669</v>
      </c>
      <c r="C17" t="s">
        <v>22</v>
      </c>
    </row>
    <row r="18" spans="1:3" x14ac:dyDescent="0.25">
      <c r="A18" t="s">
        <v>0</v>
      </c>
      <c r="B18">
        <f>B6/(B16*B17)</f>
        <v>0.3273505240068339</v>
      </c>
      <c r="C18" t="s">
        <v>15</v>
      </c>
    </row>
    <row r="19" spans="1:3" x14ac:dyDescent="0.25">
      <c r="A19" t="s">
        <v>21</v>
      </c>
      <c r="B19">
        <f>B5*PI()*2*B15/60</f>
        <v>278.55454861829497</v>
      </c>
      <c r="C19" t="s">
        <v>22</v>
      </c>
    </row>
    <row r="20" spans="1:3" x14ac:dyDescent="0.25">
      <c r="A20" t="s">
        <v>23</v>
      </c>
      <c r="B20">
        <v>0</v>
      </c>
    </row>
    <row r="21" spans="1:3" x14ac:dyDescent="0.25">
      <c r="A21" t="s">
        <v>24</v>
      </c>
      <c r="B21">
        <f>ATAN(B19/B17)*180/PI()</f>
        <v>58.062244435553673</v>
      </c>
    </row>
    <row r="22" spans="1:3" x14ac:dyDescent="0.25">
      <c r="A22" t="s">
        <v>26</v>
      </c>
      <c r="B22">
        <f xml:space="preserve"> B25/B1</f>
        <v>50.302257577474869</v>
      </c>
    </row>
    <row r="23" spans="1:3" x14ac:dyDescent="0.25">
      <c r="A23" t="s">
        <v>31</v>
      </c>
      <c r="B23">
        <f>B18*B10*B8</f>
        <v>28199.610890568703</v>
      </c>
      <c r="C23" t="s">
        <v>28</v>
      </c>
    </row>
    <row r="24" spans="1:3" x14ac:dyDescent="0.25">
      <c r="A24" t="s">
        <v>32</v>
      </c>
      <c r="B24">
        <f>B23*(1 + (B7-1)*0.5*B9*B9)^(B7/(B7-1))</f>
        <v>33450.734826327047</v>
      </c>
      <c r="C24" t="s">
        <v>28</v>
      </c>
    </row>
    <row r="25" spans="1:3" x14ac:dyDescent="0.25">
      <c r="A25" t="s">
        <v>33</v>
      </c>
      <c r="B25">
        <f>B1*B12*(B2^((B7-1)/B7)-1)/B11</f>
        <v>50555.026421801682</v>
      </c>
      <c r="C25" t="s">
        <v>35</v>
      </c>
    </row>
    <row r="26" spans="1:3" x14ac:dyDescent="0.25">
      <c r="A26" t="s">
        <v>27</v>
      </c>
      <c r="B26">
        <f>ATAN(B25/(B19*B17))*180/PI()</f>
        <v>46.266431646415207</v>
      </c>
    </row>
    <row r="27" spans="1:3" x14ac:dyDescent="0.25">
      <c r="A27" t="s">
        <v>36</v>
      </c>
      <c r="B27">
        <f>ATAN(B19/B17 - TAN(0.807502))*180/PI()</f>
        <v>29.204992167578812</v>
      </c>
    </row>
    <row r="28" spans="1:3" x14ac:dyDescent="0.25">
      <c r="A28" t="s">
        <v>37</v>
      </c>
      <c r="B28">
        <f>B17/B19</f>
        <v>0.62335981968625565</v>
      </c>
    </row>
    <row r="29" spans="1:3" x14ac:dyDescent="0.25">
      <c r="A29" t="s">
        <v>38</v>
      </c>
      <c r="B29">
        <f>B25/(B19*B19)</f>
        <v>0.65154412410452078</v>
      </c>
    </row>
    <row r="30" spans="1:3" x14ac:dyDescent="0.25">
      <c r="A30" t="s">
        <v>39</v>
      </c>
      <c r="B30">
        <f>B17*(TAN(1.013377) + TAN(0.509723))/(2*B19)</f>
        <v>0.67422716871039079</v>
      </c>
    </row>
    <row r="31" spans="1:3" x14ac:dyDescent="0.25">
      <c r="A31" t="s">
        <v>40</v>
      </c>
      <c r="B31">
        <f>B17/COS(B21*PI()/180)</f>
        <v>328.24287738798245</v>
      </c>
    </row>
    <row r="32" spans="1:3" x14ac:dyDescent="0.25">
      <c r="A32" t="s">
        <v>41</v>
      </c>
      <c r="B32">
        <f>B31/SQRT(B7*B10*B8)</f>
        <v>0.94518376971424523</v>
      </c>
    </row>
    <row r="33" spans="1:2" x14ac:dyDescent="0.25">
      <c r="A33" t="s">
        <v>42</v>
      </c>
      <c r="B33">
        <f>B17 / COS(B26*PI()/180)</f>
        <v>251.17639301708604</v>
      </c>
    </row>
  </sheetData>
  <mergeCells count="1">
    <mergeCell ref="D7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F0EB-BFD1-413B-B376-9CBC5A6F6255}">
  <dimension ref="A1:U38"/>
  <sheetViews>
    <sheetView topLeftCell="A19" zoomScale="115" zoomScaleNormal="115" workbookViewId="0">
      <selection activeCell="H37" sqref="H37"/>
    </sheetView>
  </sheetViews>
  <sheetFormatPr defaultRowHeight="15" x14ac:dyDescent="0.25"/>
  <cols>
    <col min="1" max="1" width="13.28515625" style="9" customWidth="1"/>
    <col min="2" max="2" width="9.140625" style="12"/>
    <col min="8" max="8" width="9.140625" style="14"/>
    <col min="14" max="14" width="9.140625" style="11"/>
  </cols>
  <sheetData>
    <row r="1" spans="1:21" s="9" customFormat="1" x14ac:dyDescent="0.25">
      <c r="A1" s="9" t="s">
        <v>43</v>
      </c>
      <c r="G1" s="16" t="s">
        <v>68</v>
      </c>
      <c r="H1" s="16"/>
      <c r="I1" s="16"/>
      <c r="O1" s="10"/>
      <c r="P1" s="10"/>
      <c r="Q1" s="10"/>
      <c r="R1" s="10"/>
      <c r="S1" s="10"/>
      <c r="T1" s="10"/>
      <c r="U1" s="10"/>
    </row>
    <row r="2" spans="1:21" x14ac:dyDescent="0.25">
      <c r="B2" s="12" t="s">
        <v>69</v>
      </c>
      <c r="G2" s="7"/>
      <c r="H2" s="13" t="s">
        <v>71</v>
      </c>
      <c r="I2" s="7"/>
      <c r="N2" s="11" t="s">
        <v>70</v>
      </c>
      <c r="O2" s="10"/>
      <c r="P2" s="10"/>
      <c r="Q2" s="10"/>
      <c r="R2" s="10"/>
      <c r="S2" s="10"/>
      <c r="T2" s="10"/>
      <c r="U2" s="10"/>
    </row>
    <row r="3" spans="1:21" x14ac:dyDescent="0.25">
      <c r="A3" s="9" t="s">
        <v>44</v>
      </c>
      <c r="B3" s="12">
        <v>0.16</v>
      </c>
      <c r="C3">
        <v>0.18</v>
      </c>
      <c r="D3">
        <v>0.2</v>
      </c>
      <c r="E3">
        <v>0.22</v>
      </c>
      <c r="F3">
        <v>0.24</v>
      </c>
      <c r="G3">
        <v>0.26</v>
      </c>
      <c r="H3" s="14">
        <v>0.28000000000000003</v>
      </c>
      <c r="I3">
        <v>0.3</v>
      </c>
      <c r="J3">
        <v>0.32</v>
      </c>
      <c r="K3">
        <v>0.34</v>
      </c>
      <c r="L3">
        <v>0.36</v>
      </c>
      <c r="M3">
        <v>0.38</v>
      </c>
      <c r="N3" s="11">
        <v>0.4</v>
      </c>
      <c r="O3" s="10"/>
      <c r="P3" s="10"/>
      <c r="Q3" s="10"/>
      <c r="R3" s="10"/>
      <c r="S3" s="10"/>
      <c r="T3" s="10"/>
      <c r="U3" s="10"/>
    </row>
    <row r="4" spans="1:21" s="8" customFormat="1" x14ac:dyDescent="0.25">
      <c r="A4" s="8" t="s">
        <v>47</v>
      </c>
      <c r="B4" s="12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14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11">
        <v>0</v>
      </c>
      <c r="O4" s="10"/>
      <c r="Q4" s="10" t="s">
        <v>72</v>
      </c>
      <c r="R4" s="10"/>
      <c r="S4" s="10"/>
      <c r="T4" s="10"/>
      <c r="U4" s="10"/>
    </row>
    <row r="5" spans="1:21" x14ac:dyDescent="0.25">
      <c r="A5" s="9" t="s">
        <v>46</v>
      </c>
      <c r="B5" s="12">
        <f t="shared" ref="B5:N5" si="0">B11*TAN(B17*PI()/180)</f>
        <v>317.608513940965</v>
      </c>
      <c r="C5">
        <f t="shared" si="0"/>
        <v>282.3186790586355</v>
      </c>
      <c r="D5">
        <f t="shared" si="0"/>
        <v>254.08681115277196</v>
      </c>
      <c r="E5">
        <f t="shared" si="0"/>
        <v>230.98801013888362</v>
      </c>
      <c r="F5">
        <f t="shared" si="0"/>
        <v>211.73900929397669</v>
      </c>
      <c r="G5">
        <f t="shared" si="0"/>
        <v>195.45139319443996</v>
      </c>
      <c r="H5" s="14">
        <f t="shared" si="0"/>
        <v>181.49057939483703</v>
      </c>
      <c r="I5">
        <f t="shared" si="0"/>
        <v>169.39120743518131</v>
      </c>
      <c r="J5">
        <f t="shared" si="0"/>
        <v>158.80425697048244</v>
      </c>
      <c r="K5">
        <f t="shared" si="0"/>
        <v>149.46283008986597</v>
      </c>
      <c r="L5">
        <f t="shared" si="0"/>
        <v>141.15933952931783</v>
      </c>
      <c r="M5">
        <f t="shared" si="0"/>
        <v>133.72990060672211</v>
      </c>
      <c r="N5" s="11">
        <f t="shared" si="0"/>
        <v>127.04340557638604</v>
      </c>
      <c r="O5" s="10"/>
      <c r="P5" s="12"/>
      <c r="Q5" s="10" t="s">
        <v>69</v>
      </c>
      <c r="R5" s="10"/>
      <c r="S5" s="10"/>
      <c r="T5" s="10"/>
      <c r="U5" s="10"/>
    </row>
    <row r="6" spans="1:21" x14ac:dyDescent="0.25">
      <c r="A6" s="9" t="s">
        <v>45</v>
      </c>
      <c r="B6" s="12">
        <f>B3/0.28</f>
        <v>0.5714285714285714</v>
      </c>
      <c r="C6">
        <f t="shared" ref="C6:N6" si="1">C3/0.28</f>
        <v>0.64285714285714279</v>
      </c>
      <c r="D6">
        <f t="shared" si="1"/>
        <v>0.7142857142857143</v>
      </c>
      <c r="E6">
        <f t="shared" si="1"/>
        <v>0.7857142857142857</v>
      </c>
      <c r="F6">
        <f t="shared" si="1"/>
        <v>0.85714285714285698</v>
      </c>
      <c r="G6">
        <f t="shared" si="1"/>
        <v>0.92857142857142849</v>
      </c>
      <c r="H6" s="14">
        <f t="shared" si="1"/>
        <v>1</v>
      </c>
      <c r="I6">
        <f t="shared" si="1"/>
        <v>1.0714285714285714</v>
      </c>
      <c r="J6">
        <f t="shared" si="1"/>
        <v>1.1428571428571428</v>
      </c>
      <c r="K6">
        <f t="shared" si="1"/>
        <v>1.2142857142857142</v>
      </c>
      <c r="L6">
        <f t="shared" si="1"/>
        <v>1.2857142857142856</v>
      </c>
      <c r="M6">
        <f t="shared" si="1"/>
        <v>1.357142857142857</v>
      </c>
      <c r="N6" s="11">
        <f t="shared" si="1"/>
        <v>1.4285714285714286</v>
      </c>
      <c r="O6" s="10"/>
      <c r="P6" s="14"/>
      <c r="Q6" s="10" t="s">
        <v>71</v>
      </c>
      <c r="R6" s="10"/>
      <c r="S6" s="10"/>
      <c r="T6" s="10"/>
      <c r="U6" s="10"/>
    </row>
    <row r="7" spans="1:21" x14ac:dyDescent="0.25">
      <c r="A7" s="9" t="s">
        <v>48</v>
      </c>
      <c r="B7" s="12">
        <f>9500*2*PI()/60 *B3</f>
        <v>159.17402778188284</v>
      </c>
      <c r="C7">
        <f t="shared" ref="C7:N7" si="2">9500*2*PI()/60 *C3</f>
        <v>179.0707812546182</v>
      </c>
      <c r="D7">
        <f t="shared" si="2"/>
        <v>198.96753472735358</v>
      </c>
      <c r="E7">
        <f t="shared" si="2"/>
        <v>218.86428820008891</v>
      </c>
      <c r="F7">
        <f t="shared" si="2"/>
        <v>238.76104167282426</v>
      </c>
      <c r="G7">
        <f t="shared" si="2"/>
        <v>258.65779514555965</v>
      </c>
      <c r="H7" s="14">
        <f t="shared" si="2"/>
        <v>278.55454861829503</v>
      </c>
      <c r="I7">
        <f t="shared" si="2"/>
        <v>298.45130209103036</v>
      </c>
      <c r="J7">
        <f t="shared" si="2"/>
        <v>318.34805556376568</v>
      </c>
      <c r="K7">
        <f t="shared" si="2"/>
        <v>338.24480903650107</v>
      </c>
      <c r="L7">
        <f t="shared" si="2"/>
        <v>358.14156250923639</v>
      </c>
      <c r="M7">
        <f t="shared" si="2"/>
        <v>378.03831598197178</v>
      </c>
      <c r="N7" s="11">
        <f t="shared" si="2"/>
        <v>397.93506945470716</v>
      </c>
      <c r="O7" s="10"/>
      <c r="P7" s="11"/>
      <c r="Q7" s="10" t="s">
        <v>70</v>
      </c>
      <c r="R7" s="10"/>
      <c r="S7" s="10"/>
      <c r="T7" s="10"/>
      <c r="U7" s="10"/>
    </row>
    <row r="8" spans="1:21" x14ac:dyDescent="0.25">
      <c r="A8" s="9" t="s">
        <v>49</v>
      </c>
      <c r="B8" s="12">
        <f>9500*2*PI()/60 *B3</f>
        <v>159.17402778188284</v>
      </c>
      <c r="C8">
        <f t="shared" ref="C8:M8" si="3">9500*2*PI()/60 *C3</f>
        <v>179.0707812546182</v>
      </c>
      <c r="D8">
        <f t="shared" si="3"/>
        <v>198.96753472735358</v>
      </c>
      <c r="E8">
        <f t="shared" si="3"/>
        <v>218.86428820008891</v>
      </c>
      <c r="F8">
        <f t="shared" si="3"/>
        <v>238.76104167282426</v>
      </c>
      <c r="G8">
        <f t="shared" si="3"/>
        <v>258.65779514555965</v>
      </c>
      <c r="H8" s="14">
        <f t="shared" si="3"/>
        <v>278.55454861829503</v>
      </c>
      <c r="I8">
        <f t="shared" si="3"/>
        <v>298.45130209103036</v>
      </c>
      <c r="J8">
        <f t="shared" si="3"/>
        <v>318.34805556376568</v>
      </c>
      <c r="K8">
        <f t="shared" si="3"/>
        <v>338.24480903650107</v>
      </c>
      <c r="L8">
        <f t="shared" si="3"/>
        <v>358.14156250923639</v>
      </c>
      <c r="M8">
        <f t="shared" si="3"/>
        <v>378.03831598197178</v>
      </c>
      <c r="N8" s="11">
        <f>9500*2*PI()/60 *N3</f>
        <v>397.93506945470716</v>
      </c>
      <c r="O8" s="10"/>
      <c r="P8" s="10"/>
      <c r="Q8" s="10"/>
      <c r="R8" s="10"/>
      <c r="S8" s="10"/>
      <c r="T8" s="10"/>
      <c r="U8" s="10"/>
    </row>
    <row r="9" spans="1:21" x14ac:dyDescent="0.25">
      <c r="A9" s="9" t="s">
        <v>44</v>
      </c>
      <c r="B9" s="12">
        <v>0.16</v>
      </c>
      <c r="C9">
        <v>0.18</v>
      </c>
      <c r="D9">
        <v>0.2</v>
      </c>
      <c r="E9">
        <v>0.22</v>
      </c>
      <c r="F9">
        <v>0.24</v>
      </c>
      <c r="G9">
        <v>0.26</v>
      </c>
      <c r="H9" s="14">
        <v>0.28000000000000003</v>
      </c>
      <c r="I9">
        <v>0.3</v>
      </c>
      <c r="J9">
        <v>0.32</v>
      </c>
      <c r="K9">
        <v>0.34</v>
      </c>
      <c r="L9">
        <v>0.36</v>
      </c>
      <c r="M9">
        <v>0.38</v>
      </c>
      <c r="N9" s="11">
        <v>0.4</v>
      </c>
      <c r="O9" s="10"/>
      <c r="P9" s="10"/>
      <c r="Q9" s="10"/>
      <c r="R9" s="10"/>
      <c r="S9" s="10"/>
      <c r="T9" s="10"/>
      <c r="U9" s="10"/>
    </row>
    <row r="10" spans="1:21" x14ac:dyDescent="0.25">
      <c r="A10" s="9" t="s">
        <v>50</v>
      </c>
      <c r="B10" s="12">
        <f t="shared" ref="B10:N10" si="4">B11/(2*B7)*(TAN(B18*PI()/180)+TAN(B19*PI()/180))</f>
        <v>2.3230599649522593E-3</v>
      </c>
      <c r="C10">
        <f t="shared" si="4"/>
        <v>0.21171204737971577</v>
      </c>
      <c r="D10">
        <f t="shared" si="4"/>
        <v>0.36148675837756972</v>
      </c>
      <c r="E10">
        <f t="shared" si="4"/>
        <v>0.47230310609716508</v>
      </c>
      <c r="F10">
        <f t="shared" si="4"/>
        <v>0.55658802665108997</v>
      </c>
      <c r="G10">
        <f t="shared" si="4"/>
        <v>0.62218151383288145</v>
      </c>
      <c r="H10" s="14">
        <f t="shared" si="4"/>
        <v>0.67422793794773994</v>
      </c>
      <c r="I10">
        <f t="shared" si="4"/>
        <v>0.71621633705669785</v>
      </c>
      <c r="J10">
        <f t="shared" si="4"/>
        <v>0.75058076499123827</v>
      </c>
      <c r="K10">
        <f t="shared" si="4"/>
        <v>0.77906116206836307</v>
      </c>
      <c r="L10">
        <f t="shared" si="4"/>
        <v>0.80292801184492935</v>
      </c>
      <c r="M10">
        <f t="shared" si="4"/>
        <v>0.82312652586636259</v>
      </c>
      <c r="N10" s="11">
        <f t="shared" si="4"/>
        <v>0.84037168959439246</v>
      </c>
      <c r="O10" s="10"/>
      <c r="P10" s="10"/>
      <c r="Q10" s="10"/>
      <c r="R10" s="10"/>
      <c r="S10" s="10"/>
      <c r="T10" s="10"/>
      <c r="U10" s="10"/>
    </row>
    <row r="11" spans="1:21" x14ac:dyDescent="0.25">
      <c r="A11" s="9" t="s">
        <v>51</v>
      </c>
      <c r="B11" s="12">
        <v>173.63971319948669</v>
      </c>
      <c r="C11">
        <v>173.63971319948669</v>
      </c>
      <c r="D11">
        <v>173.63971319948669</v>
      </c>
      <c r="E11">
        <v>173.63971319948669</v>
      </c>
      <c r="F11">
        <v>173.63971319948669</v>
      </c>
      <c r="G11">
        <v>173.63971319948669</v>
      </c>
      <c r="H11" s="14">
        <v>173.63971319948669</v>
      </c>
      <c r="I11">
        <v>173.63971319948669</v>
      </c>
      <c r="J11">
        <v>173.63971319948701</v>
      </c>
      <c r="K11">
        <v>173.63971319948701</v>
      </c>
      <c r="L11">
        <v>173.63971319948701</v>
      </c>
      <c r="M11">
        <v>173.63971319948701</v>
      </c>
      <c r="N11" s="11">
        <v>173.63971319948701</v>
      </c>
      <c r="O11" s="10"/>
      <c r="P11" s="10"/>
      <c r="Q11" s="10"/>
      <c r="R11" s="10"/>
      <c r="S11" s="10"/>
      <c r="T11" s="10"/>
      <c r="U11" s="10"/>
    </row>
    <row r="12" spans="1:21" x14ac:dyDescent="0.25">
      <c r="A12" s="9" t="s">
        <v>52</v>
      </c>
      <c r="B12" s="12">
        <v>173.63971319948669</v>
      </c>
      <c r="C12">
        <v>173.63971319948669</v>
      </c>
      <c r="D12">
        <v>173.63971319948669</v>
      </c>
      <c r="E12">
        <v>173.63971319948669</v>
      </c>
      <c r="F12">
        <v>173.63971319948669</v>
      </c>
      <c r="G12">
        <v>173.63971319948669</v>
      </c>
      <c r="H12" s="14">
        <v>173.63971319948669</v>
      </c>
      <c r="I12">
        <v>173.63971319948669</v>
      </c>
      <c r="J12">
        <v>173.63971319948701</v>
      </c>
      <c r="K12">
        <v>173.63971319948701</v>
      </c>
      <c r="L12">
        <v>173.63971319948701</v>
      </c>
      <c r="M12">
        <v>173.63971319948701</v>
      </c>
      <c r="N12" s="11">
        <v>173.63971319948701</v>
      </c>
      <c r="O12" s="10"/>
      <c r="P12" s="10"/>
      <c r="Q12" s="10"/>
      <c r="R12" s="10"/>
      <c r="S12" s="10"/>
      <c r="T12" s="10"/>
      <c r="U12" s="10"/>
    </row>
    <row r="13" spans="1:21" x14ac:dyDescent="0.25">
      <c r="A13" s="9" t="s">
        <v>53</v>
      </c>
      <c r="B13" s="12">
        <v>50.302257577474869</v>
      </c>
      <c r="C13">
        <v>50.302257577474869</v>
      </c>
      <c r="D13">
        <v>50.302257577474869</v>
      </c>
      <c r="E13">
        <v>50.302257577474869</v>
      </c>
      <c r="F13">
        <v>50.302257577474869</v>
      </c>
      <c r="G13">
        <v>50.302257577474869</v>
      </c>
      <c r="H13" s="14">
        <v>50.302257577474869</v>
      </c>
      <c r="I13">
        <v>50.302257577474869</v>
      </c>
      <c r="J13">
        <v>50.302257577474869</v>
      </c>
      <c r="K13">
        <v>50.302257577474897</v>
      </c>
      <c r="L13">
        <v>50.302257577474897</v>
      </c>
      <c r="M13">
        <v>50.302257577474897</v>
      </c>
      <c r="N13" s="11">
        <v>50.302257577474897</v>
      </c>
      <c r="O13" s="10"/>
      <c r="P13" s="10"/>
      <c r="Q13" s="10"/>
      <c r="R13" s="10"/>
      <c r="S13" s="10"/>
      <c r="T13" s="10"/>
      <c r="U13" s="10"/>
    </row>
    <row r="14" spans="1:21" x14ac:dyDescent="0.25">
      <c r="A14" s="9" t="s">
        <v>54</v>
      </c>
      <c r="B14" s="12">
        <f t="shared" ref="B14:N14" si="5">B7*(B5-B4)</f>
        <v>50555.026421801689</v>
      </c>
      <c r="C14">
        <f t="shared" si="5"/>
        <v>50555.026421801675</v>
      </c>
      <c r="D14">
        <f t="shared" si="5"/>
        <v>50555.026421801689</v>
      </c>
      <c r="E14">
        <f t="shared" si="5"/>
        <v>50555.026421801682</v>
      </c>
      <c r="F14">
        <f t="shared" si="5"/>
        <v>50555.026421801696</v>
      </c>
      <c r="G14">
        <f t="shared" si="5"/>
        <v>50555.026421801682</v>
      </c>
      <c r="H14" s="14">
        <f t="shared" si="5"/>
        <v>50555.026421801667</v>
      </c>
      <c r="I14">
        <f t="shared" si="5"/>
        <v>50555.026421801689</v>
      </c>
      <c r="J14">
        <f t="shared" si="5"/>
        <v>50555.026421801667</v>
      </c>
      <c r="K14">
        <f t="shared" si="5"/>
        <v>50555.026421801726</v>
      </c>
      <c r="L14">
        <f t="shared" si="5"/>
        <v>50555.026421801704</v>
      </c>
      <c r="M14">
        <f t="shared" si="5"/>
        <v>50555.026421801696</v>
      </c>
      <c r="N14" s="11">
        <f t="shared" si="5"/>
        <v>50555.026421801711</v>
      </c>
      <c r="O14" s="10"/>
      <c r="P14" s="10"/>
      <c r="Q14" s="10"/>
      <c r="R14" s="10"/>
      <c r="S14" s="10"/>
      <c r="T14" s="10"/>
      <c r="U14" s="10"/>
    </row>
    <row r="15" spans="1:21" x14ac:dyDescent="0.25">
      <c r="A15" s="9" t="s">
        <v>44</v>
      </c>
      <c r="B15" s="12">
        <v>0.16</v>
      </c>
      <c r="C15">
        <v>0.18</v>
      </c>
      <c r="D15">
        <v>0.2</v>
      </c>
      <c r="E15">
        <v>0.22</v>
      </c>
      <c r="F15">
        <v>0.24</v>
      </c>
      <c r="G15">
        <v>0.26</v>
      </c>
      <c r="H15" s="14">
        <v>0.28000000000000003</v>
      </c>
      <c r="I15">
        <v>0.3</v>
      </c>
      <c r="J15">
        <v>0.32</v>
      </c>
      <c r="K15">
        <v>0.34</v>
      </c>
      <c r="L15">
        <v>0.36</v>
      </c>
      <c r="M15">
        <v>0.38</v>
      </c>
      <c r="N15" s="11">
        <v>0.4</v>
      </c>
      <c r="O15" s="10"/>
      <c r="P15" s="10"/>
      <c r="Q15" s="10"/>
      <c r="R15" s="10"/>
      <c r="S15" s="10"/>
      <c r="T15" s="10"/>
      <c r="U15" s="10"/>
    </row>
    <row r="16" spans="1:21" s="8" customFormat="1" x14ac:dyDescent="0.25">
      <c r="A16" s="8" t="s">
        <v>55</v>
      </c>
      <c r="B16" s="12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14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11">
        <v>0</v>
      </c>
      <c r="O16" s="10"/>
      <c r="P16" s="10"/>
      <c r="Q16" s="10"/>
      <c r="R16" s="10"/>
      <c r="S16" s="10"/>
      <c r="T16" s="10"/>
      <c r="U16" s="10"/>
    </row>
    <row r="17" spans="1:21" s="10" customFormat="1" x14ac:dyDescent="0.25">
      <c r="A17" s="9" t="s">
        <v>56</v>
      </c>
      <c r="B17" s="12">
        <f>ATAN(1005.025*B13 / (B7*B11))*180/PI()</f>
        <v>61.334136568368642</v>
      </c>
      <c r="C17" s="10">
        <f t="shared" ref="C17:N17" si="6">ATAN(1005.025*C13 / (C7*C11))*180/PI()</f>
        <v>58.40646321605066</v>
      </c>
      <c r="D17" s="10">
        <f t="shared" si="6"/>
        <v>55.651792774277396</v>
      </c>
      <c r="E17" s="10">
        <f t="shared" si="6"/>
        <v>53.066860346378874</v>
      </c>
      <c r="F17" s="10">
        <f t="shared" si="6"/>
        <v>50.646026629982913</v>
      </c>
      <c r="G17" s="10">
        <f t="shared" si="6"/>
        <v>48.381998191531054</v>
      </c>
      <c r="H17" s="14">
        <f t="shared" si="6"/>
        <v>46.266431646415199</v>
      </c>
      <c r="I17" s="10">
        <f t="shared" si="6"/>
        <v>44.290416724431935</v>
      </c>
      <c r="J17" s="10">
        <f t="shared" si="6"/>
        <v>42.444846247091228</v>
      </c>
      <c r="K17" s="10">
        <f t="shared" si="6"/>
        <v>40.72068781139069</v>
      </c>
      <c r="L17" s="10">
        <f t="shared" si="6"/>
        <v>39.10917434532157</v>
      </c>
      <c r="M17" s="10">
        <f>ATAN(1005.025*M13 / (M7*M11))*180/PI()</f>
        <v>37.601930355294016</v>
      </c>
      <c r="N17" s="11">
        <f t="shared" si="6"/>
        <v>36.191048898738771</v>
      </c>
    </row>
    <row r="18" spans="1:21" x14ac:dyDescent="0.25">
      <c r="A18" s="9" t="s">
        <v>57</v>
      </c>
      <c r="B18" s="12">
        <f t="shared" ref="B18:N18" si="7">ATAN(B7/B11)*180/PI()</f>
        <v>42.511216405416832</v>
      </c>
      <c r="C18">
        <f t="shared" si="7"/>
        <v>45.882175871422533</v>
      </c>
      <c r="D18">
        <f t="shared" si="7"/>
        <v>48.888674699339276</v>
      </c>
      <c r="E18">
        <f t="shared" si="7"/>
        <v>51.572674661666682</v>
      </c>
      <c r="F18">
        <f t="shared" si="7"/>
        <v>53.973361284013983</v>
      </c>
      <c r="G18">
        <f t="shared" si="7"/>
        <v>56.12612037395396</v>
      </c>
      <c r="H18" s="14">
        <f t="shared" si="7"/>
        <v>58.062244435553673</v>
      </c>
      <c r="I18">
        <f t="shared" si="7"/>
        <v>59.809048382316639</v>
      </c>
      <c r="J18">
        <f t="shared" si="7"/>
        <v>61.390189601675168</v>
      </c>
      <c r="K18">
        <f t="shared" si="7"/>
        <v>62.826069751278567</v>
      </c>
      <c r="L18">
        <f t="shared" si="7"/>
        <v>64.134249510217614</v>
      </c>
      <c r="M18">
        <f t="shared" si="7"/>
        <v>65.329840726902859</v>
      </c>
      <c r="N18" s="11">
        <f t="shared" si="7"/>
        <v>66.425859945429806</v>
      </c>
      <c r="O18" s="10"/>
      <c r="P18" s="10"/>
      <c r="Q18" s="10"/>
      <c r="R18" s="10"/>
      <c r="S18" s="10"/>
      <c r="T18" s="10"/>
      <c r="U18" s="10"/>
    </row>
    <row r="19" spans="1:21" x14ac:dyDescent="0.25">
      <c r="A19" s="9" t="s">
        <v>58</v>
      </c>
      <c r="B19" s="12">
        <f t="shared" ref="B19:N19" si="8">ATAN(B7/B11 - TAN(B17*PI()/180))*180/PI()</f>
        <v>-42.378335164064701</v>
      </c>
      <c r="C19">
        <f t="shared" si="8"/>
        <v>-30.736136871566774</v>
      </c>
      <c r="D19">
        <f t="shared" si="8"/>
        <v>-17.611246287239101</v>
      </c>
      <c r="E19">
        <f t="shared" si="8"/>
        <v>-3.9939746024849017</v>
      </c>
      <c r="F19">
        <f t="shared" si="8"/>
        <v>8.8454906283089425</v>
      </c>
      <c r="G19">
        <f t="shared" si="8"/>
        <v>20.001956486110455</v>
      </c>
      <c r="H19" s="14">
        <f t="shared" si="8"/>
        <v>29.205031868601658</v>
      </c>
      <c r="I19">
        <f t="shared" si="8"/>
        <v>36.622082274775487</v>
      </c>
      <c r="J19">
        <f t="shared" si="8"/>
        <v>42.577445908906448</v>
      </c>
      <c r="K19">
        <f t="shared" si="8"/>
        <v>47.392471631637981</v>
      </c>
      <c r="L19">
        <f t="shared" si="8"/>
        <v>51.331508718569204</v>
      </c>
      <c r="M19">
        <f t="shared" si="8"/>
        <v>54.597076915325403</v>
      </c>
      <c r="N19" s="11">
        <f t="shared" si="8"/>
        <v>57.340404887218114</v>
      </c>
      <c r="O19" s="10"/>
      <c r="P19" s="10"/>
      <c r="Q19" s="10"/>
      <c r="R19" s="10"/>
      <c r="S19" s="10"/>
      <c r="T19" s="10"/>
      <c r="U19" s="10"/>
    </row>
    <row r="20" spans="1:21" x14ac:dyDescent="0.25">
      <c r="A20" s="9" t="s">
        <v>59</v>
      </c>
      <c r="B20" s="12">
        <f xml:space="preserve"> B18-B19</f>
        <v>84.88955156948154</v>
      </c>
      <c r="C20">
        <f t="shared" ref="C20:N20" si="9" xml:space="preserve"> C18-C19</f>
        <v>76.618312742989303</v>
      </c>
      <c r="D20">
        <f t="shared" si="9"/>
        <v>66.499920986578374</v>
      </c>
      <c r="E20">
        <f t="shared" si="9"/>
        <v>55.566649264151586</v>
      </c>
      <c r="F20">
        <f t="shared" si="9"/>
        <v>45.127870655705038</v>
      </c>
      <c r="G20">
        <f t="shared" si="9"/>
        <v>36.124163887843508</v>
      </c>
      <c r="H20" s="14">
        <f t="shared" si="9"/>
        <v>28.857212566952015</v>
      </c>
      <c r="I20">
        <f t="shared" si="9"/>
        <v>23.186966107541153</v>
      </c>
      <c r="J20">
        <f t="shared" si="9"/>
        <v>18.81274369276872</v>
      </c>
      <c r="K20">
        <f t="shared" si="9"/>
        <v>15.433598119640585</v>
      </c>
      <c r="L20">
        <f t="shared" si="9"/>
        <v>12.802740791648411</v>
      </c>
      <c r="M20">
        <f t="shared" si="9"/>
        <v>10.732763811577456</v>
      </c>
      <c r="N20" s="11">
        <f t="shared" si="9"/>
        <v>9.0854550582116929</v>
      </c>
      <c r="O20" s="10"/>
      <c r="P20" s="10"/>
      <c r="Q20" s="10"/>
      <c r="R20" s="10"/>
      <c r="S20" s="10"/>
      <c r="T20" s="10"/>
      <c r="U20" s="10"/>
    </row>
    <row r="21" spans="1:21" x14ac:dyDescent="0.25">
      <c r="A21" s="9" t="s">
        <v>60</v>
      </c>
      <c r="B21" s="12">
        <f t="shared" ref="B21:N21" si="10">B11/COS(B18*PI()/180)</f>
        <v>235.557044302028</v>
      </c>
      <c r="C21">
        <f t="shared" si="10"/>
        <v>249.43354766177563</v>
      </c>
      <c r="D21">
        <f t="shared" si="10"/>
        <v>264.08110473012005</v>
      </c>
      <c r="E21">
        <f t="shared" si="10"/>
        <v>279.3784648990175</v>
      </c>
      <c r="F21">
        <f t="shared" si="10"/>
        <v>295.22463484725</v>
      </c>
      <c r="G21">
        <f t="shared" si="10"/>
        <v>311.53588074178919</v>
      </c>
      <c r="H21" s="14">
        <f t="shared" si="10"/>
        <v>328.24287738798245</v>
      </c>
      <c r="I21">
        <f t="shared" si="10"/>
        <v>345.28818357979105</v>
      </c>
      <c r="J21">
        <f t="shared" si="10"/>
        <v>362.62409528495277</v>
      </c>
      <c r="K21">
        <f t="shared" si="10"/>
        <v>380.21086365349845</v>
      </c>
      <c r="L21">
        <f t="shared" si="10"/>
        <v>398.0152368899432</v>
      </c>
      <c r="M21">
        <f t="shared" si="10"/>
        <v>416.00927676012856</v>
      </c>
      <c r="N21" s="11">
        <f t="shared" si="10"/>
        <v>434.169401849005</v>
      </c>
      <c r="O21" s="10"/>
      <c r="P21" s="10"/>
      <c r="Q21" s="10"/>
      <c r="R21" s="10"/>
      <c r="S21" s="10"/>
      <c r="T21" s="10"/>
      <c r="U21" s="10"/>
    </row>
    <row r="22" spans="1:21" x14ac:dyDescent="0.25">
      <c r="A22" s="9" t="s">
        <v>61</v>
      </c>
      <c r="B22" s="12">
        <f t="shared" ref="B22:N22" si="11">B11/COS(B19*PI()/180)</f>
        <v>235.05794265349215</v>
      </c>
      <c r="C22">
        <f t="shared" si="11"/>
        <v>202.01702502746841</v>
      </c>
      <c r="D22">
        <f t="shared" si="11"/>
        <v>182.17816728044465</v>
      </c>
      <c r="E22">
        <f t="shared" si="11"/>
        <v>174.06244463883991</v>
      </c>
      <c r="F22">
        <f t="shared" si="11"/>
        <v>175.72973633931019</v>
      </c>
      <c r="G22">
        <f t="shared" si="11"/>
        <v>184.78581993109347</v>
      </c>
      <c r="H22" s="14">
        <f t="shared" si="11"/>
        <v>198.92753484978491</v>
      </c>
      <c r="I22">
        <f t="shared" si="11"/>
        <v>216.3498510112191</v>
      </c>
      <c r="J22">
        <f t="shared" si="11"/>
        <v>235.80706874386576</v>
      </c>
      <c r="K22">
        <f t="shared" si="11"/>
        <v>256.49441626477545</v>
      </c>
      <c r="L22">
        <f t="shared" si="11"/>
        <v>277.90652221440791</v>
      </c>
      <c r="M22">
        <f t="shared" si="11"/>
        <v>299.7287971202727</v>
      </c>
      <c r="N22" s="11">
        <f t="shared" si="11"/>
        <v>321.76551020699128</v>
      </c>
      <c r="O22" s="10"/>
      <c r="P22" s="10"/>
      <c r="Q22" s="10"/>
      <c r="R22" s="10"/>
      <c r="S22" s="10"/>
      <c r="T22" s="10"/>
      <c r="U22" s="10"/>
    </row>
    <row r="23" spans="1:21" x14ac:dyDescent="0.25">
      <c r="A23" s="9" t="s">
        <v>63</v>
      </c>
      <c r="B23" s="12">
        <f>B21*SIN(B18*PI()/180)</f>
        <v>159.17402778188278</v>
      </c>
      <c r="C23">
        <f t="shared" ref="C23:N23" si="12">C21*SIN(C18*PI()/180)</f>
        <v>179.07078125461817</v>
      </c>
      <c r="D23">
        <f t="shared" si="12"/>
        <v>198.96753472735355</v>
      </c>
      <c r="E23">
        <f t="shared" si="12"/>
        <v>218.86428820008888</v>
      </c>
      <c r="F23">
        <f t="shared" si="12"/>
        <v>238.76104167282423</v>
      </c>
      <c r="G23">
        <f t="shared" si="12"/>
        <v>258.65779514555965</v>
      </c>
      <c r="H23" s="14">
        <f t="shared" si="12"/>
        <v>278.55454861829503</v>
      </c>
      <c r="I23">
        <f t="shared" si="12"/>
        <v>298.45130209103041</v>
      </c>
      <c r="J23">
        <f t="shared" si="12"/>
        <v>318.34805556376563</v>
      </c>
      <c r="K23">
        <f t="shared" si="12"/>
        <v>338.24480903650107</v>
      </c>
      <c r="L23">
        <f t="shared" si="12"/>
        <v>358.14156250923668</v>
      </c>
      <c r="M23">
        <f t="shared" si="12"/>
        <v>378.03831598197178</v>
      </c>
      <c r="N23" s="11">
        <f t="shared" si="12"/>
        <v>397.93506945470722</v>
      </c>
      <c r="O23" s="10"/>
      <c r="P23" s="10"/>
      <c r="Q23" s="10"/>
      <c r="R23" s="10"/>
      <c r="S23" s="10"/>
      <c r="T23" s="10"/>
      <c r="U23" s="10"/>
    </row>
    <row r="24" spans="1:21" x14ac:dyDescent="0.25">
      <c r="A24" s="9" t="s">
        <v>62</v>
      </c>
      <c r="B24" s="12">
        <f>B22*SIN(B19*PI()/180)</f>
        <v>-158.43448615908221</v>
      </c>
      <c r="C24">
        <f t="shared" ref="C24:N24" si="13">C22*SIN(C19*PI()/180)</f>
        <v>-103.2478978040173</v>
      </c>
      <c r="D24">
        <f t="shared" si="13"/>
        <v>-55.119276425418391</v>
      </c>
      <c r="E24">
        <f t="shared" si="13"/>
        <v>-12.1237219387947</v>
      </c>
      <c r="F24">
        <f t="shared" si="13"/>
        <v>27.022032378847573</v>
      </c>
      <c r="G24">
        <f t="shared" si="13"/>
        <v>63.20640195111968</v>
      </c>
      <c r="H24" s="14">
        <f t="shared" si="13"/>
        <v>97.063969223457974</v>
      </c>
      <c r="I24">
        <f t="shared" si="13"/>
        <v>129.06009465584904</v>
      </c>
      <c r="J24">
        <f>J22*SIN(J19*PI()/180)</f>
        <v>159.54379859328327</v>
      </c>
      <c r="K24">
        <f t="shared" si="13"/>
        <v>188.78197894663515</v>
      </c>
      <c r="L24">
        <f t="shared" si="13"/>
        <v>216.98222297991856</v>
      </c>
      <c r="M24">
        <f t="shared" si="13"/>
        <v>244.30841537524961</v>
      </c>
      <c r="N24" s="11">
        <f t="shared" si="13"/>
        <v>270.89166387832114</v>
      </c>
      <c r="O24" s="10"/>
      <c r="P24" s="10"/>
      <c r="Q24" s="10"/>
      <c r="R24" s="10"/>
      <c r="S24" s="10"/>
      <c r="T24" s="10"/>
      <c r="U24" s="10"/>
    </row>
    <row r="25" spans="1:21" x14ac:dyDescent="0.25">
      <c r="A25" s="9" t="s">
        <v>64</v>
      </c>
      <c r="B25" s="12">
        <f t="shared" ref="B25:N25" si="14">B11/COS(B17*PI()/180)</f>
        <v>361.97502417679061</v>
      </c>
      <c r="C25">
        <f t="shared" si="14"/>
        <v>331.44318750792394</v>
      </c>
      <c r="D25">
        <f t="shared" si="14"/>
        <v>307.75129179547633</v>
      </c>
      <c r="E25">
        <f t="shared" si="14"/>
        <v>288.97441206432273</v>
      </c>
      <c r="F25">
        <f t="shared" si="14"/>
        <v>273.83235392625676</v>
      </c>
      <c r="G25">
        <f t="shared" si="14"/>
        <v>261.44214867088203</v>
      </c>
      <c r="H25" s="14">
        <f t="shared" si="14"/>
        <v>251.17639301708599</v>
      </c>
      <c r="I25">
        <f t="shared" si="14"/>
        <v>242.57809290277766</v>
      </c>
      <c r="J25">
        <f t="shared" si="14"/>
        <v>235.30733527016773</v>
      </c>
      <c r="K25">
        <f t="shared" si="14"/>
        <v>229.1067165721517</v>
      </c>
      <c r="L25">
        <f t="shared" si="14"/>
        <v>223.77825885539761</v>
      </c>
      <c r="M25">
        <f t="shared" si="14"/>
        <v>219.16759869169505</v>
      </c>
      <c r="N25" s="11">
        <f t="shared" si="14"/>
        <v>215.15291515674662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9" t="s">
        <v>44</v>
      </c>
      <c r="B26" s="12">
        <v>0.16</v>
      </c>
      <c r="C26">
        <v>0.18</v>
      </c>
      <c r="D26">
        <v>0.2</v>
      </c>
      <c r="E26">
        <v>0.22</v>
      </c>
      <c r="F26">
        <v>0.24</v>
      </c>
      <c r="G26">
        <v>0.26</v>
      </c>
      <c r="H26" s="14">
        <v>0.28000000000000003</v>
      </c>
      <c r="I26">
        <v>0.3</v>
      </c>
      <c r="J26">
        <v>0.32</v>
      </c>
      <c r="K26">
        <v>0.34</v>
      </c>
      <c r="L26">
        <v>0.36</v>
      </c>
      <c r="M26">
        <v>0.38</v>
      </c>
      <c r="N26" s="11">
        <v>0.4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9" t="s">
        <v>65</v>
      </c>
      <c r="B27" s="12">
        <f t="shared" ref="B27:N27" si="15">B11/B7</f>
        <v>1.0908796844509474</v>
      </c>
      <c r="C27">
        <f t="shared" si="15"/>
        <v>0.96967083062306436</v>
      </c>
      <c r="D27">
        <f t="shared" si="15"/>
        <v>0.87270374756075786</v>
      </c>
      <c r="E27">
        <f t="shared" si="15"/>
        <v>0.79336704323705265</v>
      </c>
      <c r="F27">
        <f t="shared" si="15"/>
        <v>0.72725312296729827</v>
      </c>
      <c r="G27">
        <f t="shared" si="15"/>
        <v>0.67131057504673675</v>
      </c>
      <c r="H27" s="14">
        <f t="shared" si="15"/>
        <v>0.62335981968625553</v>
      </c>
      <c r="I27">
        <f t="shared" si="15"/>
        <v>0.58180249837383857</v>
      </c>
      <c r="J27">
        <f t="shared" si="15"/>
        <v>0.5454398422254747</v>
      </c>
      <c r="K27">
        <f t="shared" si="15"/>
        <v>0.51335514562397611</v>
      </c>
      <c r="L27">
        <f t="shared" si="15"/>
        <v>0.48483541531153307</v>
      </c>
      <c r="M27">
        <f t="shared" si="15"/>
        <v>0.45931776187408391</v>
      </c>
      <c r="N27" s="11">
        <f t="shared" si="15"/>
        <v>0.43635187378037971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9" t="s">
        <v>44</v>
      </c>
      <c r="B28" s="12">
        <v>0.16</v>
      </c>
      <c r="C28">
        <v>0.18</v>
      </c>
      <c r="D28">
        <v>0.2</v>
      </c>
      <c r="E28">
        <v>0.22</v>
      </c>
      <c r="F28">
        <v>0.24</v>
      </c>
      <c r="G28">
        <v>0.26</v>
      </c>
      <c r="H28" s="14">
        <v>0.28000000000000003</v>
      </c>
      <c r="I28">
        <v>0.3</v>
      </c>
      <c r="J28">
        <v>0.32</v>
      </c>
      <c r="K28">
        <v>0.34</v>
      </c>
      <c r="L28">
        <v>0.36</v>
      </c>
      <c r="M28">
        <v>0.38</v>
      </c>
      <c r="N28" s="11">
        <v>0.4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9" t="s">
        <v>66</v>
      </c>
      <c r="B29" s="12">
        <f t="shared" ref="B29:N29" si="16">(1005.025*B13) / (B7*B7)</f>
        <v>1.9953538800700947</v>
      </c>
      <c r="C29">
        <f t="shared" si="16"/>
        <v>1.5765759052405686</v>
      </c>
      <c r="D29">
        <f t="shared" si="16"/>
        <v>1.2770264832448601</v>
      </c>
      <c r="E29">
        <f t="shared" si="16"/>
        <v>1.0553937878056698</v>
      </c>
      <c r="F29">
        <f t="shared" si="16"/>
        <v>0.88682394669781983</v>
      </c>
      <c r="G29">
        <f t="shared" si="16"/>
        <v>0.75563697233423688</v>
      </c>
      <c r="H29" s="14">
        <f t="shared" si="16"/>
        <v>0.65154412410452034</v>
      </c>
      <c r="I29">
        <f t="shared" si="16"/>
        <v>0.56756732588660463</v>
      </c>
      <c r="J29">
        <f t="shared" si="16"/>
        <v>0.49883847001752368</v>
      </c>
      <c r="K29">
        <f t="shared" si="16"/>
        <v>0.44187767586327376</v>
      </c>
      <c r="L29">
        <f t="shared" si="16"/>
        <v>0.39414397631014236</v>
      </c>
      <c r="M29">
        <f t="shared" si="16"/>
        <v>0.35374694826727454</v>
      </c>
      <c r="N29" s="11">
        <f t="shared" si="16"/>
        <v>0.31925662081121525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9" t="s">
        <v>44</v>
      </c>
      <c r="B30" s="12">
        <v>0.16</v>
      </c>
      <c r="C30">
        <v>0.18</v>
      </c>
      <c r="D30">
        <v>0.2</v>
      </c>
      <c r="E30">
        <v>0.22</v>
      </c>
      <c r="F30">
        <v>0.24</v>
      </c>
      <c r="G30">
        <v>0.26</v>
      </c>
      <c r="H30" s="14">
        <v>0.28000000000000003</v>
      </c>
      <c r="I30">
        <v>0.3</v>
      </c>
      <c r="J30">
        <v>0.32</v>
      </c>
      <c r="K30">
        <v>0.34</v>
      </c>
      <c r="L30">
        <v>0.36</v>
      </c>
      <c r="M30">
        <v>0.38</v>
      </c>
      <c r="N30" s="11">
        <v>0.4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9" t="s">
        <v>67</v>
      </c>
      <c r="B31" s="12">
        <f>B21/SQRT(1.4*287.15*300)</f>
        <v>0.67829254023072283</v>
      </c>
      <c r="C31">
        <f t="shared" ref="C31:N31" si="17">C21/SQRT(1.4*287.15*300)</f>
        <v>0.7182502869467795</v>
      </c>
      <c r="D31">
        <f t="shared" si="17"/>
        <v>0.76042830255867044</v>
      </c>
      <c r="E31">
        <f t="shared" si="17"/>
        <v>0.80447744283605338</v>
      </c>
      <c r="F31">
        <f t="shared" si="17"/>
        <v>0.85010689492466496</v>
      </c>
      <c r="G31">
        <f t="shared" si="17"/>
        <v>0.89707554510839327</v>
      </c>
      <c r="H31" s="14">
        <f t="shared" si="17"/>
        <v>0.94518376971424523</v>
      </c>
      <c r="I31">
        <f t="shared" si="17"/>
        <v>0.99426616531871748</v>
      </c>
      <c r="J31">
        <f t="shared" si="17"/>
        <v>1.0441853669395047</v>
      </c>
      <c r="K31">
        <f t="shared" si="17"/>
        <v>1.0948269167453981</v>
      </c>
      <c r="L31">
        <f t="shared" si="17"/>
        <v>1.1460950653399253</v>
      </c>
      <c r="M31">
        <f t="shared" si="17"/>
        <v>1.1979093638625014</v>
      </c>
      <c r="N31" s="11">
        <f t="shared" si="17"/>
        <v>1.2502019090247163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x14ac:dyDescent="0.25">
      <c r="A33" s="10"/>
      <c r="B33" s="10">
        <f>B5*B3</f>
        <v>50.817362230554401</v>
      </c>
      <c r="C33" s="10">
        <f t="shared" ref="C33:N33" si="18">C5*C3</f>
        <v>50.817362230554387</v>
      </c>
      <c r="D33" s="10">
        <f t="shared" si="18"/>
        <v>50.817362230554394</v>
      </c>
      <c r="E33" s="10">
        <f t="shared" si="18"/>
        <v>50.817362230554394</v>
      </c>
      <c r="F33" s="10">
        <f t="shared" si="18"/>
        <v>50.817362230554401</v>
      </c>
      <c r="G33" s="10">
        <f t="shared" si="18"/>
        <v>50.817362230554394</v>
      </c>
      <c r="H33" s="10">
        <f t="shared" si="18"/>
        <v>50.817362230554373</v>
      </c>
      <c r="I33" s="10">
        <f t="shared" si="18"/>
        <v>50.817362230554394</v>
      </c>
      <c r="J33" s="10">
        <f t="shared" si="18"/>
        <v>50.81736223055438</v>
      </c>
      <c r="K33" s="10">
        <f t="shared" si="18"/>
        <v>50.817362230554437</v>
      </c>
      <c r="L33" s="10">
        <f t="shared" si="18"/>
        <v>50.817362230554416</v>
      </c>
      <c r="M33" s="10">
        <f>M5*M3</f>
        <v>50.817362230554401</v>
      </c>
      <c r="N33" s="10">
        <f t="shared" si="18"/>
        <v>50.817362230554416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9" t="s">
        <v>73</v>
      </c>
      <c r="B35" s="12">
        <f>1-B22/B21+ABS(B23-B24)/(2*2*B21)</f>
        <v>0.33920119167113022</v>
      </c>
      <c r="C35" s="12">
        <f t="shared" ref="C35:M35" si="19">1-C22/C21+ABS(C23-C24)/(2*2*C21)</f>
        <v>0.47305662572287738</v>
      </c>
      <c r="D35" s="12">
        <f t="shared" si="19"/>
        <v>0.55068173236584395</v>
      </c>
      <c r="E35" s="12">
        <f t="shared" si="19"/>
        <v>0.58366353632101997</v>
      </c>
      <c r="F35" s="12">
        <f t="shared" si="19"/>
        <v>0.58406254247938871</v>
      </c>
      <c r="G35" s="12">
        <f t="shared" si="19"/>
        <v>0.56370042735096448</v>
      </c>
      <c r="H35" s="12">
        <f>1-H22/H21+ABS(H23-H24)/(2*2*H21)</f>
        <v>0.53219125050633143</v>
      </c>
      <c r="I35" s="12">
        <f t="shared" si="19"/>
        <v>0.49606717684790264</v>
      </c>
      <c r="J35" s="12">
        <f>1-J22/J21+ABS(J23-J24)/(2*2*J21)</f>
        <v>0.45920305062148842</v>
      </c>
      <c r="K35" s="12">
        <f t="shared" si="19"/>
        <v>0.42366531393482271</v>
      </c>
      <c r="L35" s="12">
        <f t="shared" si="19"/>
        <v>0.39043366975630306</v>
      </c>
      <c r="M35" s="12">
        <f t="shared" si="19"/>
        <v>0.35987888529192835</v>
      </c>
      <c r="N35" s="12">
        <f>1-N22/N21+ABS(N23-N24)/(2*2*N21)</f>
        <v>0.33204722032956091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9" t="s">
        <v>74</v>
      </c>
      <c r="B36" s="12">
        <f>1-B11/B25+ABS(B4-B5)/(2*1.6*B25)</f>
        <v>0.79449672594923548</v>
      </c>
      <c r="C36" s="12">
        <f t="shared" ref="C36:N36" si="20">1-C11/C25+ABS(C4-C5)/(2*1.6*C25)</f>
        <v>0.74229331235953966</v>
      </c>
      <c r="D36" s="12">
        <f t="shared" si="20"/>
        <v>0.693786550287258</v>
      </c>
      <c r="E36" s="12">
        <f t="shared" si="20"/>
        <v>0.64891022943407695</v>
      </c>
      <c r="F36" s="12">
        <f t="shared" si="20"/>
        <v>0.6075289451586825</v>
      </c>
      <c r="G36" s="12">
        <f t="shared" si="20"/>
        <v>0.56946057321490862</v>
      </c>
      <c r="H36" s="12">
        <f t="shared" si="20"/>
        <v>0.53449483952639409</v>
      </c>
      <c r="I36" s="12">
        <f>1-I11/I25+ABS(I4-I5)/(2*1.6*I25)</f>
        <v>0.50240782491282254</v>
      </c>
      <c r="J36" s="12">
        <f t="shared" si="20"/>
        <v>0.47297272839444005</v>
      </c>
      <c r="K36" s="12">
        <f t="shared" si="20"/>
        <v>0.44596744828984747</v>
      </c>
      <c r="L36" s="12">
        <f t="shared" si="20"/>
        <v>0.42117960762097978</v>
      </c>
      <c r="M36" s="12">
        <f t="shared" si="20"/>
        <v>0.39840961872580605</v>
      </c>
      <c r="N36" s="12">
        <f t="shared" si="20"/>
        <v>0.37747230215641164</v>
      </c>
      <c r="O36" s="10"/>
      <c r="P36" s="10"/>
      <c r="Q36" s="10"/>
      <c r="R36" s="10"/>
      <c r="S36" s="10"/>
      <c r="T36" s="10"/>
      <c r="U36" s="10"/>
    </row>
    <row r="37" spans="1:21" x14ac:dyDescent="0.25">
      <c r="O37" s="10"/>
      <c r="P37" s="10"/>
      <c r="Q37" s="10"/>
      <c r="R37" s="10"/>
      <c r="S37" s="10"/>
      <c r="T37" s="10"/>
      <c r="U37" s="10"/>
    </row>
    <row r="38" spans="1:21" x14ac:dyDescent="0.25">
      <c r="O38" s="10"/>
      <c r="P38" s="10"/>
      <c r="Q38" s="10"/>
      <c r="R38" s="10"/>
      <c r="S38" s="10"/>
      <c r="T38" s="10"/>
      <c r="U38" s="10"/>
    </row>
  </sheetData>
  <mergeCells count="1">
    <mergeCell ref="G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Arun</dc:creator>
  <cp:lastModifiedBy>Anay Panshikar</cp:lastModifiedBy>
  <dcterms:created xsi:type="dcterms:W3CDTF">2020-12-07T15:09:31Z</dcterms:created>
  <dcterms:modified xsi:type="dcterms:W3CDTF">2020-12-09T17:19:56Z</dcterms:modified>
</cp:coreProperties>
</file>