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H55" i="2"/>
  <c r="H53" i="2"/>
  <c r="H56" i="2" s="1"/>
  <c r="H52" i="2"/>
  <c r="H50" i="2"/>
  <c r="H51" i="2" s="1"/>
  <c r="H43" i="2"/>
  <c r="H30" i="2"/>
  <c r="H24" i="2"/>
  <c r="H36" i="2" s="1"/>
  <c r="H14" i="2"/>
  <c r="H18" i="2" s="1"/>
  <c r="G55" i="2"/>
  <c r="G53" i="2"/>
  <c r="G56" i="2" s="1"/>
  <c r="G52" i="2"/>
  <c r="G50" i="2"/>
  <c r="G43" i="2"/>
  <c r="G30" i="2"/>
  <c r="G24" i="2"/>
  <c r="G36" i="2" s="1"/>
  <c r="G14" i="2"/>
  <c r="G20" i="2" s="1"/>
  <c r="H19" i="2" l="1"/>
  <c r="G54" i="2"/>
  <c r="G57" i="2" s="1"/>
  <c r="G13" i="2" s="1"/>
  <c r="H20" i="2"/>
  <c r="H10" i="2"/>
  <c r="H11" i="2" s="1"/>
  <c r="H54" i="2"/>
  <c r="H57" i="2" s="1"/>
  <c r="H13" i="2" s="1"/>
  <c r="CM22" i="6"/>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H17" i="2"/>
  <c r="G18" i="2"/>
  <c r="G22" i="2" s="1"/>
  <c r="G8" i="2"/>
  <c r="H6" i="2"/>
  <c r="H32" i="2"/>
  <c r="H28" i="2"/>
  <c r="H31" i="2"/>
  <c r="H27" i="2"/>
  <c r="H34" i="2"/>
  <c r="H26" i="2"/>
  <c r="H33" i="2"/>
  <c r="H29" i="2"/>
  <c r="H8" i="2"/>
  <c r="H9" i="2" s="1"/>
  <c r="H22" i="2"/>
  <c r="G21" i="2"/>
  <c r="G51" i="2"/>
  <c r="G10" i="2"/>
  <c r="G15" i="2"/>
  <c r="L17" i="3"/>
  <c r="H7" i="2" l="1"/>
  <c r="H15" i="2"/>
  <c r="H25" i="2"/>
  <c r="H21" i="2"/>
  <c r="CO6" i="6"/>
  <c r="CO7" i="6" s="1"/>
  <c r="CO11" i="6"/>
  <c r="CO19" i="6"/>
  <c r="CO22" i="6"/>
  <c r="CO21" i="6" s="1"/>
  <c r="CO17" i="6"/>
  <c r="CN13" i="6"/>
  <c r="CN15" i="6"/>
  <c r="CK25" i="6"/>
  <c r="CM19" i="6"/>
  <c r="CK6" i="6"/>
  <c r="CK7" i="6" s="1"/>
  <c r="CK11" i="6"/>
  <c r="CK17" i="6"/>
  <c r="CK19" i="6"/>
  <c r="CK22" i="6"/>
  <c r="CK21" i="6" s="1"/>
  <c r="CM11" i="6"/>
  <c r="CM6" i="6"/>
  <c r="CM7" i="6" s="1"/>
  <c r="CM25" i="6"/>
  <c r="CO35" i="6"/>
  <c r="CK35" i="6"/>
  <c r="G19" i="2"/>
  <c r="G17" i="2"/>
  <c r="H35" i="2"/>
  <c r="G33" i="2"/>
  <c r="G29" i="2"/>
  <c r="G32" i="2"/>
  <c r="G28" i="2"/>
  <c r="G31" i="2"/>
  <c r="G27" i="2"/>
  <c r="G34" i="2"/>
  <c r="G26" i="2"/>
  <c r="G6" i="2"/>
  <c r="G7" i="2" s="1"/>
  <c r="G11" i="2"/>
  <c r="G9" i="2"/>
  <c r="G35" i="2" l="1"/>
  <c r="G25" i="2"/>
  <c r="CH56" i="6"/>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<sst xmlns="http://schemas.openxmlformats.org/spreadsheetml/2006/main" count="152" uniqueCount="69">
  <si>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</si>
  <si>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</si>
  <si>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</si>
  <si>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</si>
  <si>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</si>
  <si>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</si>
  <si>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</si>
  <si>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</si>
  <si>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</si>
  <si>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</si>
  <si>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</si>
  <si>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</si>
  <si>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</si>
  <si>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</si>
  <si>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</si>
  <si>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</si>
  <si>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</si>
  <si>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</si>
  <si>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</si>
  <si>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</si>
  <si>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</si>
  <si>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</si>
  <si>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</si>
  <si>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</si>
  <si>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</si>
  <si>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</si>
  <si>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</si>
  <si>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</si>
  <si>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</si>
  <si>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</si>
  <si>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</si>
  <si>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</si>
  <si>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</si>
  <si>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</si>
  <si>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</si>
  <si>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</si>
  <si>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</si>
  <si>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</si>
  <si>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</si>
  <si>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</si>
  <si>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</si>
  <si>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</si>
  <si>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</si>
  <si>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</si>
  <si>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</si>
  <si>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</si>
  <si>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</si>
  <si>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</si>
  <si>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</si>
  <si>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</si>
  <si>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</si>
  <si>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</si>
  <si>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</si>
  <si>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</si>
  <si>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</si>
  <si>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</si>
  <si>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</si>
  <si>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</si>
  <si>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</si>
  <si>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</si>
  <si>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</si>
  <si>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</si>
  <si>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</si>
  <si>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</si>
  <si>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</si>
  <si>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</si>
  <si>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Updated for-Apr/08/2019 Nifty closed on a strong bearnote at 11665 level .So today on upside first intra resistance is at 11692-97 .Next resistance are 11717-22,11759-64,11805-10,1184-48,11925-29 level.On downside first support is at 11640-35 next support are at 11615-10,11572-67,11527-22,11494-89,11442-37,11388-84,11352-47,11344-39,11310-05,11278-73,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11697 and 11722 level and On downside be alert below 11 
Positional Support for NIFTY 11554 11521 11341 11133 11066 11007 10926 10908 and positional Immediate resistance for NIFTY is 11785.
Intraday Resistance of NIFTY are 11716.3 : 11758.1 : 11828.5 : 11851.2
Intraday Support of NIFTY are 11615.6 : 11573.8 : 11504.5 : 11482.2
Oscillator AnalysisNIFTY is now trading in highly overbought level. The oscillator is showing SELL signalShort Term Oscillator Analysis- The signal is SELL </t>
  </si>
  <si>
    <t>61% Wave 5</t>
  </si>
  <si>
    <t>Min 61% 5 within Wave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</si>
</sst>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K36" sqref="K36"/>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19"/>
      <c r="B1" s="220"/>
      <c r="C1" s="220"/>
      <c r="D1" s="220"/>
      <c r="E1" s="216" t="s">
        <v>65</v>
      </c>
      <c r="F1" s="2" t="s">
        <v>1</v>
      </c>
      <c r="G1" s="3">
        <v>43559</v>
      </c>
      <c r="H1" s="3">
        <v>43560</v>
      </c>
    </row>
    <row r="2" spans="1:8" ht="14.55" customHeight="1" x14ac:dyDescent="0.3">
      <c r="A2" s="4"/>
      <c r="B2" s="5"/>
      <c r="C2" s="5"/>
      <c r="D2" s="6" t="s">
        <v>2</v>
      </c>
      <c r="E2" s="7">
        <v>11630.35</v>
      </c>
      <c r="F2" s="7">
        <v>11761</v>
      </c>
      <c r="G2" s="7">
        <v>11662.55</v>
      </c>
      <c r="H2" s="7">
        <v>11689.65</v>
      </c>
    </row>
    <row r="3" spans="1:8" ht="14.55" customHeight="1" x14ac:dyDescent="0.3">
      <c r="A3" s="4"/>
      <c r="B3" s="8"/>
      <c r="C3" s="9"/>
      <c r="D3" s="6" t="s">
        <v>3</v>
      </c>
      <c r="E3" s="10">
        <v>10817</v>
      </c>
      <c r="F3" s="10">
        <v>11559.2</v>
      </c>
      <c r="G3" s="10">
        <v>11559.2</v>
      </c>
      <c r="H3" s="10">
        <v>11609.5</v>
      </c>
    </row>
    <row r="4" spans="1:8" ht="14.55" customHeight="1" x14ac:dyDescent="0.3">
      <c r="A4" s="4"/>
      <c r="B4" s="8"/>
      <c r="C4" s="9"/>
      <c r="D4" s="6" t="s">
        <v>4</v>
      </c>
      <c r="E4" s="11">
        <v>11623.9</v>
      </c>
      <c r="F4" s="11">
        <v>11665.95</v>
      </c>
      <c r="G4" s="11">
        <v>11598</v>
      </c>
      <c r="H4" s="11">
        <v>11665.95</v>
      </c>
    </row>
    <row r="5" spans="1:8" ht="14.55" customHeight="1" x14ac:dyDescent="0.3">
      <c r="A5" s="217" t="s">
        <v>5</v>
      </c>
      <c r="B5" s="218"/>
      <c r="C5" s="218"/>
      <c r="D5" s="218"/>
      <c r="E5" s="5"/>
      <c r="F5" s="5"/>
      <c r="G5" s="5"/>
      <c r="H5" s="5"/>
    </row>
    <row r="6" spans="1:8" ht="14.55" customHeight="1" x14ac:dyDescent="0.3">
      <c r="A6" s="12"/>
      <c r="B6" s="13"/>
      <c r="C6" s="13"/>
      <c r="D6" s="14" t="s">
        <v>6</v>
      </c>
      <c r="E6" s="15">
        <f t="shared" ref="E6:F6" si="0">E10+E50</f>
        <v>12710.516666666668</v>
      </c>
      <c r="F6" s="15">
        <f t="shared" si="0"/>
        <v>11966.7</v>
      </c>
      <c r="G6" s="15">
        <f t="shared" ref="G6:H6" si="1">G10+G50</f>
        <v>11757.316666666666</v>
      </c>
      <c r="H6" s="15">
        <f t="shared" si="1"/>
        <v>11780.716666666669</v>
      </c>
    </row>
    <row r="7" spans="1:8" ht="14.55" hidden="1" customHeight="1" x14ac:dyDescent="0.3">
      <c r="A7" s="12"/>
      <c r="B7" s="13"/>
      <c r="C7" s="13"/>
      <c r="D7" s="14" t="s">
        <v>7</v>
      </c>
      <c r="E7" s="16">
        <f t="shared" ref="E7:F7" si="2">(E6+E8)/2</f>
        <v>12440.475000000002</v>
      </c>
      <c r="F7" s="16">
        <f t="shared" si="2"/>
        <v>11915.275000000001</v>
      </c>
      <c r="G7" s="16">
        <f t="shared" ref="G7:H7" si="3">(G6+G8)/2</f>
        <v>11733.625</v>
      </c>
      <c r="H7" s="16">
        <f t="shared" si="3"/>
        <v>11757.95</v>
      </c>
    </row>
    <row r="8" spans="1:8" ht="14.55" customHeight="1" x14ac:dyDescent="0.3">
      <c r="A8" s="12"/>
      <c r="B8" s="13"/>
      <c r="C8" s="13"/>
      <c r="D8" s="14" t="s">
        <v>8</v>
      </c>
      <c r="E8" s="17">
        <f t="shared" ref="E8:F8" si="4">E14+E50</f>
        <v>12170.433333333334</v>
      </c>
      <c r="F8" s="17">
        <f t="shared" si="4"/>
        <v>11863.85</v>
      </c>
      <c r="G8" s="17">
        <f t="shared" ref="G8:H8" si="5">G14+G50</f>
        <v>11709.933333333332</v>
      </c>
      <c r="H8" s="17">
        <f t="shared" si="5"/>
        <v>11735.183333333334</v>
      </c>
    </row>
    <row r="9" spans="1:8" ht="14.55" hidden="1" customHeight="1" x14ac:dyDescent="0.3">
      <c r="A9" s="12"/>
      <c r="B9" s="13"/>
      <c r="C9" s="13"/>
      <c r="D9" s="14" t="s">
        <v>9</v>
      </c>
      <c r="E9" s="16">
        <f t="shared" ref="E9:F9" si="6">(E8+E10)/2</f>
        <v>12033.800000000001</v>
      </c>
      <c r="F9" s="16">
        <f t="shared" si="6"/>
        <v>11814.375</v>
      </c>
      <c r="G9" s="16">
        <f t="shared" ref="G9:H9" si="7">(G8+G10)/2</f>
        <v>11681.95</v>
      </c>
      <c r="H9" s="16">
        <f t="shared" si="7"/>
        <v>11717.875000000002</v>
      </c>
    </row>
    <row r="10" spans="1:8" ht="14.55" customHeight="1" x14ac:dyDescent="0.3">
      <c r="A10" s="12"/>
      <c r="B10" s="13"/>
      <c r="C10" s="13"/>
      <c r="D10" s="14" t="s">
        <v>10</v>
      </c>
      <c r="E10" s="18">
        <f t="shared" ref="E10:F10" si="8">(2*E14)-E3</f>
        <v>11897.166666666668</v>
      </c>
      <c r="F10" s="18">
        <f t="shared" si="8"/>
        <v>11764.900000000001</v>
      </c>
      <c r="G10" s="18">
        <f t="shared" ref="G10:H10" si="9">(2*G14)-G3</f>
        <v>11653.966666666667</v>
      </c>
      <c r="H10" s="18">
        <f t="shared" si="9"/>
        <v>11700.566666666669</v>
      </c>
    </row>
    <row r="11" spans="1:8" ht="14.55" hidden="1" customHeight="1" x14ac:dyDescent="0.3">
      <c r="A11" s="12"/>
      <c r="B11" s="13"/>
      <c r="C11" s="13"/>
      <c r="D11" s="14" t="s">
        <v>11</v>
      </c>
      <c r="E11" s="16">
        <f t="shared" ref="E11:F11" si="10">(E10+E14)/2</f>
        <v>11627.125</v>
      </c>
      <c r="F11" s="16">
        <f t="shared" si="10"/>
        <v>11713.475000000002</v>
      </c>
      <c r="G11" s="16">
        <f t="shared" ref="G11:H11" si="11">(G10+G14)/2</f>
        <v>11630.275000000001</v>
      </c>
      <c r="H11" s="16">
        <f t="shared" si="11"/>
        <v>11677.800000000003</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2">E14+E57/2</f>
        <v>11490.491666666669</v>
      </c>
      <c r="F13" s="20">
        <f t="shared" si="12"/>
        <v>11664.000000000002</v>
      </c>
      <c r="G13" s="20">
        <f t="shared" ref="G13:H13" si="13">G14+G57/2</f>
        <v>11610.875</v>
      </c>
      <c r="H13" s="20">
        <f t="shared" si="13"/>
        <v>11660.491666666669</v>
      </c>
    </row>
    <row r="14" spans="1:8" ht="14.55" customHeight="1" x14ac:dyDescent="0.3">
      <c r="A14" s="12"/>
      <c r="B14" s="13"/>
      <c r="C14" s="13"/>
      <c r="D14" s="14" t="s">
        <v>13</v>
      </c>
      <c r="E14" s="11">
        <f t="shared" ref="E14:F14" si="14">(E2+E3+E4)/3</f>
        <v>11357.083333333334</v>
      </c>
      <c r="F14" s="11">
        <f t="shared" si="14"/>
        <v>11662.050000000001</v>
      </c>
      <c r="G14" s="11">
        <f t="shared" ref="G14:H14" si="15">(G2+G3+G4)/3</f>
        <v>11606.583333333334</v>
      </c>
      <c r="H14" s="11">
        <f t="shared" si="15"/>
        <v>11655.033333333335</v>
      </c>
    </row>
    <row r="15" spans="1:8" ht="14.55" customHeight="1" x14ac:dyDescent="0.3">
      <c r="A15" s="12"/>
      <c r="B15" s="13"/>
      <c r="C15" s="13"/>
      <c r="D15" s="14" t="s">
        <v>14</v>
      </c>
      <c r="E15" s="21">
        <f t="shared" ref="E15:F15" si="16">E14-E57/2</f>
        <v>11223.674999999999</v>
      </c>
      <c r="F15" s="21">
        <f t="shared" si="16"/>
        <v>11660.1</v>
      </c>
      <c r="G15" s="21">
        <f t="shared" ref="G15:H15" si="17">G14-G57/2</f>
        <v>11602.291666666668</v>
      </c>
      <c r="H15" s="21">
        <f t="shared" si="17"/>
        <v>11649.575000000001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18">(E14+E18)/2</f>
        <v>11220.45</v>
      </c>
      <c r="F17" s="16">
        <f t="shared" si="18"/>
        <v>11612.575000000001</v>
      </c>
      <c r="G17" s="16">
        <f t="shared" ref="G17:H17" si="19">(G14+G18)/2</f>
        <v>11578.600000000002</v>
      </c>
      <c r="H17" s="16">
        <f t="shared" si="19"/>
        <v>11637.725000000002</v>
      </c>
    </row>
    <row r="18" spans="1:8" ht="14.55" customHeight="1" x14ac:dyDescent="0.3">
      <c r="A18" s="12"/>
      <c r="B18" s="13"/>
      <c r="C18" s="13"/>
      <c r="D18" s="14" t="s">
        <v>16</v>
      </c>
      <c r="E18" s="22">
        <f t="shared" ref="E18:F18" si="20">2*E14-E2</f>
        <v>11083.816666666668</v>
      </c>
      <c r="F18" s="22">
        <f t="shared" si="20"/>
        <v>11563.100000000002</v>
      </c>
      <c r="G18" s="22">
        <f t="shared" ref="G18:H18" si="21">2*G14-G2</f>
        <v>11550.616666666669</v>
      </c>
      <c r="H18" s="22">
        <f t="shared" si="21"/>
        <v>11620.41666666667</v>
      </c>
    </row>
    <row r="19" spans="1:8" ht="14.55" hidden="1" customHeight="1" x14ac:dyDescent="0.3">
      <c r="A19" s="12"/>
      <c r="B19" s="13"/>
      <c r="C19" s="13"/>
      <c r="D19" s="14" t="s">
        <v>17</v>
      </c>
      <c r="E19" s="16">
        <f t="shared" ref="E19:F19" si="22">(E18+E20)/2</f>
        <v>10813.775000000001</v>
      </c>
      <c r="F19" s="16">
        <f t="shared" si="22"/>
        <v>11511.675000000003</v>
      </c>
      <c r="G19" s="16">
        <f t="shared" ref="G19:H19" si="23">(G18+G20)/2</f>
        <v>11526.925000000003</v>
      </c>
      <c r="H19" s="16">
        <f t="shared" si="23"/>
        <v>11597.650000000001</v>
      </c>
    </row>
    <row r="20" spans="1:8" ht="14.55" customHeight="1" x14ac:dyDescent="0.3">
      <c r="A20" s="12"/>
      <c r="B20" s="13"/>
      <c r="C20" s="13"/>
      <c r="D20" s="14" t="s">
        <v>18</v>
      </c>
      <c r="E20" s="23">
        <f t="shared" ref="E20:F20" si="24">E14-E50</f>
        <v>10543.733333333334</v>
      </c>
      <c r="F20" s="23">
        <f t="shared" si="24"/>
        <v>11460.250000000002</v>
      </c>
      <c r="G20" s="23">
        <f t="shared" ref="G20:H20" si="25">G14-G50</f>
        <v>11503.233333333335</v>
      </c>
      <c r="H20" s="23">
        <f t="shared" si="25"/>
        <v>11574.883333333335</v>
      </c>
    </row>
    <row r="21" spans="1:8" ht="14.55" hidden="1" customHeight="1" x14ac:dyDescent="0.3">
      <c r="A21" s="12"/>
      <c r="B21" s="13"/>
      <c r="C21" s="13"/>
      <c r="D21" s="14" t="s">
        <v>19</v>
      </c>
      <c r="E21" s="16">
        <f t="shared" ref="E21:F21" si="26">(E20+E22)/2</f>
        <v>10407.1</v>
      </c>
      <c r="F21" s="16">
        <f t="shared" si="26"/>
        <v>11410.775000000001</v>
      </c>
      <c r="G21" s="16">
        <f t="shared" ref="G21:H21" si="27">(G20+G22)/2</f>
        <v>11475.250000000004</v>
      </c>
      <c r="H21" s="16">
        <f t="shared" si="27"/>
        <v>11557.575000000003</v>
      </c>
    </row>
    <row r="22" spans="1:8" ht="14.55" customHeight="1" x14ac:dyDescent="0.3">
      <c r="A22" s="12"/>
      <c r="B22" s="13"/>
      <c r="C22" s="13"/>
      <c r="D22" s="14" t="s">
        <v>20</v>
      </c>
      <c r="E22" s="24">
        <f t="shared" ref="E22:F22" si="28">E18-E50</f>
        <v>10270.466666666667</v>
      </c>
      <c r="F22" s="24">
        <f t="shared" si="28"/>
        <v>11361.300000000003</v>
      </c>
      <c r="G22" s="24">
        <f t="shared" ref="G22:H22" si="29">G18-G50</f>
        <v>11447.26666666667</v>
      </c>
      <c r="H22" s="24">
        <f t="shared" si="29"/>
        <v>11540.26666666667</v>
      </c>
    </row>
    <row r="23" spans="1:8" ht="14.55" customHeight="1" x14ac:dyDescent="0.3">
      <c r="A23" s="217" t="s">
        <v>21</v>
      </c>
      <c r="B23" s="218"/>
      <c r="C23" s="218"/>
      <c r="D23" s="218"/>
      <c r="E23" s="25"/>
      <c r="F23" s="25"/>
      <c r="G23" s="25"/>
      <c r="H23" s="25"/>
    </row>
    <row r="24" spans="1:8" ht="14.55" customHeight="1" x14ac:dyDescent="0.3">
      <c r="A24" s="12"/>
      <c r="B24" s="13"/>
      <c r="C24" s="13"/>
      <c r="D24" s="14" t="s">
        <v>22</v>
      </c>
      <c r="E24" s="17">
        <f t="shared" ref="E24:F24" si="30">(E2/E3)*E4</f>
        <v>12497.922285753906</v>
      </c>
      <c r="F24" s="17">
        <f t="shared" si="30"/>
        <v>11869.613636756869</v>
      </c>
      <c r="G24" s="17">
        <f t="shared" ref="G24:H24" si="31">(G2/G3)*G4</f>
        <v>11701.696908090524</v>
      </c>
      <c r="H24" s="17">
        <f t="shared" si="31"/>
        <v>11746.489721133554</v>
      </c>
    </row>
    <row r="25" spans="1:8" ht="14.55" hidden="1" customHeight="1" x14ac:dyDescent="0.3">
      <c r="A25" s="12"/>
      <c r="B25" s="13"/>
      <c r="C25" s="13"/>
      <c r="D25" s="14" t="s">
        <v>23</v>
      </c>
      <c r="E25" s="16">
        <f t="shared" ref="E25:F25" si="32">E26+1.168*(E26-E27)</f>
        <v>12332.490520000001</v>
      </c>
      <c r="F25" s="16">
        <f t="shared" si="32"/>
        <v>11841.758160000001</v>
      </c>
      <c r="G25" s="16">
        <f t="shared" ref="G25:H25" si="33">G26+1.168*(G26-G27)</f>
        <v>11688.038519999998</v>
      </c>
      <c r="H25" s="16">
        <f t="shared" si="33"/>
        <v>11735.776680000001</v>
      </c>
    </row>
    <row r="26" spans="1:8" ht="14.55" customHeight="1" x14ac:dyDescent="0.3">
      <c r="A26" s="12"/>
      <c r="B26" s="13"/>
      <c r="C26" s="13"/>
      <c r="D26" s="14" t="s">
        <v>24</v>
      </c>
      <c r="E26" s="18">
        <f t="shared" ref="E26:F26" si="34">E4+E51/2</f>
        <v>12071.2425</v>
      </c>
      <c r="F26" s="18">
        <f t="shared" si="34"/>
        <v>11776.94</v>
      </c>
      <c r="G26" s="18">
        <f t="shared" ref="G26:H26" si="35">G4+G51/2</f>
        <v>11654.842499999999</v>
      </c>
      <c r="H26" s="18">
        <f t="shared" si="35"/>
        <v>11710.032500000001</v>
      </c>
    </row>
    <row r="27" spans="1:8" ht="14.55" customHeight="1" x14ac:dyDescent="0.3">
      <c r="A27" s="12"/>
      <c r="B27" s="13"/>
      <c r="C27" s="13"/>
      <c r="D27" s="14" t="s">
        <v>25</v>
      </c>
      <c r="E27" s="7">
        <f t="shared" ref="E27:F27" si="36">E4+E51/4</f>
        <v>11847.571249999999</v>
      </c>
      <c r="F27" s="7">
        <f t="shared" si="36"/>
        <v>11721.445</v>
      </c>
      <c r="G27" s="7">
        <f t="shared" ref="G27:H27" si="37">G4+G51/4</f>
        <v>11626.421249999999</v>
      </c>
      <c r="H27" s="7">
        <f t="shared" si="37"/>
        <v>11687.991250000001</v>
      </c>
    </row>
    <row r="28" spans="1:8" ht="14.55" hidden="1" customHeight="1" x14ac:dyDescent="0.3">
      <c r="A28" s="12"/>
      <c r="B28" s="13"/>
      <c r="C28" s="13"/>
      <c r="D28" s="14" t="s">
        <v>26</v>
      </c>
      <c r="E28" s="16">
        <f t="shared" ref="E28:F28" si="38">E4+E51/6</f>
        <v>11773.014166666666</v>
      </c>
      <c r="F28" s="16">
        <f t="shared" si="38"/>
        <v>11702.946666666667</v>
      </c>
      <c r="G28" s="16">
        <f t="shared" ref="G28:H28" si="39">G4+G51/6</f>
        <v>11616.9475</v>
      </c>
      <c r="H28" s="16">
        <f t="shared" si="39"/>
        <v>11680.644166666667</v>
      </c>
    </row>
    <row r="29" spans="1:8" ht="14.55" hidden="1" customHeight="1" x14ac:dyDescent="0.3">
      <c r="A29" s="12"/>
      <c r="B29" s="13"/>
      <c r="C29" s="13"/>
      <c r="D29" s="14" t="s">
        <v>27</v>
      </c>
      <c r="E29" s="16">
        <f t="shared" ref="E29:F29" si="40">E4+E51/12</f>
        <v>11698.457083333333</v>
      </c>
      <c r="F29" s="16">
        <f t="shared" si="40"/>
        <v>11684.448333333334</v>
      </c>
      <c r="G29" s="16">
        <f t="shared" ref="G29:H29" si="41">G4+G51/12</f>
        <v>11607.473749999999</v>
      </c>
      <c r="H29" s="16">
        <f t="shared" si="41"/>
        <v>11673.297083333335</v>
      </c>
    </row>
    <row r="30" spans="1:8" ht="14.55" customHeight="1" x14ac:dyDescent="0.3">
      <c r="A30" s="12"/>
      <c r="B30" s="13"/>
      <c r="C30" s="13"/>
      <c r="D30" s="14" t="s">
        <v>4</v>
      </c>
      <c r="E30" s="11">
        <f t="shared" ref="E30:F30" si="42">E4</f>
        <v>11623.9</v>
      </c>
      <c r="F30" s="11">
        <f t="shared" si="42"/>
        <v>11665.95</v>
      </c>
      <c r="G30" s="11">
        <f t="shared" ref="G30:H30" si="43">G4</f>
        <v>11598</v>
      </c>
      <c r="H30" s="11">
        <f t="shared" si="43"/>
        <v>11665.95</v>
      </c>
    </row>
    <row r="31" spans="1:8" ht="14.55" hidden="1" customHeight="1" x14ac:dyDescent="0.3">
      <c r="A31" s="12"/>
      <c r="B31" s="13"/>
      <c r="C31" s="13"/>
      <c r="D31" s="14" t="s">
        <v>28</v>
      </c>
      <c r="E31" s="16">
        <f t="shared" ref="E31:F31" si="44">E4-E51/12</f>
        <v>11549.342916666666</v>
      </c>
      <c r="F31" s="16">
        <f t="shared" si="44"/>
        <v>11647.451666666668</v>
      </c>
      <c r="G31" s="16">
        <f t="shared" ref="G31:H31" si="45">G4-G51/12</f>
        <v>11588.526250000001</v>
      </c>
      <c r="H31" s="16">
        <f t="shared" si="45"/>
        <v>11658.602916666667</v>
      </c>
    </row>
    <row r="32" spans="1:8" ht="14.55" hidden="1" customHeight="1" x14ac:dyDescent="0.3">
      <c r="A32" s="12"/>
      <c r="B32" s="13"/>
      <c r="C32" s="13"/>
      <c r="D32" s="14" t="s">
        <v>29</v>
      </c>
      <c r="E32" s="16">
        <f t="shared" ref="E32:F32" si="46">E4-E51/6</f>
        <v>11474.785833333333</v>
      </c>
      <c r="F32" s="16">
        <f t="shared" si="46"/>
        <v>11628.953333333335</v>
      </c>
      <c r="G32" s="16">
        <f t="shared" ref="G32:H32" si="47">G4-G51/6</f>
        <v>11579.0525</v>
      </c>
      <c r="H32" s="16">
        <f t="shared" si="47"/>
        <v>11651.255833333335</v>
      </c>
    </row>
    <row r="33" spans="1:13" ht="14.55" customHeight="1" x14ac:dyDescent="0.3">
      <c r="A33" s="12"/>
      <c r="B33" s="13"/>
      <c r="C33" s="13"/>
      <c r="D33" s="14" t="s">
        <v>30</v>
      </c>
      <c r="E33" s="10">
        <f t="shared" ref="E33:F33" si="48">E4-E51/4</f>
        <v>11400.22875</v>
      </c>
      <c r="F33" s="10">
        <f t="shared" si="48"/>
        <v>11610.455000000002</v>
      </c>
      <c r="G33" s="10">
        <f t="shared" ref="G33:H33" si="49">G4-G51/4</f>
        <v>11569.578750000001</v>
      </c>
      <c r="H33" s="10">
        <f t="shared" si="49"/>
        <v>11643.908750000001</v>
      </c>
    </row>
    <row r="34" spans="1:13" ht="14.55" customHeight="1" x14ac:dyDescent="0.3">
      <c r="A34" s="12"/>
      <c r="B34" s="13"/>
      <c r="C34" s="13"/>
      <c r="D34" s="14" t="s">
        <v>31</v>
      </c>
      <c r="E34" s="22">
        <f t="shared" ref="E34:F34" si="50">E4-E51/2</f>
        <v>11176.557499999999</v>
      </c>
      <c r="F34" s="22">
        <f t="shared" si="50"/>
        <v>11554.960000000001</v>
      </c>
      <c r="G34" s="22">
        <f t="shared" ref="G34:H34" si="51">G4-G51/2</f>
        <v>11541.157500000001</v>
      </c>
      <c r="H34" s="22">
        <f t="shared" si="51"/>
        <v>11621.8675</v>
      </c>
      <c r="M34" s="97"/>
    </row>
    <row r="35" spans="1:13" ht="14.55" hidden="1" customHeight="1" x14ac:dyDescent="0.3">
      <c r="A35" s="12"/>
      <c r="B35" s="13"/>
      <c r="C35" s="13"/>
      <c r="D35" s="14" t="s">
        <v>32</v>
      </c>
      <c r="E35" s="16">
        <f t="shared" ref="E35:F35" si="52">E34-1.168*(E33-E34)</f>
        <v>10915.309479999998</v>
      </c>
      <c r="F35" s="16">
        <f t="shared" si="52"/>
        <v>11490.14184</v>
      </c>
      <c r="G35" s="16">
        <f t="shared" ref="G35:H35" si="53">G34-1.168*(G33-G34)</f>
        <v>11507.961480000002</v>
      </c>
      <c r="H35" s="16">
        <f t="shared" si="53"/>
        <v>11596.123320000001</v>
      </c>
    </row>
    <row r="36" spans="1:13" ht="14.55" customHeight="1" x14ac:dyDescent="0.3">
      <c r="A36" s="12"/>
      <c r="B36" s="13"/>
      <c r="C36" s="13"/>
      <c r="D36" s="14" t="s">
        <v>33</v>
      </c>
      <c r="E36" s="23">
        <f t="shared" ref="E36:F36" si="54">E4-(E24-E4)</f>
        <v>10749.877714246093</v>
      </c>
      <c r="F36" s="23">
        <f t="shared" si="54"/>
        <v>11462.286363243133</v>
      </c>
      <c r="G36" s="23">
        <f t="shared" ref="G36:H36" si="55">G4-(G24-G4)</f>
        <v>11494.303091909476</v>
      </c>
      <c r="H36" s="23">
        <f t="shared" si="55"/>
        <v>11585.410278866448</v>
      </c>
      <c r="M36" s="97"/>
    </row>
    <row r="37" spans="1:13" ht="14.55" customHeight="1" x14ac:dyDescent="0.3">
      <c r="A37" s="217" t="s">
        <v>34</v>
      </c>
      <c r="B37" s="218"/>
      <c r="C37" s="218"/>
      <c r="D37" s="218"/>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v>11921.6587</v>
      </c>
      <c r="I39" s="223" t="s">
        <v>67</v>
      </c>
      <c r="M39" s="93"/>
    </row>
    <row r="40" spans="1:13" ht="14.55" customHeight="1" x14ac:dyDescent="0.3">
      <c r="A40" s="12"/>
      <c r="B40" s="19"/>
      <c r="C40" s="13"/>
      <c r="D40" s="14" t="s">
        <v>38</v>
      </c>
      <c r="E40" s="18"/>
      <c r="F40" s="18"/>
      <c r="G40" s="18">
        <v>11921.6587</v>
      </c>
      <c r="H40" s="18">
        <v>11822.777</v>
      </c>
      <c r="I40" s="223" t="s">
        <v>68</v>
      </c>
      <c r="L40" s="1"/>
    </row>
    <row r="41" spans="1:13" ht="14.55" customHeight="1" x14ac:dyDescent="0.3">
      <c r="A41" s="12"/>
      <c r="B41" s="13"/>
      <c r="C41" s="13"/>
      <c r="D41" s="14" t="s">
        <v>39</v>
      </c>
      <c r="E41" s="7"/>
      <c r="F41" s="7"/>
      <c r="G41" s="7">
        <v>11792.5828</v>
      </c>
      <c r="H41" s="7">
        <v>11781.897899999998</v>
      </c>
      <c r="I41" s="224">
        <v>1.61</v>
      </c>
      <c r="L41" s="1"/>
    </row>
    <row r="42" spans="1:13" ht="14.55" customHeight="1" x14ac:dyDescent="0.3">
      <c r="A42" s="12"/>
      <c r="B42" s="13"/>
      <c r="C42" s="13"/>
      <c r="D42" s="188" t="s">
        <v>64</v>
      </c>
      <c r="E42" s="20"/>
      <c r="F42" s="20"/>
      <c r="G42" s="20">
        <v>11688.6913</v>
      </c>
      <c r="H42" s="20">
        <v>11756.7521</v>
      </c>
      <c r="I42" s="224">
        <v>1.38</v>
      </c>
      <c r="M42" s="91"/>
    </row>
    <row r="43" spans="1:13" ht="14.55" customHeight="1" x14ac:dyDescent="0.3">
      <c r="A43" s="12"/>
      <c r="B43" s="13"/>
      <c r="C43" s="13"/>
      <c r="D43" s="14" t="s">
        <v>4</v>
      </c>
      <c r="E43" s="11">
        <f t="shared" ref="E43:F43" si="56">E4</f>
        <v>11623.9</v>
      </c>
      <c r="F43" s="11">
        <f t="shared" si="56"/>
        <v>11665.95</v>
      </c>
      <c r="G43" s="11">
        <f t="shared" ref="G43:H43" si="57">G4</f>
        <v>11598</v>
      </c>
      <c r="H43" s="11">
        <f t="shared" si="57"/>
        <v>11665.95</v>
      </c>
      <c r="I43" s="214"/>
    </row>
    <row r="44" spans="1:13" ht="14.55" customHeight="1" x14ac:dyDescent="0.3">
      <c r="A44" s="12"/>
      <c r="B44" s="13"/>
      <c r="C44" s="13"/>
      <c r="D44" s="14" t="s">
        <v>40</v>
      </c>
      <c r="E44" s="21"/>
      <c r="F44" s="21"/>
      <c r="G44" s="21"/>
      <c r="H44" s="21">
        <v>11637.446</v>
      </c>
      <c r="I44" s="97"/>
    </row>
    <row r="45" spans="1:13" ht="14.55" customHeight="1" x14ac:dyDescent="0.3">
      <c r="A45" s="12"/>
      <c r="B45" s="13"/>
      <c r="C45" s="13"/>
      <c r="D45" s="14" t="s">
        <v>41</v>
      </c>
      <c r="E45" s="10"/>
      <c r="F45" s="10"/>
      <c r="G45" s="10">
        <v>11613.9118</v>
      </c>
      <c r="H45" s="10">
        <v>11575.177</v>
      </c>
      <c r="I45" s="94"/>
      <c r="K45" s="94"/>
      <c r="M45" s="91"/>
    </row>
    <row r="46" spans="1:13" ht="14.55" customHeight="1" x14ac:dyDescent="0.3">
      <c r="A46" s="12"/>
      <c r="B46" s="13"/>
      <c r="C46" s="13"/>
      <c r="D46" s="14" t="s">
        <v>42</v>
      </c>
      <c r="E46" s="22"/>
      <c r="F46" s="22"/>
      <c r="G46" s="22">
        <v>11505.1916</v>
      </c>
      <c r="H46" s="22"/>
      <c r="M46" s="91"/>
    </row>
    <row r="47" spans="1:13" ht="14.55" customHeight="1" x14ac:dyDescent="0.3">
      <c r="A47" s="12"/>
      <c r="B47" s="13"/>
      <c r="C47" s="13"/>
      <c r="D47" s="14" t="s">
        <v>43</v>
      </c>
      <c r="E47" s="23"/>
      <c r="F47" s="23"/>
      <c r="G47" s="23">
        <v>11361.1042</v>
      </c>
      <c r="H47" s="23"/>
      <c r="I47" s="94"/>
    </row>
    <row r="48" spans="1:13" ht="14.55" customHeight="1" x14ac:dyDescent="0.3">
      <c r="A48" s="12"/>
      <c r="B48" s="13"/>
      <c r="C48" s="13"/>
      <c r="D48" s="14" t="s">
        <v>44</v>
      </c>
      <c r="E48" s="24"/>
      <c r="F48" s="24"/>
      <c r="G48" s="24"/>
      <c r="H48" s="24"/>
      <c r="I48" s="94"/>
    </row>
    <row r="49" spans="1:8" ht="14.55" customHeight="1" x14ac:dyDescent="0.3">
      <c r="A49" s="217" t="s">
        <v>45</v>
      </c>
      <c r="B49" s="218"/>
      <c r="C49" s="218"/>
      <c r="D49" s="218"/>
      <c r="E49" s="25"/>
      <c r="F49" s="25"/>
      <c r="G49" s="25"/>
      <c r="H49" s="25"/>
    </row>
    <row r="50" spans="1:8" ht="14.55" customHeight="1" x14ac:dyDescent="0.3">
      <c r="A50" s="12"/>
      <c r="B50" s="13"/>
      <c r="C50" s="13"/>
      <c r="D50" s="14" t="s">
        <v>46</v>
      </c>
      <c r="E50" s="16">
        <f t="shared" ref="E50:F50" si="58">ABS(E2-E3)</f>
        <v>813.35000000000036</v>
      </c>
      <c r="F50" s="16">
        <f t="shared" si="58"/>
        <v>201.79999999999927</v>
      </c>
      <c r="G50" s="16">
        <f t="shared" ref="G50:H50" si="59">ABS(G2-G3)</f>
        <v>103.34999999999854</v>
      </c>
      <c r="H50" s="16">
        <f t="shared" si="59"/>
        <v>80.149999999999636</v>
      </c>
    </row>
    <row r="51" spans="1:8" ht="14.55" customHeight="1" x14ac:dyDescent="0.3">
      <c r="A51" s="12"/>
      <c r="B51" s="13"/>
      <c r="C51" s="13"/>
      <c r="D51" s="14" t="s">
        <v>47</v>
      </c>
      <c r="E51" s="16">
        <f t="shared" ref="E51:F51" si="60">E50*1.1</f>
        <v>894.68500000000051</v>
      </c>
      <c r="F51" s="16">
        <f t="shared" si="60"/>
        <v>221.97999999999922</v>
      </c>
      <c r="G51" s="16">
        <f t="shared" ref="G51:H51" si="61">G50*1.1</f>
        <v>113.68499999999841</v>
      </c>
      <c r="H51" s="16">
        <f t="shared" si="61"/>
        <v>88.164999999999608</v>
      </c>
    </row>
    <row r="52" spans="1:8" ht="14.55" customHeight="1" x14ac:dyDescent="0.3">
      <c r="A52" s="12"/>
      <c r="B52" s="13"/>
      <c r="C52" s="13"/>
      <c r="D52" s="14" t="s">
        <v>48</v>
      </c>
      <c r="E52" s="16">
        <f t="shared" ref="E52:F52" si="62">(E2+E3)</f>
        <v>22447.35</v>
      </c>
      <c r="F52" s="16">
        <f t="shared" si="62"/>
        <v>23320.2</v>
      </c>
      <c r="G52" s="16">
        <f t="shared" ref="G52:H52" si="63">(G2+G3)</f>
        <v>23221.75</v>
      </c>
      <c r="H52" s="16">
        <f t="shared" si="63"/>
        <v>23299.15</v>
      </c>
    </row>
    <row r="53" spans="1:8" ht="14.55" customHeight="1" x14ac:dyDescent="0.3">
      <c r="A53" s="12"/>
      <c r="B53" s="13"/>
      <c r="C53" s="13"/>
      <c r="D53" s="14" t="s">
        <v>49</v>
      </c>
      <c r="E53" s="16">
        <f t="shared" ref="E53:F53" si="64">(E2+E3)/2</f>
        <v>11223.674999999999</v>
      </c>
      <c r="F53" s="16">
        <f t="shared" si="64"/>
        <v>11660.1</v>
      </c>
      <c r="G53" s="16">
        <f t="shared" ref="G53:H53" si="65">(G2+G3)/2</f>
        <v>11610.875</v>
      </c>
      <c r="H53" s="16">
        <f t="shared" si="65"/>
        <v>11649.575000000001</v>
      </c>
    </row>
    <row r="54" spans="1:8" ht="14.55" customHeight="1" x14ac:dyDescent="0.3">
      <c r="A54" s="12"/>
      <c r="B54" s="13"/>
      <c r="C54" s="13"/>
      <c r="D54" s="14" t="s">
        <v>12</v>
      </c>
      <c r="E54" s="16">
        <f t="shared" ref="E54:F54" si="66">E55-E56+E55</f>
        <v>11490.491666666669</v>
      </c>
      <c r="F54" s="16">
        <f t="shared" si="66"/>
        <v>11664.000000000002</v>
      </c>
      <c r="G54" s="16">
        <f t="shared" ref="G54:H54" si="67">G55-G56+G55</f>
        <v>11602.291666666668</v>
      </c>
      <c r="H54" s="16">
        <f t="shared" si="67"/>
        <v>11660.491666666669</v>
      </c>
    </row>
    <row r="55" spans="1:8" ht="14.55" customHeight="1" x14ac:dyDescent="0.3">
      <c r="A55" s="12"/>
      <c r="B55" s="13"/>
      <c r="C55" s="13"/>
      <c r="D55" s="14" t="s">
        <v>50</v>
      </c>
      <c r="E55" s="16">
        <f t="shared" ref="E55:F55" si="68">(E2+E3+E4)/3</f>
        <v>11357.083333333334</v>
      </c>
      <c r="F55" s="16">
        <f t="shared" si="68"/>
        <v>11662.050000000001</v>
      </c>
      <c r="G55" s="16">
        <f t="shared" ref="G55:H55" si="69">(G2+G3+G4)/3</f>
        <v>11606.583333333334</v>
      </c>
      <c r="H55" s="16">
        <f t="shared" si="69"/>
        <v>11655.033333333335</v>
      </c>
    </row>
    <row r="56" spans="1:8" ht="14.55" customHeight="1" x14ac:dyDescent="0.3">
      <c r="A56" s="12"/>
      <c r="B56" s="13"/>
      <c r="C56" s="13"/>
      <c r="D56" s="14" t="s">
        <v>14</v>
      </c>
      <c r="E56" s="16">
        <f t="shared" ref="E56:F56" si="70">E53</f>
        <v>11223.674999999999</v>
      </c>
      <c r="F56" s="16">
        <f t="shared" si="70"/>
        <v>11660.1</v>
      </c>
      <c r="G56" s="16">
        <f t="shared" ref="G56:H56" si="71">G53</f>
        <v>11610.875</v>
      </c>
      <c r="H56" s="16">
        <f t="shared" si="71"/>
        <v>11649.575000000001</v>
      </c>
    </row>
    <row r="57" spans="1:8" ht="14.55" customHeight="1" x14ac:dyDescent="0.3">
      <c r="A57" s="12"/>
      <c r="B57" s="13"/>
      <c r="C57" s="13"/>
      <c r="D57" s="14" t="s">
        <v>51</v>
      </c>
      <c r="E57" s="31">
        <f>(E54-E56)</f>
        <v>266.81666666666933</v>
      </c>
      <c r="F57" s="31">
        <f t="shared" ref="F57" si="72">ABS(F54-F56)</f>
        <v>3.9000000000014552</v>
      </c>
      <c r="G57" s="31">
        <f t="shared" ref="G57:H57" si="73">ABS(G54-G56)</f>
        <v>8.5833333333321207</v>
      </c>
      <c r="H57" s="31">
        <f t="shared" si="73"/>
        <v>10.916666666667879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J16" sqref="J16:J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11311.6</v>
      </c>
      <c r="K6" s="98"/>
      <c r="L6" s="201">
        <v>10585.65</v>
      </c>
      <c r="M6" s="99"/>
      <c r="N6" s="199">
        <v>11413</v>
      </c>
      <c r="O6" s="100"/>
      <c r="P6" s="200">
        <v>11559.2</v>
      </c>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11738.1</v>
      </c>
      <c r="K9" s="98"/>
      <c r="L9" s="201">
        <v>11738.1</v>
      </c>
      <c r="M9" s="99"/>
      <c r="N9" s="199">
        <v>11738.1</v>
      </c>
      <c r="O9" s="100"/>
      <c r="P9" s="200">
        <v>11665.75</v>
      </c>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v>11559.2</v>
      </c>
      <c r="K12" s="98"/>
      <c r="L12" s="201"/>
      <c r="M12" s="99"/>
      <c r="N12" s="199"/>
      <c r="O12" s="100"/>
      <c r="P12" s="200">
        <v>11609.5</v>
      </c>
      <c r="Q12" s="98" t="s">
        <v>58</v>
      </c>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11490.8344</v>
      </c>
      <c r="I16" s="169"/>
      <c r="J16" s="168">
        <f>VALUE(23.6/100*(J6-J9)+J9)</f>
        <v>11637.446</v>
      </c>
      <c r="K16" s="168"/>
      <c r="L16" s="168">
        <f>VALUE(23.6/100*(L6-L9)+L9)</f>
        <v>11466.121800000001</v>
      </c>
      <c r="M16" s="168"/>
      <c r="N16" s="168">
        <f>VALUE(23.6/100*(N6-N9)+N9)</f>
        <v>11661.376400000001</v>
      </c>
      <c r="O16" s="169"/>
      <c r="P16" s="168">
        <f>VALUE(23.6/100*(P6-P9)+P9)</f>
        <v>11640.6042</v>
      </c>
      <c r="Q16" s="168"/>
      <c r="R16" s="221">
        <f>VALUE(23.6/100*(R6-R9)+R9)</f>
        <v>0</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11456.5828</v>
      </c>
      <c r="I17" s="172"/>
      <c r="J17" s="171">
        <f>VALUE(38.2/100*(J6-J9)+J9)</f>
        <v>11575.177</v>
      </c>
      <c r="K17" s="171"/>
      <c r="L17" s="171">
        <f>VALUE(38.2/100*(L6-L9)+L9)</f>
        <v>11297.864100000001</v>
      </c>
      <c r="M17" s="171"/>
      <c r="N17" s="171">
        <f>38.2/100*(N6-N9)+N9</f>
        <v>11613.9118</v>
      </c>
      <c r="O17" s="172"/>
      <c r="P17" s="171">
        <f>VALUE(38.2/100*(P6-P9)+P9)</f>
        <v>11625.0479</v>
      </c>
      <c r="Q17" s="171"/>
      <c r="R17" s="222">
        <f>VALUE(38.2/100*(R6-R9)+R9)</f>
        <v>0</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11428.900000000001</v>
      </c>
      <c r="I18" s="169"/>
      <c r="J18" s="168">
        <f>VALUE(50/100*(J6-J9)+J9)</f>
        <v>11524.85</v>
      </c>
      <c r="K18" s="168"/>
      <c r="L18" s="168">
        <f>VALUE(50/100*(L6-L9)+L9)</f>
        <v>11161.875</v>
      </c>
      <c r="M18" s="168"/>
      <c r="N18" s="168">
        <f>VALUE(50/100*(N6-N9)+N9)</f>
        <v>11575.55</v>
      </c>
      <c r="O18" s="169"/>
      <c r="P18" s="168">
        <f>VALUE(50/100*(P6-P9)+P9)</f>
        <v>11612.475</v>
      </c>
      <c r="Q18" s="168"/>
      <c r="R18" s="168">
        <f>VALUE(50/100*(R6-R9)+R9)</f>
        <v>0</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11401.217200000001</v>
      </c>
      <c r="I19" s="169"/>
      <c r="J19" s="168">
        <f>VALUE(61.8/100*(J6-J9)+J9)</f>
        <v>11474.523000000001</v>
      </c>
      <c r="K19" s="168"/>
      <c r="L19" s="168">
        <f>VALUE(61.8/100*(L6-L9)+L9)</f>
        <v>11025.885899999999</v>
      </c>
      <c r="M19" s="168"/>
      <c r="N19" s="168">
        <f>VALUE(61.8/100*(N6-N9)+N9)</f>
        <v>11537.188200000001</v>
      </c>
      <c r="O19" s="169"/>
      <c r="P19" s="168">
        <f>VALUE(61.8/100*(P6-P9)+P9)</f>
        <v>11599.902100000001</v>
      </c>
      <c r="Q19" s="168"/>
      <c r="R19" s="168">
        <f>VALUE(61.8/100*(R6-R9)+R9)</f>
        <v>0</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11380.337800000001</v>
      </c>
      <c r="I20" s="175"/>
      <c r="J20" s="174">
        <f>VALUE(70.7/100*(J6-J9)+J9)</f>
        <v>11436.5645</v>
      </c>
      <c r="K20" s="176"/>
      <c r="L20" s="174">
        <f>VALUE(70.7/100*(L6-L9)+L9)</f>
        <v>10923.317849999999</v>
      </c>
      <c r="M20" s="174"/>
      <c r="N20" s="174">
        <f>VALUE(70.7/100*(N6-N9)+N9)</f>
        <v>11508.254300000001</v>
      </c>
      <c r="O20" s="175"/>
      <c r="P20" s="174">
        <f>VALUE(70.7/100*(P6-P9)+P9)</f>
        <v>11590.41915</v>
      </c>
      <c r="Q20" s="176"/>
      <c r="R20" s="174">
        <f>VALUE(70.7/100*(R6-R9)+R9)</f>
        <v>0</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11361.804400000001</v>
      </c>
      <c r="I21" s="169"/>
      <c r="J21" s="168">
        <f>VALUE(78.6/100*(J6-J9)+J9)</f>
        <v>11402.871000000001</v>
      </c>
      <c r="K21" s="168"/>
      <c r="L21" s="168">
        <f>VALUE(78.6/100*(L6-L9)+L9)</f>
        <v>10832.274299999999</v>
      </c>
      <c r="M21" s="168"/>
      <c r="N21" s="168">
        <f>VALUE(78.6/100*(N6-N9)+N9)</f>
        <v>11482.571400000001</v>
      </c>
      <c r="O21" s="169"/>
      <c r="P21" s="168">
        <f>VALUE(78.6/100*(P6-P9)+P9)</f>
        <v>11582.001700000001</v>
      </c>
      <c r="Q21" s="168"/>
      <c r="R21" s="168">
        <f>VALUE(78.6/100*(R6-R9)+R9)</f>
        <v>0</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11311.6</v>
      </c>
      <c r="K22" s="176"/>
      <c r="L22" s="174">
        <f>VALUE(100/100*(L6-L9)+L9)</f>
        <v>10585.65</v>
      </c>
      <c r="M22" s="174"/>
      <c r="N22" s="174">
        <f>VALUE(100/100*(N6-N9)+N9)</f>
        <v>11413</v>
      </c>
      <c r="O22" s="175"/>
      <c r="P22" s="174">
        <f>VALUE(100/100*(P6-P9)+P9)</f>
        <v>11559.2</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11502.617200000001</v>
      </c>
      <c r="I25" s="180"/>
      <c r="J25" s="179">
        <f>VALUE(J12-38.2/100*(J6-J9))</f>
        <v>11722.123000000001</v>
      </c>
      <c r="K25" s="179"/>
      <c r="L25" s="181">
        <f>VALUE(L12-38.2/100*(L6-L9))</f>
        <v>440.2359000000003</v>
      </c>
      <c r="M25" s="179"/>
      <c r="N25" s="179">
        <f>VALUE(N12-38.2/100*(N6-N9))</f>
        <v>124.18820000000014</v>
      </c>
      <c r="O25" s="180"/>
      <c r="P25" s="179">
        <f>VALUE(P12-38.2/100*(P6-P9))</f>
        <v>11650.2021</v>
      </c>
      <c r="Q25" s="179"/>
      <c r="R25" s="179">
        <f>VALUE(R12-38.2/100*(R6-R9))</f>
        <v>0</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11530.3</v>
      </c>
      <c r="I26" s="180"/>
      <c r="J26" s="179">
        <f>VALUE(J12-50/100*(J6-J9))</f>
        <v>11772.45</v>
      </c>
      <c r="K26" s="179"/>
      <c r="L26" s="179">
        <f>VALUE(L12-50/100*(L6-L9))</f>
        <v>576.22500000000036</v>
      </c>
      <c r="M26" s="179"/>
      <c r="N26" s="179">
        <f>VALUE(N12-50/100*(N6-N9))</f>
        <v>162.55000000000018</v>
      </c>
      <c r="O26" s="180"/>
      <c r="P26" s="179">
        <f>VALUE(P12-50/100*(P6-P9))</f>
        <v>11662.775</v>
      </c>
      <c r="Q26" s="179"/>
      <c r="R26" s="179">
        <f>VALUE(R12-50/100*(R6-R9))</f>
        <v>0</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11557.9828</v>
      </c>
      <c r="I27" s="184"/>
      <c r="J27" s="108">
        <f>VALUE(J12-61.8/100*(J6-J9))</f>
        <v>11822.777</v>
      </c>
      <c r="K27" s="183"/>
      <c r="L27" s="183">
        <f>VALUE(L12-61.8/100*(L6-L9))</f>
        <v>712.21410000000049</v>
      </c>
      <c r="M27" s="183"/>
      <c r="N27" s="108">
        <f>VALUE(N12-61.8/100*(N6-N9))</f>
        <v>200.91180000000023</v>
      </c>
      <c r="O27" s="184"/>
      <c r="P27" s="183">
        <f>VALUE(P12-61.8/100*(P6-P9))</f>
        <v>11675.347899999999</v>
      </c>
      <c r="Q27" s="183"/>
      <c r="R27" s="183">
        <f>VALUE(R12-61.8/100*(R6-R9))</f>
        <v>0</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11577.38422</v>
      </c>
      <c r="I28" s="175"/>
      <c r="J28" s="174">
        <f>VALUE(J12-70.07/100*(J6-J9))</f>
        <v>11858.048550000001</v>
      </c>
      <c r="K28" s="176"/>
      <c r="L28" s="174">
        <f>VALUE(L12-70.07/100*(L6-L9))</f>
        <v>807.52171500000031</v>
      </c>
      <c r="M28" s="174"/>
      <c r="N28" s="174">
        <f>VALUE(N12-70.07/100*(N6-N9))</f>
        <v>227.79757000000021</v>
      </c>
      <c r="O28" s="175"/>
      <c r="P28" s="174">
        <f>VALUE(P12-70.07/100*(P6-P9))</f>
        <v>11684.159584999999</v>
      </c>
      <c r="Q28" s="176"/>
      <c r="R28" s="174">
        <f>VALUE(R12-70.07/100*(R6-R9))</f>
        <v>0</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11647.6</v>
      </c>
      <c r="I29" s="180"/>
      <c r="J29" s="189">
        <f>VALUE(J12-100/100*(J6-J9))</f>
        <v>11985.7</v>
      </c>
      <c r="K29" s="179"/>
      <c r="L29" s="179">
        <f>VALUE(L12-100/100*(L6-L9))</f>
        <v>1152.4500000000007</v>
      </c>
      <c r="M29" s="179"/>
      <c r="N29" s="179">
        <f>VALUE(N12-100/100*(N6-N9))</f>
        <v>325.10000000000036</v>
      </c>
      <c r="O29" s="180"/>
      <c r="P29" s="179">
        <f>VALUE(P12-100/100*(P6-P9))</f>
        <v>11716.05</v>
      </c>
      <c r="Q29" s="179"/>
      <c r="R29" s="179">
        <f>VALUE(R12-100/100*(R6-R9))</f>
        <v>0</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11702.9656</v>
      </c>
      <c r="I30" s="187"/>
      <c r="J30" s="186">
        <f>VALUE(J12-123.6/100*(J6-J9))</f>
        <v>12086.354000000001</v>
      </c>
      <c r="K30" s="186"/>
      <c r="L30" s="186">
        <f>VALUE(L12-123.6/100*(L6-L9))</f>
        <v>1424.428200000001</v>
      </c>
      <c r="M30" s="186"/>
      <c r="N30" s="186">
        <f>VALUE(N12-123.6/100*(N6-N9))</f>
        <v>401.82360000000045</v>
      </c>
      <c r="O30" s="187"/>
      <c r="P30" s="186">
        <f>VALUE(P12-123.6/100*(P6-P9))</f>
        <v>11741.1958</v>
      </c>
      <c r="Q30" s="186"/>
      <c r="R30" s="186">
        <f>VALUE(R12-123.6/100*(R6-R9))</f>
        <v>0</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11737.217200000001</v>
      </c>
      <c r="I31" s="175"/>
      <c r="J31" s="174">
        <f>VALUE(J12-138.2/100*(J6-J9))</f>
        <v>12148.623000000001</v>
      </c>
      <c r="K31" s="176"/>
      <c r="L31" s="174">
        <f>VALUE(L12-138.2/100*(L6-L9))</f>
        <v>1592.6859000000009</v>
      </c>
      <c r="M31" s="174"/>
      <c r="N31" s="174">
        <f>VALUE(N12-138.2/100*(N6-N9))</f>
        <v>449.28820000000047</v>
      </c>
      <c r="O31" s="175"/>
      <c r="P31" s="174">
        <f>VALUE(P12-138.2/100*(P6-P9))</f>
        <v>11756.7521</v>
      </c>
      <c r="Q31" s="176"/>
      <c r="R31" s="174">
        <f>VALUE(R12-138.2/100*(R6-R9))</f>
        <v>0</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11764.900000000001</v>
      </c>
      <c r="I32" s="175"/>
      <c r="J32" s="174">
        <f>VALUE(J12-150/100*(J6-J9))</f>
        <v>12198.95</v>
      </c>
      <c r="K32" s="176"/>
      <c r="L32" s="174">
        <f>VALUE(L12-150/100*(L6-L9))</f>
        <v>1728.6750000000011</v>
      </c>
      <c r="M32" s="174"/>
      <c r="N32" s="174">
        <f>VALUE(N12-150/100*(N6-N9))</f>
        <v>487.65000000000055</v>
      </c>
      <c r="O32" s="175"/>
      <c r="P32" s="174">
        <f>VALUE(P12-150/100*(P6-P9))</f>
        <v>11769.324999999999</v>
      </c>
      <c r="Q32" s="176"/>
      <c r="R32" s="174">
        <f>VALUE(R12-150/100*(R6-R9))</f>
        <v>0</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11792.5828</v>
      </c>
      <c r="I33" s="184"/>
      <c r="J33" s="183">
        <f>VALUE(J12-161.8/100*(J6-J9))</f>
        <v>12249.277</v>
      </c>
      <c r="K33" s="183"/>
      <c r="L33" s="183">
        <f>VALUE(L12-161.8/100*(L6-L9))</f>
        <v>1864.6641000000013</v>
      </c>
      <c r="M33" s="183"/>
      <c r="N33" s="183">
        <f>VALUE(N12-161.8/100*(N6-N9))</f>
        <v>526.01180000000068</v>
      </c>
      <c r="O33" s="184"/>
      <c r="P33" s="183">
        <f>VALUE(P12-161.8/100*(P6-P9))</f>
        <v>11781.897899999998</v>
      </c>
      <c r="Q33" s="183"/>
      <c r="R33" s="183">
        <f>VALUE(R12-161.8/100*(R6-R9))</f>
        <v>0</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11811.98422</v>
      </c>
      <c r="I34" s="175"/>
      <c r="J34" s="174">
        <f>VALUE(J12-170.07/100*(J6-J9))</f>
        <v>12284.548550000001</v>
      </c>
      <c r="K34" s="176"/>
      <c r="L34" s="174">
        <f>VALUE(L12-170.07/100*(L6-L9))</f>
        <v>1959.971715000001</v>
      </c>
      <c r="M34" s="174"/>
      <c r="N34" s="174">
        <f>VALUE(N12-170.07/100*(N6-N9))</f>
        <v>552.89757000000054</v>
      </c>
      <c r="O34" s="175"/>
      <c r="P34" s="174">
        <f>VALUE(P12-170.07/100*(P6-P9))</f>
        <v>11790.709584999999</v>
      </c>
      <c r="Q34" s="176"/>
      <c r="R34" s="174">
        <f>VALUE(R12-170.07/100*(R6-R9))</f>
        <v>0</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11882.2</v>
      </c>
      <c r="I35" s="180"/>
      <c r="J35" s="179">
        <f>VALUE(J12-200/100*(J6-J9))</f>
        <v>12412.2</v>
      </c>
      <c r="K35" s="179"/>
      <c r="L35" s="179">
        <f>VALUE(L12-200/100*(L6-L9))</f>
        <v>2304.9000000000015</v>
      </c>
      <c r="M35" s="179"/>
      <c r="N35" s="179">
        <f>VALUE(N12-200/100*(N6-N9))</f>
        <v>650.20000000000073</v>
      </c>
      <c r="O35" s="180"/>
      <c r="P35" s="179">
        <f>VALUE(P12-200/100*(P6-P9))</f>
        <v>11822.599999999999</v>
      </c>
      <c r="Q35" s="179"/>
      <c r="R35" s="179">
        <f>VALUE(R12-200/100*(R6-R9))</f>
        <v>0</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11937.565600000002</v>
      </c>
      <c r="I36" s="175"/>
      <c r="J36" s="174">
        <f>VALUE(J12-223.6/100*(J6-J9))</f>
        <v>12512.854000000001</v>
      </c>
      <c r="K36" s="176"/>
      <c r="L36" s="174">
        <f>VALUE(L12-223.6/100*(L6-L9))</f>
        <v>2576.8782000000015</v>
      </c>
      <c r="M36" s="174"/>
      <c r="N36" s="174">
        <f>VALUE(N12-223.6/100*(N6-N9))</f>
        <v>726.92360000000076</v>
      </c>
      <c r="O36" s="175"/>
      <c r="P36" s="174">
        <f>VALUE(P12-223.6/100*(P6-P9))</f>
        <v>11847.745799999999</v>
      </c>
      <c r="Q36" s="176"/>
      <c r="R36" s="174">
        <f>VALUE(R12-223.6/100*(R6-R9))</f>
        <v>0</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11971.817200000001</v>
      </c>
      <c r="I37" s="180"/>
      <c r="J37" s="179">
        <f>VALUE(J12-238.2/100*(J6-J9))</f>
        <v>12575.123000000001</v>
      </c>
      <c r="K37" s="179"/>
      <c r="L37" s="179">
        <f>VALUE(L12-238.2/100*(L6-L9))</f>
        <v>2745.1359000000011</v>
      </c>
      <c r="M37" s="179"/>
      <c r="N37" s="179">
        <f>VALUE(N12-238.2/100*(N6-N9))</f>
        <v>774.38820000000078</v>
      </c>
      <c r="O37" s="180"/>
      <c r="P37" s="179">
        <f>VALUE(P12-238.2/100*(P6-P9))</f>
        <v>11863.302099999999</v>
      </c>
      <c r="Q37" s="179"/>
      <c r="R37" s="179">
        <f>VALUE(R12-238.2/100*(R6-R9))</f>
        <v>0</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12027.1828</v>
      </c>
      <c r="I38" s="180"/>
      <c r="J38" s="179">
        <f>VALUE(J12-261.8/100*(J6-J9))</f>
        <v>12675.777000000002</v>
      </c>
      <c r="K38" s="179"/>
      <c r="L38" s="179">
        <f>VALUE(L12-261.8/100*(L6-L9))</f>
        <v>3017.1141000000025</v>
      </c>
      <c r="M38" s="179"/>
      <c r="N38" s="179">
        <f>VALUE(N12-261.8/100*(N6-N9))</f>
        <v>851.11180000000104</v>
      </c>
      <c r="O38" s="180"/>
      <c r="P38" s="179">
        <f>VALUE(P12-261.8/100*(P6-P9))</f>
        <v>11888.447899999997</v>
      </c>
      <c r="Q38" s="179"/>
      <c r="R38" s="179">
        <f>VALUE(R12-261.8/100*(R6-R9))</f>
        <v>0</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12116.800000000001</v>
      </c>
      <c r="I39" s="180"/>
      <c r="J39" s="179">
        <f>VALUE(J12-300/100*(J6-J9))</f>
        <v>12838.7</v>
      </c>
      <c r="K39" s="179"/>
      <c r="L39" s="179">
        <f>VALUE(L12-300/100*(L6-L9))</f>
        <v>3457.3500000000022</v>
      </c>
      <c r="M39" s="179"/>
      <c r="N39" s="179">
        <f>VALUE(N12-300/100*(N6-N9))</f>
        <v>975.30000000000109</v>
      </c>
      <c r="O39" s="180"/>
      <c r="P39" s="179">
        <f>VALUE(P12-300/100*(P6-P9))</f>
        <v>11929.149999999998</v>
      </c>
      <c r="Q39" s="179"/>
      <c r="R39" s="179">
        <f>VALUE(R12-300/100*(R6-R9))</f>
        <v>0</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12172.1656</v>
      </c>
      <c r="I40" s="175"/>
      <c r="J40" s="174">
        <f>VALUE(J12-323.6/100*(J6-J9))</f>
        <v>12939.354000000001</v>
      </c>
      <c r="K40" s="176"/>
      <c r="L40" s="174">
        <f>VALUE(L12-323.6/100*(L6-L9))</f>
        <v>3729.3282000000027</v>
      </c>
      <c r="M40" s="174"/>
      <c r="N40" s="174">
        <f>VALUE(N12-323.6/100*(N6-N9))</f>
        <v>1052.0236000000014</v>
      </c>
      <c r="O40" s="175"/>
      <c r="P40" s="174">
        <f>VALUE(P12-323.6/100*(P6-P9))</f>
        <v>11954.295799999998</v>
      </c>
      <c r="Q40" s="176"/>
      <c r="R40" s="174">
        <f>VALUE(R12-323.6/100*(R6-R9))</f>
        <v>0</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12206.417200000002</v>
      </c>
      <c r="I41" s="180"/>
      <c r="J41" s="179">
        <f>VALUE(J12-338.2/100*(J6-J9))</f>
        <v>13001.623</v>
      </c>
      <c r="K41" s="179"/>
      <c r="L41" s="179">
        <f>VALUE(L12-338.2/100*(L6-L9))</f>
        <v>3897.5859000000019</v>
      </c>
      <c r="M41" s="179"/>
      <c r="N41" s="179">
        <f>VALUE(N12-338.2/100*(N6-N9))</f>
        <v>1099.4882000000011</v>
      </c>
      <c r="O41" s="180"/>
      <c r="P41" s="179">
        <f>VALUE(P12-338.2/100*(P6-P9))</f>
        <v>11969.852099999998</v>
      </c>
      <c r="Q41" s="179"/>
      <c r="R41" s="179">
        <f>VALUE(R12-338.2/100*(R6-R9))</f>
        <v>0</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12261.782800000001</v>
      </c>
      <c r="I42" s="180"/>
      <c r="J42" s="179">
        <f>VALUE(J12-361.8/100*(J6-J9))</f>
        <v>13102.277000000002</v>
      </c>
      <c r="K42" s="179"/>
      <c r="L42" s="179">
        <f>VALUE(L12-361.8/100*(L6-L9))</f>
        <v>4169.5641000000032</v>
      </c>
      <c r="M42" s="179"/>
      <c r="N42" s="179">
        <f>VALUE(N12-361.8/100*(N6-N9))</f>
        <v>1176.2118000000014</v>
      </c>
      <c r="O42" s="180"/>
      <c r="P42" s="179">
        <f>VALUE(P12-361.8/100*(P6-P9))</f>
        <v>11994.997899999997</v>
      </c>
      <c r="Q42" s="179"/>
      <c r="R42" s="179">
        <f>VALUE(R12-361.8/100*(R6-R9))</f>
        <v>0</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12351.400000000001</v>
      </c>
      <c r="I43" s="180"/>
      <c r="J43" s="179">
        <f>VALUE(J12-400/100*(J6-J9))</f>
        <v>13265.2</v>
      </c>
      <c r="K43" s="179"/>
      <c r="L43" s="179">
        <f>VALUE(L12-400/100*(L6-L9))</f>
        <v>4609.8000000000029</v>
      </c>
      <c r="M43" s="179"/>
      <c r="N43" s="179">
        <f>VALUE(N12-400/100*(N6-N9))</f>
        <v>1300.4000000000015</v>
      </c>
      <c r="O43" s="180"/>
      <c r="P43" s="179">
        <f>VALUE(P12-400/100*(P6-P9))</f>
        <v>12035.699999999997</v>
      </c>
      <c r="Q43" s="179"/>
      <c r="R43" s="179">
        <f>VALUE(R12-400/100*(R6-R9))</f>
        <v>0</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12406.765600000002</v>
      </c>
      <c r="I44" s="175"/>
      <c r="J44" s="174">
        <f>VALUE(J12-423.6/100*(J6-J9))</f>
        <v>13365.854000000001</v>
      </c>
      <c r="K44" s="176"/>
      <c r="L44" s="174">
        <f>VALUE(L12-423.6/100*(L6-L9))</f>
        <v>4881.7782000000043</v>
      </c>
      <c r="M44" s="174"/>
      <c r="N44" s="174">
        <f>VALUE(N12-423.6/100*(N6-N9))</f>
        <v>1377.1236000000017</v>
      </c>
      <c r="O44" s="175"/>
      <c r="P44" s="174">
        <f>VALUE(P12-423.6/100*(P6-P9))</f>
        <v>12060.845799999997</v>
      </c>
      <c r="Q44" s="176"/>
      <c r="R44" s="174">
        <f>VALUE(R12-423.6/100*(R6-R9))</f>
        <v>0</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12441.017200000002</v>
      </c>
      <c r="I45" s="175"/>
      <c r="J45" s="174">
        <f>VALUE(J12-438.2/100*(J6-J9))</f>
        <v>13428.123</v>
      </c>
      <c r="K45" s="176"/>
      <c r="L45" s="174">
        <f>VALUE(L12-438.2/100*(L6-L9))</f>
        <v>5050.0359000000026</v>
      </c>
      <c r="M45" s="174"/>
      <c r="N45" s="174">
        <f>VALUE(N12-438.2/100*(N6-N9))</f>
        <v>1424.5882000000015</v>
      </c>
      <c r="O45" s="175"/>
      <c r="P45" s="174">
        <f>VALUE(P12-438.2/100*(P6-P9))</f>
        <v>12076.402099999998</v>
      </c>
      <c r="Q45" s="176"/>
      <c r="R45" s="174">
        <f>VALUE(R12-438.2/100*(R6-R9))</f>
        <v>0</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12496.382800000001</v>
      </c>
      <c r="I46" s="175"/>
      <c r="J46" s="174">
        <f>VALUE(J12-461.8/100*(J6-J9))</f>
        <v>13528.777000000002</v>
      </c>
      <c r="K46" s="176"/>
      <c r="L46" s="174">
        <f>VALUE(L12-461.8/100*(L6-L9))</f>
        <v>5322.014100000004</v>
      </c>
      <c r="M46" s="174"/>
      <c r="N46" s="174">
        <f>VALUE(N12-461.8/100*(N6-N9))</f>
        <v>1501.3118000000018</v>
      </c>
      <c r="O46" s="175"/>
      <c r="P46" s="174">
        <f>VALUE(P12-461.8/100*(P6-P9))</f>
        <v>12101.547899999996</v>
      </c>
      <c r="Q46" s="176"/>
      <c r="R46" s="174">
        <f>VALUE(R12-461.8/100*(R6-R9))</f>
        <v>0</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12586.000000000002</v>
      </c>
      <c r="I47" s="175"/>
      <c r="J47" s="174">
        <f>VALUE(J12-500/100*(J6-J9))</f>
        <v>13691.7</v>
      </c>
      <c r="K47" s="176"/>
      <c r="L47" s="174">
        <f>VALUE(L12-500/100*(L6-L9))</f>
        <v>5762.2500000000036</v>
      </c>
      <c r="M47" s="174"/>
      <c r="N47" s="174">
        <f>VALUE(N12-500/100*(N6-N9))</f>
        <v>1625.5000000000018</v>
      </c>
      <c r="O47" s="175"/>
      <c r="P47" s="174">
        <f>VALUE(P12-500/100*(P6-P9))</f>
        <v>12142.249999999996</v>
      </c>
      <c r="Q47" s="176"/>
      <c r="R47" s="174">
        <f>VALUE(R12-500/100*(R6-R9))</f>
        <v>0</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12641.365600000003</v>
      </c>
      <c r="I48" s="175"/>
      <c r="J48" s="174">
        <f>VALUE(J12-523.6/100*(J6-J9))</f>
        <v>13792.354000000001</v>
      </c>
      <c r="K48" s="176"/>
      <c r="L48" s="174">
        <f>VALUE(L12-523.6/100*(L6-L9))</f>
        <v>6034.228200000005</v>
      </c>
      <c r="M48" s="174"/>
      <c r="N48" s="174">
        <f>VALUE(N12-523.6/100*(N6-N9))</f>
        <v>1702.2236000000021</v>
      </c>
      <c r="O48" s="175"/>
      <c r="P48" s="174">
        <f>VALUE(P12-523.6/100*(P6-P9))</f>
        <v>12167.395799999997</v>
      </c>
      <c r="Q48" s="176"/>
      <c r="R48" s="174">
        <f>VALUE(R12-523.6/100*(R6-R9))</f>
        <v>0</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12675.617200000002</v>
      </c>
      <c r="I49" s="175"/>
      <c r="J49" s="174">
        <f>VALUE(J12-538.2/100*(J6-J9))</f>
        <v>13854.623000000001</v>
      </c>
      <c r="K49" s="176"/>
      <c r="L49" s="174">
        <f>VALUE(L12-538.2/100*(L6-L9))</f>
        <v>6202.4859000000042</v>
      </c>
      <c r="M49" s="174"/>
      <c r="N49" s="174">
        <f>VALUE(N12-538.2/100*(N6-N9))</f>
        <v>1749.6882000000021</v>
      </c>
      <c r="O49" s="175"/>
      <c r="P49" s="174">
        <f>VALUE(P12-538.2/100*(P6-P9))</f>
        <v>12182.952099999997</v>
      </c>
      <c r="Q49" s="176"/>
      <c r="R49" s="174">
        <f>VALUE(R12-538.2/100*(R6-R9))</f>
        <v>0</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12730.982800000002</v>
      </c>
      <c r="I50" s="175"/>
      <c r="J50" s="174">
        <f>VALUE(J12-561.8/100*(J6-J9))</f>
        <v>13955.277</v>
      </c>
      <c r="K50" s="176"/>
      <c r="L50" s="174">
        <f>VALUE(L12-561.8/100*(L6-L9))</f>
        <v>6474.4641000000038</v>
      </c>
      <c r="M50" s="174"/>
      <c r="N50" s="174">
        <f>VALUE(N12-561.8/100*(N6-N9))</f>
        <v>1826.4118000000019</v>
      </c>
      <c r="O50" s="175"/>
      <c r="P50" s="174">
        <f>VALUE(P12-561.8/100*(P6-P9))</f>
        <v>12208.097899999995</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91" customWidth="1"/>
    <col min="2" max="252" width="8.77734375" style="91" customWidth="1"/>
  </cols>
  <sheetData>
    <row r="1" spans="1:1" ht="187.2" x14ac:dyDescent="0.3">
      <c r="A1" s="10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75"/>
  <sheetViews>
    <sheetView showGridLines="0" topLeftCell="CB1" zoomScaleNormal="100" workbookViewId="0">
      <selection activeCell="CK1" sqref="CK1:CO1048576"/>
    </sheetView>
  </sheetViews>
  <sheetFormatPr defaultColWidth="8.77734375" defaultRowHeight="14.55" customHeight="1" x14ac:dyDescent="0.3"/>
  <cols>
    <col min="1" max="4" width="8.77734375" style="33" customWidth="1"/>
    <col min="5" max="49" width="10.77734375" style="33" customWidth="1"/>
    <col min="50" max="93" width="10.77734375" style="91" customWidth="1"/>
    <col min="94" max="300" width="8.77734375" style="33" customWidth="1"/>
  </cols>
  <sheetData>
    <row r="1" spans="1:93" ht="14.55" customHeight="1" x14ac:dyDescent="0.3">
      <c r="A1" s="219"/>
      <c r="B1" s="220"/>
      <c r="C1" s="220"/>
      <c r="D1" s="22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row>
    <row r="2" spans="1:9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row>
    <row r="3" spans="1:9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row>
    <row r="4" spans="1:9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row>
    <row r="5" spans="1:93" ht="14.55" customHeight="1" x14ac:dyDescent="0.3">
      <c r="A5" s="217" t="s">
        <v>5</v>
      </c>
      <c r="B5" s="218"/>
      <c r="C5" s="218"/>
      <c r="D5" s="21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O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row>
    <row r="7" spans="1:9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O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row>
    <row r="8" spans="1:9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O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row>
    <row r="9" spans="1:9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O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row>
    <row r="10" spans="1:9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O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row>
    <row r="11" spans="1:9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O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row>
    <row r="12" spans="1:9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O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row>
    <row r="14" spans="1:9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O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row>
    <row r="15" spans="1:9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O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row>
    <row r="16" spans="1:9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O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row>
    <row r="18" spans="1:9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O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row>
    <row r="19" spans="1:9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O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row>
    <row r="20" spans="1:9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O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row>
    <row r="21" spans="1:9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O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row>
    <row r="22" spans="1:9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O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row>
    <row r="23" spans="1:93" ht="14.55" customHeight="1" x14ac:dyDescent="0.3">
      <c r="A23" s="217" t="s">
        <v>21</v>
      </c>
      <c r="B23" s="218"/>
      <c r="C23" s="218"/>
      <c r="D23" s="21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row>
    <row r="24" spans="1:9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O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row>
    <row r="25" spans="1:9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O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row>
    <row r="26" spans="1:9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O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row>
    <row r="27" spans="1:9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O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row>
    <row r="28" spans="1:9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O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row>
    <row r="29" spans="1:9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O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row>
    <row r="30" spans="1:9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O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row>
    <row r="31" spans="1:9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O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row>
    <row r="32" spans="1:9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O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row>
    <row r="33" spans="1:9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O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row>
    <row r="34" spans="1:9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O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row>
    <row r="35" spans="1:9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O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row>
    <row r="36" spans="1:9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O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row>
    <row r="37" spans="1:93" ht="14.55" customHeight="1" x14ac:dyDescent="0.3">
      <c r="A37" s="217" t="s">
        <v>34</v>
      </c>
      <c r="B37" s="218"/>
      <c r="C37" s="218"/>
      <c r="D37" s="21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row>
    <row r="38" spans="1:9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row>
    <row r="39" spans="1:9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row>
    <row r="40" spans="1:9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row>
    <row r="41" spans="1:9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row>
    <row r="42" spans="1:9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row>
    <row r="43" spans="1:9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O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row>
    <row r="44" spans="1:9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row>
    <row r="45" spans="1:9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row>
    <row r="46" spans="1:9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row>
    <row r="47" spans="1:9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row>
    <row r="48" spans="1:9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row>
    <row r="49" spans="1:93" ht="14.55" customHeight="1" x14ac:dyDescent="0.3">
      <c r="A49" s="217" t="s">
        <v>45</v>
      </c>
      <c r="B49" s="218"/>
      <c r="C49" s="218"/>
      <c r="D49" s="21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row>
    <row r="50" spans="1:9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O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row>
    <row r="51" spans="1:9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O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row>
    <row r="52" spans="1:9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O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row>
    <row r="53" spans="1:9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O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row>
    <row r="54" spans="1:9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O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row>
    <row r="55" spans="1:9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O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row>
    <row r="56" spans="1:9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O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row>
    <row r="57" spans="1:9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O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row>
    <row r="58" spans="1:9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2019-04-07T19:31:02Z</dcterms:modified>
</cp:coreProperties>
</file>