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W38" sheetId="8" r:id="rId2"/>
    <sheet name="Emeter" sheetId="7"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I61" i="2" l="1"/>
  <c r="I60" i="2" s="1"/>
  <c r="I63" i="2" s="1"/>
  <c r="I59" i="2"/>
  <c r="I62" i="2" s="1"/>
  <c r="I58" i="2"/>
  <c r="I56" i="2"/>
  <c r="I46" i="2"/>
  <c r="I30" i="2"/>
  <c r="I24" i="2"/>
  <c r="I36" i="2" s="1"/>
  <c r="I18" i="2"/>
  <c r="I14" i="2"/>
  <c r="I10" i="2"/>
  <c r="I11" i="2" s="1"/>
  <c r="I6" i="2" l="1"/>
  <c r="I20" i="2"/>
  <c r="I19" i="2" s="1"/>
  <c r="I17" i="2"/>
  <c r="I15" i="2"/>
  <c r="I13" i="2"/>
  <c r="I8" i="2"/>
  <c r="I9" i="2" s="1"/>
  <c r="I22" i="2"/>
  <c r="I21" i="2" s="1"/>
  <c r="I57" i="2"/>
  <c r="HE61" i="6"/>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61" i="2"/>
  <c r="H59" i="2"/>
  <c r="H62" i="2" s="1"/>
  <c r="H58" i="2"/>
  <c r="H56" i="2"/>
  <c r="H46" i="2"/>
  <c r="H30" i="2"/>
  <c r="H24" i="2"/>
  <c r="H36" i="2" s="1"/>
  <c r="H14" i="2"/>
  <c r="H10" i="2" s="1"/>
  <c r="H11" i="2" s="1"/>
  <c r="I33" i="2" l="1"/>
  <c r="I29" i="2"/>
  <c r="I32" i="2"/>
  <c r="I28" i="2"/>
  <c r="I34" i="2"/>
  <c r="I35" i="2" s="1"/>
  <c r="I31" i="2"/>
  <c r="I27" i="2"/>
  <c r="I26" i="2"/>
  <c r="I25" i="2" s="1"/>
  <c r="I7" i="2"/>
  <c r="HB6" i="6"/>
  <c r="HB7" i="6" s="1"/>
  <c r="HC13" i="6"/>
  <c r="HB13" i="6"/>
  <c r="HB9" i="6"/>
  <c r="HE13" i="6"/>
  <c r="H60" i="2"/>
  <c r="H63" i="2" s="1"/>
  <c r="H15" i="2" s="1"/>
  <c r="H18" i="2"/>
  <c r="H17" i="2" s="1"/>
  <c r="H20" i="2"/>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C25" i="6" s="1"/>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8" i="2"/>
  <c r="H9" i="2" s="1"/>
  <c r="H57" i="2"/>
  <c r="H6" i="2"/>
  <c r="G61" i="2"/>
  <c r="G59" i="2"/>
  <c r="G62" i="2" s="1"/>
  <c r="G58" i="2"/>
  <c r="G56" i="2"/>
  <c r="G57" i="2" s="1"/>
  <c r="G46" i="2"/>
  <c r="G30" i="2"/>
  <c r="G24" i="2"/>
  <c r="G36" i="2" s="1"/>
  <c r="G14" i="2"/>
  <c r="G20" i="2" s="1"/>
  <c r="H13" i="2" l="1"/>
  <c r="H22" i="2"/>
  <c r="H21" i="2" s="1"/>
  <c r="H19" i="2"/>
  <c r="HD21" i="6"/>
  <c r="HE35" i="6"/>
  <c r="HB35" i="6"/>
  <c r="HB22" i="6"/>
  <c r="HB21" i="6" s="1"/>
  <c r="HB19" i="6"/>
  <c r="HE22" i="6"/>
  <c r="HE21" i="6" s="1"/>
  <c r="HE19" i="6"/>
  <c r="HC22" i="6"/>
  <c r="HC21" i="6" s="1"/>
  <c r="HC19" i="6"/>
  <c r="HE25" i="6"/>
  <c r="HC35" i="6"/>
  <c r="HD35" i="6"/>
  <c r="HB25" i="6"/>
  <c r="H7" i="2"/>
  <c r="H33" i="2"/>
  <c r="H29" i="2"/>
  <c r="H34" i="2"/>
  <c r="H35" i="2" s="1"/>
  <c r="H26" i="2"/>
  <c r="H32" i="2"/>
  <c r="H28" i="2"/>
  <c r="H31" i="2"/>
  <c r="H27" i="2"/>
  <c r="G33" i="2"/>
  <c r="G29" i="2"/>
  <c r="G26" i="2"/>
  <c r="G32" i="2"/>
  <c r="G28" i="2"/>
  <c r="G31" i="2"/>
  <c r="G27" i="2"/>
  <c r="G34" i="2"/>
  <c r="G60" i="2"/>
  <c r="G63" i="2" s="1"/>
  <c r="G15" i="2" s="1"/>
  <c r="G8" i="2"/>
  <c r="G18" i="2"/>
  <c r="G10" i="2"/>
  <c r="GR61" i="6"/>
  <c r="GR59" i="6"/>
  <c r="GR62" i="6" s="1"/>
  <c r="GR60" i="6" s="1"/>
  <c r="GR63" i="6" s="1"/>
  <c r="GR58" i="6"/>
  <c r="GR56" i="6"/>
  <c r="GR57" i="6" s="1"/>
  <c r="GR46" i="6"/>
  <c r="GR30" i="6"/>
  <c r="GR24" i="6"/>
  <c r="GR36" i="6" s="1"/>
  <c r="GR14" i="6"/>
  <c r="GR20" i="6" s="1"/>
  <c r="GY62" i="6"/>
  <c r="GY60" i="6" s="1"/>
  <c r="GY63" i="6" s="1"/>
  <c r="HA61" i="6"/>
  <c r="GZ61" i="6"/>
  <c r="GY61" i="6"/>
  <c r="GX61" i="6"/>
  <c r="GW61" i="6"/>
  <c r="GV61" i="6"/>
  <c r="GU61" i="6"/>
  <c r="GT61" i="6"/>
  <c r="GS61" i="6"/>
  <c r="HA59" i="6"/>
  <c r="HA62" i="6" s="1"/>
  <c r="GZ59" i="6"/>
  <c r="GZ62" i="6" s="1"/>
  <c r="GY59" i="6"/>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GV57" i="6"/>
  <c r="GV34" i="6" s="1"/>
  <c r="HA56" i="6"/>
  <c r="HA57" i="6" s="1"/>
  <c r="GZ56" i="6"/>
  <c r="GZ57" i="6" s="1"/>
  <c r="GY56" i="6"/>
  <c r="GY57" i="6" s="1"/>
  <c r="GY32" i="6" s="1"/>
  <c r="GX56" i="6"/>
  <c r="GX57" i="6" s="1"/>
  <c r="GW56" i="6"/>
  <c r="GW57" i="6" s="1"/>
  <c r="GV56" i="6"/>
  <c r="GU56" i="6"/>
  <c r="GU57" i="6" s="1"/>
  <c r="GT56" i="6"/>
  <c r="GT57" i="6" s="1"/>
  <c r="GT31" i="6" s="1"/>
  <c r="GS56" i="6"/>
  <c r="GS57" i="6" s="1"/>
  <c r="HA46" i="6"/>
  <c r="GZ46" i="6"/>
  <c r="GY46" i="6"/>
  <c r="GX46" i="6"/>
  <c r="GW46" i="6"/>
  <c r="GV46" i="6"/>
  <c r="GU46" i="6"/>
  <c r="GT46" i="6"/>
  <c r="GS46" i="6"/>
  <c r="GU36" i="6"/>
  <c r="HA34" i="6"/>
  <c r="GS34" i="6"/>
  <c r="GV33" i="6"/>
  <c r="HA30" i="6"/>
  <c r="GZ30" i="6"/>
  <c r="GY30" i="6"/>
  <c r="GX30" i="6"/>
  <c r="GW30" i="6"/>
  <c r="GV30" i="6"/>
  <c r="GU30" i="6"/>
  <c r="GT30" i="6"/>
  <c r="GS30" i="6"/>
  <c r="GU28" i="6"/>
  <c r="HA26" i="6"/>
  <c r="GW26" i="6"/>
  <c r="GS26" i="6"/>
  <c r="HA24" i="6"/>
  <c r="HA36" i="6" s="1"/>
  <c r="GZ24" i="6"/>
  <c r="GZ36" i="6" s="1"/>
  <c r="GY24" i="6"/>
  <c r="GY36" i="6" s="1"/>
  <c r="GX24" i="6"/>
  <c r="GX36" i="6" s="1"/>
  <c r="GW24" i="6"/>
  <c r="GW36" i="6" s="1"/>
  <c r="GV24" i="6"/>
  <c r="GV36" i="6" s="1"/>
  <c r="GU24" i="6"/>
  <c r="GT24" i="6"/>
  <c r="GT36" i="6" s="1"/>
  <c r="GS24" i="6"/>
  <c r="GS36" i="6" s="1"/>
  <c r="HA14" i="6"/>
  <c r="GZ14" i="6"/>
  <c r="GZ20" i="6" s="1"/>
  <c r="GY14" i="6"/>
  <c r="GX14" i="6"/>
  <c r="GX20" i="6" s="1"/>
  <c r="GW14" i="6"/>
  <c r="GV14" i="6"/>
  <c r="GV20" i="6" s="1"/>
  <c r="GU14" i="6"/>
  <c r="GT14" i="6"/>
  <c r="GT10" i="6" s="1"/>
  <c r="GT11" i="6" s="1"/>
  <c r="GS14" i="6"/>
  <c r="GZ10" i="6"/>
  <c r="GZ11" i="6" s="1"/>
  <c r="GV10" i="6"/>
  <c r="GV11" i="6" s="1"/>
  <c r="GZ8" i="6"/>
  <c r="GZ9" i="6" s="1"/>
  <c r="GV8" i="6"/>
  <c r="GZ6" i="6"/>
  <c r="GS60" i="6" l="1"/>
  <c r="GS63" i="6" s="1"/>
  <c r="GW60" i="6"/>
  <c r="GW63" i="6" s="1"/>
  <c r="HA60" i="6"/>
  <c r="HA63" i="6" s="1"/>
  <c r="GZ34" i="6"/>
  <c r="GZ35" i="6" s="1"/>
  <c r="GZ31" i="6"/>
  <c r="GZ27" i="6"/>
  <c r="GZ29" i="6"/>
  <c r="GZ33" i="6"/>
  <c r="GX31" i="6"/>
  <c r="GX27" i="6"/>
  <c r="GX8" i="6"/>
  <c r="GX10" i="6"/>
  <c r="GV18" i="6"/>
  <c r="GV17" i="6" s="1"/>
  <c r="GV27" i="6"/>
  <c r="GV29" i="6"/>
  <c r="GV31" i="6"/>
  <c r="GT60" i="6"/>
  <c r="GT63" i="6" s="1"/>
  <c r="GT15" i="6" s="1"/>
  <c r="GX60" i="6"/>
  <c r="GX63" i="6" s="1"/>
  <c r="GX15" i="6" s="1"/>
  <c r="GX18" i="6"/>
  <c r="GX17" i="6"/>
  <c r="GT18" i="6"/>
  <c r="GT19" i="6" s="1"/>
  <c r="GT20" i="6"/>
  <c r="GT8" i="6"/>
  <c r="GZ18" i="6"/>
  <c r="GZ17" i="6" s="1"/>
  <c r="G13" i="2"/>
  <c r="G35" i="2"/>
  <c r="H25" i="2"/>
  <c r="G9" i="2"/>
  <c r="G25" i="2"/>
  <c r="G6" i="2"/>
  <c r="G7" i="2" s="1"/>
  <c r="G11" i="2"/>
  <c r="G19" i="2"/>
  <c r="G17" i="2"/>
  <c r="G22" i="2"/>
  <c r="G21" i="2" s="1"/>
  <c r="GR33" i="6"/>
  <c r="GR29" i="6"/>
  <c r="GR28" i="6"/>
  <c r="GR31" i="6"/>
  <c r="GR27" i="6"/>
  <c r="GR34" i="6"/>
  <c r="GR35" i="6" s="1"/>
  <c r="GR26" i="6"/>
  <c r="GR25" i="6" s="1"/>
  <c r="GR32" i="6"/>
  <c r="GR8" i="6"/>
  <c r="GR13" i="6"/>
  <c r="GR18" i="6"/>
  <c r="GR17" i="6" s="1"/>
  <c r="GR10" i="6"/>
  <c r="GR15" i="6"/>
  <c r="GS18" i="6"/>
  <c r="GS13" i="6"/>
  <c r="GS8" i="6"/>
  <c r="GS20" i="6"/>
  <c r="GS15" i="6"/>
  <c r="GS10" i="6"/>
  <c r="HA18" i="6"/>
  <c r="HA13" i="6"/>
  <c r="HA8" i="6"/>
  <c r="HA9" i="6" s="1"/>
  <c r="HA20" i="6"/>
  <c r="HA15" i="6"/>
  <c r="HA10" i="6"/>
  <c r="GT22" i="6"/>
  <c r="GT21" i="6" s="1"/>
  <c r="GT9" i="6"/>
  <c r="GY28" i="6"/>
  <c r="GT32" i="6"/>
  <c r="GT28" i="6"/>
  <c r="GT33" i="6"/>
  <c r="GT29" i="6"/>
  <c r="GT34" i="6"/>
  <c r="GT35" i="6" s="1"/>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35" i="6" s="1"/>
  <c r="GU26" i="6"/>
  <c r="GU25" i="6" s="1"/>
  <c r="GU31" i="6"/>
  <c r="GU27" i="6"/>
  <c r="GY33" i="6"/>
  <c r="GY29" i="6"/>
  <c r="GY34" i="6"/>
  <c r="GY26" i="6"/>
  <c r="GY31" i="6"/>
  <c r="GY27" i="6"/>
  <c r="GZ7" i="6"/>
  <c r="GX13" i="6"/>
  <c r="GS17" i="6"/>
  <c r="GV21" i="6"/>
  <c r="GU32" i="6"/>
  <c r="GV9" i="6"/>
  <c r="GV6" i="6"/>
  <c r="GV7" i="6" s="1"/>
  <c r="GT13" i="6"/>
  <c r="GT27" i="6"/>
  <c r="GW34" i="6"/>
  <c r="GW35" i="6" s="1"/>
  <c r="GX32" i="6"/>
  <c r="GX28" i="6"/>
  <c r="GX33" i="6"/>
  <c r="GX29" i="6"/>
  <c r="GX34" i="6"/>
  <c r="GX26" i="6"/>
  <c r="GX25" i="6" s="1"/>
  <c r="GV19" i="6"/>
  <c r="GV28" i="6"/>
  <c r="GZ28" i="6"/>
  <c r="GV32" i="6"/>
  <c r="GZ32" i="6"/>
  <c r="GV22" i="6"/>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Z22" i="6" l="1"/>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O13" i="6" l="1"/>
  <c r="GN6" i="6"/>
  <c r="GN7" i="6" s="1"/>
  <c r="GP13" i="6"/>
  <c r="GQ13" i="6"/>
  <c r="GP34" i="6"/>
  <c r="GP33" i="6"/>
  <c r="GP32" i="6"/>
  <c r="GP31" i="6"/>
  <c r="GP29" i="6"/>
  <c r="GP28" i="6"/>
  <c r="GP27" i="6"/>
  <c r="GP26" i="6"/>
  <c r="GP25" i="6" s="1"/>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6" i="6"/>
  <c r="GM7" i="6" s="1"/>
  <c r="GL6" i="6"/>
  <c r="GL7" i="6" s="1"/>
  <c r="GJ6" i="6"/>
  <c r="GJ7" i="6" s="1"/>
  <c r="GJ13" i="6" l="1"/>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I20" i="6"/>
  <c r="GG18" i="6"/>
  <c r="GG17" i="6" s="1"/>
  <c r="GI14" i="6"/>
  <c r="GH14" i="6"/>
  <c r="GH20" i="6" s="1"/>
  <c r="GG14" i="6"/>
  <c r="GG20" i="6" s="1"/>
  <c r="GF14" i="6"/>
  <c r="GF18" i="6" s="1"/>
  <c r="GE14" i="6"/>
  <c r="GI13" i="6"/>
  <c r="GI10" i="6"/>
  <c r="GI11" i="6" s="1"/>
  <c r="GG10" i="6"/>
  <c r="GG11" i="6" s="1"/>
  <c r="GE10" i="6"/>
  <c r="GE11" i="6" s="1"/>
  <c r="GI8" i="6"/>
  <c r="GI9" i="6" s="1"/>
  <c r="GG8" i="6"/>
  <c r="GG9" i="6" s="1"/>
  <c r="GI6" i="6"/>
  <c r="GG6" i="6"/>
  <c r="GG7" i="6" s="1"/>
  <c r="GI7" i="6" l="1"/>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GA60" i="6" s="1"/>
  <c r="GA63"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A20" i="6"/>
  <c r="GD14" i="6"/>
  <c r="GD20" i="6" s="1"/>
  <c r="GC14" i="6"/>
  <c r="GB14" i="6"/>
  <c r="GB18" i="6" s="1"/>
  <c r="GA14" i="6"/>
  <c r="GA18" i="6" s="1"/>
  <c r="FZ14" i="6"/>
  <c r="FZ20" i="6" s="1"/>
  <c r="GA10" i="6"/>
  <c r="GA11" i="6" s="1"/>
  <c r="FZ10" i="6"/>
  <c r="FZ11" i="6" s="1"/>
  <c r="GA8" i="6"/>
  <c r="GA6" i="6"/>
  <c r="GA7" i="6" s="1"/>
  <c r="GC34" i="6" l="1"/>
  <c r="GC31" i="6"/>
  <c r="GC27" i="6"/>
  <c r="GC17" i="6"/>
  <c r="FZ13" i="6"/>
  <c r="GD13" i="6"/>
  <c r="GC10" i="6"/>
  <c r="FZ6" i="6"/>
  <c r="FZ7" i="6" s="1"/>
  <c r="GA9" i="6"/>
  <c r="GC8" i="6"/>
  <c r="GC9" i="6" s="1"/>
  <c r="GD10" i="6"/>
  <c r="GD11" i="6" s="1"/>
  <c r="GC18" i="6"/>
  <c r="GC22" i="6" s="1"/>
  <c r="GB22"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11" i="6" l="1"/>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2" i="6"/>
  <c r="FZ28" i="6"/>
  <c r="FZ31" i="6"/>
  <c r="FZ27" i="6"/>
  <c r="FZ26" i="6"/>
  <c r="FZ25" i="6" s="1"/>
  <c r="GC19" i="6"/>
  <c r="L9" i="9"/>
  <c r="J9" i="9"/>
  <c r="FZ35" i="6" l="1"/>
  <c r="FY63" i="6"/>
  <c r="FX63" i="6"/>
  <c r="FW63" i="6"/>
  <c r="FY61" i="6"/>
  <c r="FY64" i="6" s="1"/>
  <c r="FX61" i="6"/>
  <c r="FX64" i="6" s="1"/>
  <c r="FW61" i="6"/>
  <c r="FW64" i="6" s="1"/>
  <c r="FW62" i="6" s="1"/>
  <c r="FW65"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Y14" i="6"/>
  <c r="FY20" i="6" s="1"/>
  <c r="FX14" i="6"/>
  <c r="FX20" i="6" s="1"/>
  <c r="FW14" i="6"/>
  <c r="FW10" i="6"/>
  <c r="FW11" i="6" s="1"/>
  <c r="FX8" i="6" l="1"/>
  <c r="FX18" i="6"/>
  <c r="FX19" i="6" s="1"/>
  <c r="FY62" i="6"/>
  <c r="FY65" i="6" s="1"/>
  <c r="FY13" i="6" s="1"/>
  <c r="FW8" i="6"/>
  <c r="FW9" i="6" s="1"/>
  <c r="FW20" i="6"/>
  <c r="FW18" i="6"/>
  <c r="FW22" i="6" s="1"/>
  <c r="FW13" i="6"/>
  <c r="FX62" i="6"/>
  <c r="FX65" i="6" s="1"/>
  <c r="FX13" i="6" s="1"/>
  <c r="FW31" i="6"/>
  <c r="FW27" i="6"/>
  <c r="FW32" i="6"/>
  <c r="FW28" i="6"/>
  <c r="FW26" i="6"/>
  <c r="FW33" i="6"/>
  <c r="FW29" i="6"/>
  <c r="FW34" i="6"/>
  <c r="FY33" i="6"/>
  <c r="FY29" i="6"/>
  <c r="FY34" i="6"/>
  <c r="FY35" i="6" s="1"/>
  <c r="FY26" i="6"/>
  <c r="FY31" i="6"/>
  <c r="FY27" i="6"/>
  <c r="FY32" i="6"/>
  <c r="FY28" i="6"/>
  <c r="FX22" i="6"/>
  <c r="FX21" i="6" s="1"/>
  <c r="FW6" i="6"/>
  <c r="FW7" i="6" s="1"/>
  <c r="FY8" i="6"/>
  <c r="FW15" i="6"/>
  <c r="FX17" i="6"/>
  <c r="FY18" i="6"/>
  <c r="FX26" i="6"/>
  <c r="FX25" i="6" s="1"/>
  <c r="FX34" i="6"/>
  <c r="FX10" i="6"/>
  <c r="FX15" i="6"/>
  <c r="FY17" i="6"/>
  <c r="FW19" i="6"/>
  <c r="FX29" i="6"/>
  <c r="FX33" i="6"/>
  <c r="FY10" i="6"/>
  <c r="FX28" i="6"/>
  <c r="FY15" i="6" l="1"/>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V20" i="6" s="1"/>
  <c r="FU14" i="6"/>
  <c r="FT14" i="6"/>
  <c r="FT18" i="6" s="1"/>
  <c r="FS14" i="6"/>
  <c r="FS18" i="6" s="1"/>
  <c r="FR14" i="6"/>
  <c r="FR20" i="6" s="1"/>
  <c r="FV10" i="6"/>
  <c r="FV11" i="6" s="1"/>
  <c r="FU10" i="6"/>
  <c r="FU11" i="6" s="1"/>
  <c r="FR10" i="6"/>
  <c r="FR11" i="6" s="1"/>
  <c r="FU8" i="6"/>
  <c r="FU9" i="6" s="1"/>
  <c r="FT34" i="6" l="1"/>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10" i="6"/>
  <c r="FN11" i="6" s="1"/>
  <c r="FN8" i="6"/>
  <c r="FP34" i="6" l="1"/>
  <c r="FP31" i="6"/>
  <c r="FP27" i="6"/>
  <c r="FN34" i="6"/>
  <c r="FN35" i="6" s="1"/>
  <c r="FN33" i="6"/>
  <c r="FN27" i="6"/>
  <c r="FN32" i="6"/>
  <c r="FN29" i="6"/>
  <c r="FN26" i="6"/>
  <c r="FN25" i="6" s="1"/>
  <c r="FN31" i="6"/>
  <c r="FN28" i="6"/>
  <c r="FM6" i="6"/>
  <c r="FN9" i="6"/>
  <c r="FP8" i="6"/>
  <c r="FQ10" i="6"/>
  <c r="FQ11" i="6" s="1"/>
  <c r="FP18" i="6"/>
  <c r="FP17" i="6" s="1"/>
  <c r="FO54" i="6"/>
  <c r="FO57" i="6" s="1"/>
  <c r="FP10" i="6"/>
  <c r="FN6" i="6"/>
  <c r="FN7" i="6" s="1"/>
  <c r="FM10" i="6"/>
  <c r="FM11" i="6" s="1"/>
  <c r="FN20" i="6"/>
  <c r="FP54" i="6"/>
  <c r="FP57" i="6" s="1"/>
  <c r="FN19" i="6"/>
  <c r="FN22" i="6"/>
  <c r="FN21" i="6" s="1"/>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25" i="6" l="1"/>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H9" i="6" s="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H21" i="6" s="1"/>
  <c r="FL22" i="6"/>
  <c r="FH13" i="6"/>
  <c r="FH15" i="6"/>
  <c r="FL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9" i="6" l="1"/>
  <c r="EZ13" i="6"/>
  <c r="EY7" i="6"/>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T14" i="6"/>
  <c r="ES14" i="6"/>
  <c r="ES18" i="6" s="1"/>
  <c r="ES22" i="6" s="1"/>
  <c r="EU10" i="6"/>
  <c r="EU11"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S15" i="6"/>
  <c r="ET51" i="6"/>
  <c r="ET6" i="6"/>
  <c r="EV13"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T19" i="6" l="1"/>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D14" i="6"/>
  <c r="ED10" i="6" s="1"/>
  <c r="EE14" i="6"/>
  <c r="EE10" i="6" s="1"/>
  <c r="EF14" i="6"/>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M15" i="6" l="1"/>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F13" i="6"/>
  <c r="EG32" i="6" l="1"/>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G35" i="6" l="1"/>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Y17" i="6"/>
  <c r="DW28" i="6"/>
  <c r="DU10" i="6"/>
  <c r="DY15" i="6"/>
  <c r="DX6" i="6"/>
  <c r="DV10" i="6"/>
  <c r="DU17"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13" i="6" l="1"/>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7" i="6"/>
  <c r="CC15" i="6"/>
  <c r="CC18" i="6"/>
  <c r="CB20" i="6"/>
  <c r="CD15" i="6"/>
  <c r="CD18" i="6"/>
  <c r="CD17" i="6" s="1"/>
  <c r="CE15" i="6"/>
  <c r="CE18" i="6"/>
  <c r="CB15" i="6" l="1"/>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H9" i="6" l="1"/>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<sst xmlns="http://schemas.openxmlformats.org/spreadsheetml/2006/main" count="229" uniqueCount="87">
  <si>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</si>
  <si>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</si>
  <si>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</si>
  <si>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</si>
  <si>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</si>
  <si>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</si>
  <si>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</si>
  <si>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</si>
  <si>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</si>
  <si>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</si>
  <si>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</si>
  <si>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</si>
  <si>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</si>
  <si>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</si>
  <si>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</si>
  <si>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</si>
  <si>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</si>
  <si>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</si>
  <si>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</si>
  <si>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</si>
  <si>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</si>
  <si>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</si>
  <si>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</si>
  <si>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</si>
  <si>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</si>
  <si>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</si>
  <si>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</si>
  <si>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</si>
  <si>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</si>
  <si>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</si>
  <si>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</si>
  <si>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</si>
  <si>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</si>
  <si>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</si>
  <si>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</si>
  <si>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</si>
  <si>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</si>
  <si>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</si>
  <si>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</si>
  <si>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</si>
  <si>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</si>
  <si>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</si>
  <si>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</si>
  <si>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</si>
  <si>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</si>
  <si>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</si>
  <si>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</si>
  <si>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</si>
  <si>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</si>
  <si>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</si>
  <si>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</si>
  <si>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</si>
  <si>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</si>
  <si>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</si>
  <si>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</si>
  <si>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</si>
  <si>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</si>
  <si>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</si>
  <si>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</si>
  <si>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</si>
  <si>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</si>
  <si>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</si>
  <si>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</si>
  <si>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</si>
  <si>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</si>
  <si>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</si>
  <si>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</si>
  <si>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</si>
  <si>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</si>
  <si>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</si>
  <si>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</si>
  <si>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</si>
  <si>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</si>
  <si>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</si>
  <si>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</si>
  <si>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</si>
  <si>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</si>
  <si>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</si>
  <si>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</si>
  <si>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</si>
  <si>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</si>
  <si>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38% Ret from 11695</t>
  </si>
  <si>
    <t>38% for entier up move</t>
  </si>
  <si>
    <t>Prev SL Supp</t>
  </si>
  <si>
    <t>11440~53 ~ 63</t>
  </si>
  <si>
    <t>100% Wave C, 23% L Upmove</t>
  </si>
  <si>
    <t>121% Wave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</si>
</sst>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17" fillId="3" borderId="9" xfId="1" applyNumberFormat="1" applyFont="1" applyFill="1" applyBorder="1" applyAlignment="1"/>
    <xf numFmtId="4" fontId="3" fillId="8" borderId="5" xfId="0"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63"/>
  <sheetViews>
    <sheetView showGridLines="0" tabSelected="1" topLeftCell="A18" zoomScale="110" zoomScaleNormal="110" workbookViewId="0">
      <selection activeCell="J38" sqref="J38"/>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2" bestFit="1" customWidth="1"/>
    <col min="13" max="251" width="8.77734375" style="1" customWidth="1"/>
  </cols>
  <sheetData>
    <row r="1" spans="1:11" ht="14.7" customHeight="1" x14ac:dyDescent="0.3">
      <c r="A1" s="235"/>
      <c r="B1" s="236"/>
      <c r="C1" s="236"/>
      <c r="D1" s="236"/>
      <c r="E1" s="2" t="s">
        <v>80</v>
      </c>
      <c r="F1" s="2" t="s">
        <v>1</v>
      </c>
      <c r="G1" s="3">
        <v>43745</v>
      </c>
      <c r="H1" s="3">
        <v>43747</v>
      </c>
      <c r="I1" s="3">
        <v>43748</v>
      </c>
      <c r="J1" s="3"/>
      <c r="K1" s="3"/>
    </row>
    <row r="2" spans="1:11" ht="14.7" customHeight="1" x14ac:dyDescent="0.3">
      <c r="A2" s="4"/>
      <c r="B2" s="5"/>
      <c r="C2" s="5"/>
      <c r="D2" s="6" t="s">
        <v>2</v>
      </c>
      <c r="E2" s="7">
        <v>11694.85</v>
      </c>
      <c r="F2" s="7">
        <v>11554.2</v>
      </c>
      <c r="G2" s="7">
        <v>11233.85</v>
      </c>
      <c r="H2" s="7">
        <v>11321.6</v>
      </c>
      <c r="I2" s="7">
        <v>11293.35</v>
      </c>
      <c r="J2" s="7"/>
      <c r="K2" s="7"/>
    </row>
    <row r="3" spans="1:11" ht="14.7" customHeight="1" x14ac:dyDescent="0.3">
      <c r="A3" s="4"/>
      <c r="B3" s="8"/>
      <c r="C3" s="9"/>
      <c r="D3" s="6" t="s">
        <v>3</v>
      </c>
      <c r="E3" s="10">
        <v>10670.25</v>
      </c>
      <c r="F3" s="10">
        <v>11158.35</v>
      </c>
      <c r="G3" s="10">
        <v>11112.65</v>
      </c>
      <c r="H3" s="10">
        <v>11090.15</v>
      </c>
      <c r="I3" s="10">
        <v>11208.55</v>
      </c>
      <c r="J3" s="10"/>
      <c r="K3" s="10"/>
    </row>
    <row r="4" spans="1:11" ht="14.7" customHeight="1" x14ac:dyDescent="0.3">
      <c r="A4" s="4"/>
      <c r="B4" s="8"/>
      <c r="C4" s="9"/>
      <c r="D4" s="6" t="s">
        <v>4</v>
      </c>
      <c r="E4" s="11">
        <v>11474.45</v>
      </c>
      <c r="F4" s="11">
        <v>11174.75</v>
      </c>
      <c r="G4" s="11">
        <v>11126.4</v>
      </c>
      <c r="H4" s="11">
        <v>11313.3</v>
      </c>
      <c r="I4" s="11">
        <v>11234.55</v>
      </c>
      <c r="J4" s="11"/>
      <c r="K4" s="11"/>
    </row>
    <row r="5" spans="1:11" ht="14.7" customHeight="1" x14ac:dyDescent="0.3">
      <c r="A5" s="233" t="s">
        <v>5</v>
      </c>
      <c r="B5" s="234"/>
      <c r="C5" s="234"/>
      <c r="D5" s="234"/>
      <c r="E5" s="5"/>
      <c r="F5" s="5"/>
      <c r="G5" s="5"/>
      <c r="H5" s="5"/>
      <c r="I5" s="5"/>
      <c r="J5" s="5"/>
      <c r="K5" s="5"/>
    </row>
    <row r="6" spans="1:11" ht="14.7" customHeight="1" x14ac:dyDescent="0.3">
      <c r="A6" s="12"/>
      <c r="B6" s="13"/>
      <c r="C6" s="13"/>
      <c r="D6" s="14" t="s">
        <v>6</v>
      </c>
      <c r="E6" s="15">
        <f t="shared" ref="E6:F6" si="0">E10+E56</f>
        <v>12914.050000000001</v>
      </c>
      <c r="F6" s="15">
        <f t="shared" si="0"/>
        <v>11829.033333333336</v>
      </c>
      <c r="G6" s="15">
        <f t="shared" ref="G6:H6" si="1">G10+G56</f>
        <v>11323.816666666668</v>
      </c>
      <c r="H6" s="15">
        <f t="shared" si="1"/>
        <v>11624.66666666667</v>
      </c>
      <c r="I6" s="15">
        <f t="shared" ref="I6" si="2">I10+I56</f>
        <v>11367.216666666665</v>
      </c>
      <c r="J6" s="15"/>
      <c r="K6" s="15"/>
    </row>
    <row r="7" spans="1:11" ht="14.7" hidden="1" customHeight="1" x14ac:dyDescent="0.3">
      <c r="A7" s="12"/>
      <c r="B7" s="13"/>
      <c r="C7" s="13"/>
      <c r="D7" s="14" t="s">
        <v>7</v>
      </c>
      <c r="E7" s="16">
        <f t="shared" ref="E7:F7" si="3">(E6+E8)/2</f>
        <v>12609.25</v>
      </c>
      <c r="F7" s="16">
        <f t="shared" si="3"/>
        <v>11760.325000000003</v>
      </c>
      <c r="G7" s="16">
        <f t="shared" ref="G7:H7" si="4">(G6+G8)/2</f>
        <v>11301.325000000001</v>
      </c>
      <c r="H7" s="16">
        <f t="shared" si="4"/>
        <v>11548.900000000001</v>
      </c>
      <c r="I7" s="16">
        <f t="shared" ref="I7" si="5">(I6+I8)/2</f>
        <v>11348.75</v>
      </c>
      <c r="J7" s="16"/>
      <c r="K7" s="16"/>
    </row>
    <row r="8" spans="1:11" ht="14.7" customHeight="1" x14ac:dyDescent="0.3">
      <c r="A8" s="12"/>
      <c r="B8" s="13"/>
      <c r="C8" s="13"/>
      <c r="D8" s="14" t="s">
        <v>8</v>
      </c>
      <c r="E8" s="17">
        <f t="shared" ref="E8:F8" si="6">E14+E56</f>
        <v>12304.45</v>
      </c>
      <c r="F8" s="17">
        <f t="shared" si="6"/>
        <v>11691.616666666669</v>
      </c>
      <c r="G8" s="17">
        <f t="shared" ref="G8:H8" si="7">G14+G56</f>
        <v>11278.833333333334</v>
      </c>
      <c r="H8" s="17">
        <f t="shared" si="7"/>
        <v>11473.133333333335</v>
      </c>
      <c r="I8" s="17">
        <f t="shared" ref="I8" si="8">I14+I56</f>
        <v>11330.283333333333</v>
      </c>
      <c r="J8" s="17"/>
      <c r="K8" s="17"/>
    </row>
    <row r="9" spans="1:11" ht="14.7" hidden="1" customHeight="1" x14ac:dyDescent="0.3">
      <c r="A9" s="12"/>
      <c r="B9" s="13"/>
      <c r="C9" s="13"/>
      <c r="D9" s="14" t="s">
        <v>9</v>
      </c>
      <c r="E9" s="16">
        <f t="shared" ref="E9:F9" si="9">(E8+E10)/2</f>
        <v>12096.95</v>
      </c>
      <c r="F9" s="16">
        <f t="shared" si="9"/>
        <v>11562.400000000001</v>
      </c>
      <c r="G9" s="16">
        <f t="shared" ref="G9:H9" si="10">(G8+G10)/2</f>
        <v>11240.725</v>
      </c>
      <c r="H9" s="16">
        <f t="shared" si="10"/>
        <v>11433.175000000003</v>
      </c>
      <c r="I9" s="16">
        <f t="shared" ref="I9" si="11">(I8+I10)/2</f>
        <v>11306.349999999999</v>
      </c>
      <c r="J9" s="16"/>
      <c r="K9" s="16"/>
    </row>
    <row r="10" spans="1:11" ht="14.7" customHeight="1" x14ac:dyDescent="0.3">
      <c r="A10" s="12"/>
      <c r="B10" s="13"/>
      <c r="C10" s="13"/>
      <c r="D10" s="14" t="s">
        <v>10</v>
      </c>
      <c r="E10" s="18">
        <f t="shared" ref="E10:F10" si="12">(2*E14)-E3</f>
        <v>11889.45</v>
      </c>
      <c r="F10" s="18">
        <f t="shared" si="12"/>
        <v>11433.183333333336</v>
      </c>
      <c r="G10" s="18">
        <f t="shared" ref="G10:H10" si="13">(2*G14)-G3</f>
        <v>11202.616666666667</v>
      </c>
      <c r="H10" s="18">
        <f t="shared" si="13"/>
        <v>11393.216666666669</v>
      </c>
      <c r="I10" s="18">
        <f t="shared" ref="I10" si="14">(2*I14)-I3</f>
        <v>11282.416666666664</v>
      </c>
      <c r="J10" s="18"/>
      <c r="K10" s="18"/>
    </row>
    <row r="11" spans="1:11" ht="14.7" hidden="1" customHeight="1" x14ac:dyDescent="0.3">
      <c r="A11" s="12"/>
      <c r="B11" s="13"/>
      <c r="C11" s="13"/>
      <c r="D11" s="14" t="s">
        <v>11</v>
      </c>
      <c r="E11" s="16">
        <f t="shared" ref="E11:F11" si="15">(E10+E14)/2</f>
        <v>11584.650000000001</v>
      </c>
      <c r="F11" s="16">
        <f t="shared" si="15"/>
        <v>11364.475000000002</v>
      </c>
      <c r="G11" s="16">
        <f t="shared" ref="G11:H11" si="16">(G10+G14)/2</f>
        <v>11180.125</v>
      </c>
      <c r="H11" s="16">
        <f t="shared" si="16"/>
        <v>11317.45</v>
      </c>
      <c r="I11" s="16">
        <f t="shared" ref="I11" si="17">(I10+I14)/2</f>
        <v>11263.949999999997</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18">E14+E63/2</f>
        <v>11377.150000000001</v>
      </c>
      <c r="F13" s="20">
        <f t="shared" si="18"/>
        <v>11356.275000000001</v>
      </c>
      <c r="G13" s="20">
        <f t="shared" ref="G13:H13" si="19">G14+G63/2</f>
        <v>11173.25</v>
      </c>
      <c r="H13" s="20">
        <f t="shared" si="19"/>
        <v>11277.491666666669</v>
      </c>
      <c r="I13" s="20">
        <f t="shared" ref="I13" si="20">I14+I63/2</f>
        <v>11250.95</v>
      </c>
      <c r="J13" s="20"/>
      <c r="K13" s="20"/>
    </row>
    <row r="14" spans="1:11" ht="14.7" customHeight="1" x14ac:dyDescent="0.3">
      <c r="A14" s="12"/>
      <c r="B14" s="13"/>
      <c r="C14" s="13"/>
      <c r="D14" s="14" t="s">
        <v>13</v>
      </c>
      <c r="E14" s="11">
        <f t="shared" ref="E14:F14" si="21">(E2+E3+E4)/3</f>
        <v>11279.85</v>
      </c>
      <c r="F14" s="11">
        <f t="shared" si="21"/>
        <v>11295.766666666668</v>
      </c>
      <c r="G14" s="11">
        <f t="shared" ref="G14:H14" si="22">(G2+G3+G4)/3</f>
        <v>11157.633333333333</v>
      </c>
      <c r="H14" s="11">
        <f t="shared" si="22"/>
        <v>11241.683333333334</v>
      </c>
      <c r="I14" s="11">
        <f t="shared" ref="I14" si="23">(I2+I3+I4)/3</f>
        <v>11245.483333333332</v>
      </c>
      <c r="J14" s="11"/>
      <c r="K14" s="11"/>
    </row>
    <row r="15" spans="1:11" ht="14.7" customHeight="1" x14ac:dyDescent="0.3">
      <c r="A15" s="12"/>
      <c r="B15" s="13"/>
      <c r="C15" s="13"/>
      <c r="D15" s="14" t="s">
        <v>14</v>
      </c>
      <c r="E15" s="21">
        <f t="shared" ref="E15:F15" si="24">E14-E63/2</f>
        <v>11182.55</v>
      </c>
      <c r="F15" s="21">
        <f t="shared" si="24"/>
        <v>11235.258333333335</v>
      </c>
      <c r="G15" s="21">
        <f t="shared" ref="G15:H15" si="25">G14-G63/2</f>
        <v>11142.016666666666</v>
      </c>
      <c r="H15" s="21">
        <f t="shared" si="25"/>
        <v>11205.875</v>
      </c>
      <c r="I15" s="21">
        <f t="shared" ref="I15" si="26">I14-I63/2</f>
        <v>11240.016666666663</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27">(E14+E18)/2</f>
        <v>11072.35</v>
      </c>
      <c r="F17" s="16">
        <f t="shared" si="27"/>
        <v>11166.550000000003</v>
      </c>
      <c r="G17" s="16">
        <f t="shared" ref="G17:H17" si="28">(G14+G18)/2</f>
        <v>11119.525</v>
      </c>
      <c r="H17" s="16">
        <f t="shared" si="28"/>
        <v>11201.725000000002</v>
      </c>
      <c r="I17" s="16">
        <f t="shared" ref="I17" si="29">(I14+I18)/2</f>
        <v>11221.549999999997</v>
      </c>
      <c r="J17" s="16"/>
      <c r="K17" s="16"/>
    </row>
    <row r="18" spans="1:11" ht="14.7" customHeight="1" x14ac:dyDescent="0.3">
      <c r="A18" s="12"/>
      <c r="B18" s="13"/>
      <c r="C18" s="13"/>
      <c r="D18" s="14" t="s">
        <v>16</v>
      </c>
      <c r="E18" s="22">
        <f t="shared" ref="E18:F18" si="30">2*E14-E2</f>
        <v>10864.85</v>
      </c>
      <c r="F18" s="22">
        <f t="shared" si="30"/>
        <v>11037.333333333336</v>
      </c>
      <c r="G18" s="22">
        <f t="shared" ref="G18:H18" si="31">2*G14-G2</f>
        <v>11081.416666666666</v>
      </c>
      <c r="H18" s="22">
        <f t="shared" si="31"/>
        <v>11161.766666666668</v>
      </c>
      <c r="I18" s="22">
        <f t="shared" ref="I18" si="32">2*I14-I2</f>
        <v>11197.616666666663</v>
      </c>
      <c r="J18" s="22"/>
      <c r="K18" s="22"/>
    </row>
    <row r="19" spans="1:11" ht="14.7" hidden="1" customHeight="1" x14ac:dyDescent="0.3">
      <c r="A19" s="12"/>
      <c r="B19" s="13"/>
      <c r="C19" s="13"/>
      <c r="D19" s="14" t="s">
        <v>17</v>
      </c>
      <c r="E19" s="16">
        <f t="shared" ref="E19:F19" si="33">(E18+E20)/2</f>
        <v>10560.05</v>
      </c>
      <c r="F19" s="16">
        <f t="shared" si="33"/>
        <v>10968.625000000002</v>
      </c>
      <c r="G19" s="16">
        <f t="shared" ref="G19:H19" si="34">(G18+G20)/2</f>
        <v>11058.924999999999</v>
      </c>
      <c r="H19" s="16">
        <f t="shared" si="34"/>
        <v>11086</v>
      </c>
      <c r="I19" s="16">
        <f t="shared" ref="I19" si="35">(I18+I20)/2</f>
        <v>11179.149999999998</v>
      </c>
      <c r="J19" s="16"/>
      <c r="K19" s="16"/>
    </row>
    <row r="20" spans="1:11" ht="14.7" customHeight="1" x14ac:dyDescent="0.3">
      <c r="A20" s="12"/>
      <c r="B20" s="13"/>
      <c r="C20" s="13"/>
      <c r="D20" s="14" t="s">
        <v>18</v>
      </c>
      <c r="E20" s="23">
        <f t="shared" ref="E20:F20" si="36">E14-E56</f>
        <v>10255.25</v>
      </c>
      <c r="F20" s="23">
        <f t="shared" si="36"/>
        <v>10899.916666666668</v>
      </c>
      <c r="G20" s="23">
        <f t="shared" ref="G20:H20" si="37">G14-G56</f>
        <v>11036.433333333332</v>
      </c>
      <c r="H20" s="23">
        <f t="shared" si="37"/>
        <v>11010.233333333334</v>
      </c>
      <c r="I20" s="23">
        <f t="shared" ref="I20" si="38">I14-I56</f>
        <v>11160.683333333331</v>
      </c>
      <c r="J20" s="23"/>
      <c r="K20" s="23"/>
    </row>
    <row r="21" spans="1:11" ht="14.7" hidden="1" customHeight="1" x14ac:dyDescent="0.3">
      <c r="A21" s="12"/>
      <c r="B21" s="13"/>
      <c r="C21" s="13"/>
      <c r="D21" s="14" t="s">
        <v>19</v>
      </c>
      <c r="E21" s="16">
        <f t="shared" ref="E21:F21" si="39">(E20+E22)/2</f>
        <v>10047.75</v>
      </c>
      <c r="F21" s="16">
        <f t="shared" si="39"/>
        <v>10770.7</v>
      </c>
      <c r="G21" s="16">
        <f t="shared" ref="G21:H21" si="40">(G20+G22)/2</f>
        <v>10998.324999999999</v>
      </c>
      <c r="H21" s="16">
        <f t="shared" si="40"/>
        <v>10970.275000000001</v>
      </c>
      <c r="I21" s="16">
        <f t="shared" ref="I21" si="41">(I20+I22)/2</f>
        <v>11136.749999999996</v>
      </c>
      <c r="J21" s="16"/>
      <c r="K21" s="16"/>
    </row>
    <row r="22" spans="1:11" ht="14.7" customHeight="1" x14ac:dyDescent="0.3">
      <c r="A22" s="12"/>
      <c r="B22" s="13"/>
      <c r="C22" s="13"/>
      <c r="D22" s="14" t="s">
        <v>20</v>
      </c>
      <c r="E22" s="24">
        <f t="shared" ref="E22:F22" si="42">E18-E56</f>
        <v>9840.25</v>
      </c>
      <c r="F22" s="24">
        <f t="shared" si="42"/>
        <v>10641.483333333335</v>
      </c>
      <c r="G22" s="24">
        <f t="shared" ref="G22:H22" si="43">G18-G56</f>
        <v>10960.216666666665</v>
      </c>
      <c r="H22" s="24">
        <f t="shared" si="43"/>
        <v>10930.316666666668</v>
      </c>
      <c r="I22" s="24">
        <f t="shared" ref="I22" si="44">I18-I56</f>
        <v>11112.816666666662</v>
      </c>
      <c r="J22" s="24"/>
      <c r="K22" s="24"/>
    </row>
    <row r="23" spans="1:11" ht="14.7" customHeight="1" x14ac:dyDescent="0.3">
      <c r="A23" s="233" t="s">
        <v>21</v>
      </c>
      <c r="B23" s="234"/>
      <c r="C23" s="234"/>
      <c r="D23" s="234"/>
      <c r="E23" s="25"/>
      <c r="F23" s="25"/>
      <c r="G23" s="25"/>
      <c r="H23" s="25"/>
      <c r="I23" s="25"/>
      <c r="J23" s="25"/>
      <c r="K23" s="25"/>
    </row>
    <row r="24" spans="1:11" ht="14.7" customHeight="1" x14ac:dyDescent="0.3">
      <c r="A24" s="12"/>
      <c r="B24" s="13"/>
      <c r="C24" s="13"/>
      <c r="D24" s="14" t="s">
        <v>22</v>
      </c>
      <c r="E24" s="17">
        <f t="shared" ref="E24:F24" si="45">(E2/E3)*E4</f>
        <v>12576.272494318317</v>
      </c>
      <c r="F24" s="17">
        <f t="shared" si="45"/>
        <v>11571.181801072738</v>
      </c>
      <c r="G24" s="17">
        <f t="shared" ref="G24:H24" si="46">(G2/G3)*G4</f>
        <v>11247.749964229954</v>
      </c>
      <c r="H24" s="17">
        <f t="shared" si="46"/>
        <v>11549.407111716251</v>
      </c>
      <c r="I24" s="17">
        <f t="shared" ref="I24" si="47">(I2/I3)*I4</f>
        <v>11319.546706978155</v>
      </c>
      <c r="J24" s="17"/>
      <c r="K24" s="17"/>
    </row>
    <row r="25" spans="1:11" ht="14.7" hidden="1" customHeight="1" x14ac:dyDescent="0.3">
      <c r="A25" s="12"/>
      <c r="B25" s="13"/>
      <c r="C25" s="13"/>
      <c r="D25" s="14" t="s">
        <v>23</v>
      </c>
      <c r="E25" s="16">
        <f t="shared" ref="E25:F25" si="48">E26+1.168*(E26-E27)</f>
        <v>12367.081520000003</v>
      </c>
      <c r="F25" s="16">
        <f t="shared" si="48"/>
        <v>11519.614520000003</v>
      </c>
      <c r="G25" s="16">
        <f t="shared" ref="G25:H25" si="49">G26+1.168*(G26-G27)</f>
        <v>11231.989439999999</v>
      </c>
      <c r="H25" s="16">
        <f t="shared" si="49"/>
        <v>11514.93924</v>
      </c>
      <c r="I25" s="16">
        <f t="shared" ref="I25" si="50">I26+1.168*(I26-I27)</f>
        <v>11308.427760000002</v>
      </c>
      <c r="J25" s="16"/>
      <c r="K25" s="16"/>
    </row>
    <row r="26" spans="1:11" ht="14.7" customHeight="1" x14ac:dyDescent="0.3">
      <c r="A26" s="12"/>
      <c r="B26" s="13"/>
      <c r="C26" s="13"/>
      <c r="D26" s="14" t="s">
        <v>24</v>
      </c>
      <c r="E26" s="18">
        <f t="shared" ref="E26:F26" si="51">E4+E57/2</f>
        <v>12037.980000000001</v>
      </c>
      <c r="F26" s="18">
        <f t="shared" si="51"/>
        <v>11392.467500000001</v>
      </c>
      <c r="G26" s="18">
        <f t="shared" ref="G26:H26" si="52">G4+G57/2</f>
        <v>11193.06</v>
      </c>
      <c r="H26" s="18">
        <f t="shared" si="52"/>
        <v>11440.5975</v>
      </c>
      <c r="I26" s="18">
        <f t="shared" ref="I26" si="53">I4+I57/2</f>
        <v>11281.19</v>
      </c>
      <c r="J26" s="18"/>
      <c r="K26" s="18"/>
    </row>
    <row r="27" spans="1:11" ht="14.7" customHeight="1" x14ac:dyDescent="0.3">
      <c r="A27" s="12"/>
      <c r="B27" s="13"/>
      <c r="C27" s="13"/>
      <c r="D27" s="14" t="s">
        <v>25</v>
      </c>
      <c r="E27" s="7">
        <f t="shared" ref="E27:F27" si="54">E4+E57/4</f>
        <v>11756.215</v>
      </c>
      <c r="F27" s="7">
        <f t="shared" si="54"/>
        <v>11283.608749999999</v>
      </c>
      <c r="G27" s="7">
        <f t="shared" ref="G27:H27" si="55">G4+G57/4</f>
        <v>11159.73</v>
      </c>
      <c r="H27" s="7">
        <f t="shared" si="55"/>
        <v>11376.94875</v>
      </c>
      <c r="I27" s="7">
        <f t="shared" ref="I27" si="56">I4+I57/4</f>
        <v>11257.869999999999</v>
      </c>
      <c r="J27" s="7"/>
      <c r="K27" s="7"/>
    </row>
    <row r="28" spans="1:11" ht="14.7" hidden="1" customHeight="1" x14ac:dyDescent="0.3">
      <c r="A28" s="12"/>
      <c r="B28" s="13"/>
      <c r="C28" s="13"/>
      <c r="D28" s="14" t="s">
        <v>26</v>
      </c>
      <c r="E28" s="16">
        <f t="shared" ref="E28:F28" si="57">E4+E57/6</f>
        <v>11662.293333333335</v>
      </c>
      <c r="F28" s="16">
        <f t="shared" si="57"/>
        <v>11247.3225</v>
      </c>
      <c r="G28" s="16">
        <f t="shared" ref="G28:H28" si="58">G4+G57/6</f>
        <v>11148.619999999999</v>
      </c>
      <c r="H28" s="16">
        <f t="shared" si="58"/>
        <v>11355.7325</v>
      </c>
      <c r="I28" s="16">
        <f t="shared" ref="I28" si="59">I4+I57/6</f>
        <v>11250.096666666666</v>
      </c>
      <c r="J28" s="16"/>
      <c r="K28" s="16"/>
    </row>
    <row r="29" spans="1:11" ht="14.7" hidden="1" customHeight="1" x14ac:dyDescent="0.3">
      <c r="A29" s="12"/>
      <c r="B29" s="13"/>
      <c r="C29" s="13"/>
      <c r="D29" s="14" t="s">
        <v>27</v>
      </c>
      <c r="E29" s="16">
        <f t="shared" ref="E29:F29" si="60">E4+E57/12</f>
        <v>11568.371666666668</v>
      </c>
      <c r="F29" s="16">
        <f t="shared" si="60"/>
        <v>11211.036249999999</v>
      </c>
      <c r="G29" s="16">
        <f t="shared" ref="G29:H29" si="61">G4+G57/12</f>
        <v>11137.51</v>
      </c>
      <c r="H29" s="16">
        <f t="shared" si="61"/>
        <v>11334.516249999999</v>
      </c>
      <c r="I29" s="16">
        <f t="shared" ref="I29" si="62">I4+I57/12</f>
        <v>11242.323333333332</v>
      </c>
      <c r="J29" s="16"/>
      <c r="K29" s="16"/>
    </row>
    <row r="30" spans="1:11" ht="14.7" customHeight="1" x14ac:dyDescent="0.3">
      <c r="A30" s="12"/>
      <c r="B30" s="13"/>
      <c r="C30" s="13"/>
      <c r="D30" s="14" t="s">
        <v>4</v>
      </c>
      <c r="E30" s="11">
        <f t="shared" ref="E30:F30" si="63">E4</f>
        <v>11474.45</v>
      </c>
      <c r="F30" s="11">
        <f t="shared" si="63"/>
        <v>11174.75</v>
      </c>
      <c r="G30" s="11">
        <f t="shared" ref="G30:H30" si="64">G4</f>
        <v>11126.4</v>
      </c>
      <c r="H30" s="11">
        <f t="shared" si="64"/>
        <v>11313.3</v>
      </c>
      <c r="I30" s="11">
        <f t="shared" ref="I30" si="65">I4</f>
        <v>11234.55</v>
      </c>
      <c r="J30" s="11"/>
      <c r="K30" s="11"/>
    </row>
    <row r="31" spans="1:11" ht="14.7" hidden="1" customHeight="1" x14ac:dyDescent="0.3">
      <c r="A31" s="12"/>
      <c r="B31" s="13"/>
      <c r="C31" s="13"/>
      <c r="D31" s="14" t="s">
        <v>28</v>
      </c>
      <c r="E31" s="16">
        <f t="shared" ref="E31:F31" si="66">E4-E57/12</f>
        <v>11380.528333333334</v>
      </c>
      <c r="F31" s="16">
        <f t="shared" si="66"/>
        <v>11138.463750000001</v>
      </c>
      <c r="G31" s="16">
        <f t="shared" ref="G31:H31" si="67">G4-G57/12</f>
        <v>11115.289999999999</v>
      </c>
      <c r="H31" s="16">
        <f t="shared" si="67"/>
        <v>11292.08375</v>
      </c>
      <c r="I31" s="16">
        <f t="shared" ref="I31" si="68">I4-I57/12</f>
        <v>11226.776666666667</v>
      </c>
      <c r="J31" s="16"/>
      <c r="K31" s="16"/>
    </row>
    <row r="32" spans="1:11" ht="14.7" hidden="1" customHeight="1" x14ac:dyDescent="0.3">
      <c r="A32" s="12"/>
      <c r="B32" s="13"/>
      <c r="C32" s="13"/>
      <c r="D32" s="14" t="s">
        <v>29</v>
      </c>
      <c r="E32" s="16">
        <f t="shared" ref="E32:F32" si="69">E4-E57/6</f>
        <v>11286.606666666667</v>
      </c>
      <c r="F32" s="16">
        <f t="shared" si="69"/>
        <v>11102.1775</v>
      </c>
      <c r="G32" s="16">
        <f t="shared" ref="G32:H32" si="70">G4-G57/6</f>
        <v>11104.18</v>
      </c>
      <c r="H32" s="16">
        <f t="shared" si="70"/>
        <v>11270.867499999998</v>
      </c>
      <c r="I32" s="16">
        <f t="shared" ref="I32" si="71">I4-I57/6</f>
        <v>11219.003333333332</v>
      </c>
      <c r="J32" s="16"/>
      <c r="K32" s="16"/>
    </row>
    <row r="33" spans="1:251" ht="14.7" customHeight="1" x14ac:dyDescent="0.3">
      <c r="A33" s="12"/>
      <c r="B33" s="13"/>
      <c r="C33" s="13"/>
      <c r="D33" s="14" t="s">
        <v>30</v>
      </c>
      <c r="E33" s="10">
        <f t="shared" ref="E33:F33" si="72">E4-E57/4</f>
        <v>11192.685000000001</v>
      </c>
      <c r="F33" s="10">
        <f t="shared" si="72"/>
        <v>11065.891250000001</v>
      </c>
      <c r="G33" s="10">
        <f t="shared" ref="G33:H33" si="73">G4-G57/4</f>
        <v>11093.07</v>
      </c>
      <c r="H33" s="10">
        <f t="shared" si="73"/>
        <v>11249.651249999999</v>
      </c>
      <c r="I33" s="10">
        <f t="shared" ref="I33" si="74">I4-I57/4</f>
        <v>11211.23</v>
      </c>
      <c r="J33" s="10"/>
      <c r="K33" s="10"/>
    </row>
    <row r="34" spans="1:251" ht="14.7" customHeight="1" x14ac:dyDescent="0.3">
      <c r="A34" s="12"/>
      <c r="B34" s="13"/>
      <c r="C34" s="13"/>
      <c r="D34" s="14" t="s">
        <v>31</v>
      </c>
      <c r="E34" s="22">
        <f t="shared" ref="E34:F34" si="75">E4-E57/2</f>
        <v>10910.92</v>
      </c>
      <c r="F34" s="22">
        <f t="shared" si="75"/>
        <v>10957.032499999999</v>
      </c>
      <c r="G34" s="22">
        <f t="shared" ref="G34:H34" si="76">G4-G57/2</f>
        <v>11059.74</v>
      </c>
      <c r="H34" s="22">
        <f t="shared" si="76"/>
        <v>11186.002499999999</v>
      </c>
      <c r="I34" s="22">
        <f t="shared" ref="I34" si="77">I4-I57/2</f>
        <v>11187.909999999998</v>
      </c>
      <c r="J34" s="22"/>
      <c r="K34" s="22"/>
    </row>
    <row r="35" spans="1:251" ht="14.7" hidden="1" customHeight="1" x14ac:dyDescent="0.3">
      <c r="A35" s="12"/>
      <c r="B35" s="13"/>
      <c r="C35" s="13"/>
      <c r="D35" s="14" t="s">
        <v>32</v>
      </c>
      <c r="E35" s="16">
        <f t="shared" ref="E35:F35" si="78">E34-1.168*(E33-E34)</f>
        <v>10581.818479999998</v>
      </c>
      <c r="F35" s="16">
        <f t="shared" si="78"/>
        <v>10829.885479999997</v>
      </c>
      <c r="G35" s="16">
        <f t="shared" ref="G35:H35" si="79">G34-1.168*(G33-G34)</f>
        <v>11020.81056</v>
      </c>
      <c r="H35" s="16">
        <f t="shared" si="79"/>
        <v>11111.660759999999</v>
      </c>
      <c r="I35" s="16">
        <f t="shared" ref="I35" si="80">I34-1.168*(I33-I34)</f>
        <v>11160.672239999996</v>
      </c>
      <c r="J35" s="16"/>
      <c r="K35" s="16"/>
    </row>
    <row r="36" spans="1:251" ht="14.7" customHeight="1" x14ac:dyDescent="0.3">
      <c r="A36" s="12"/>
      <c r="B36" s="13"/>
      <c r="C36" s="13"/>
      <c r="D36" s="14" t="s">
        <v>33</v>
      </c>
      <c r="E36" s="23">
        <f t="shared" ref="E36:F36" si="81">E4-(E24-E4)</f>
        <v>10372.627505681685</v>
      </c>
      <c r="F36" s="23">
        <f t="shared" si="81"/>
        <v>10778.318198927262</v>
      </c>
      <c r="G36" s="23">
        <f t="shared" ref="G36:H36" si="82">G4-(G24-G4)</f>
        <v>11005.050035770046</v>
      </c>
      <c r="H36" s="23">
        <f t="shared" si="82"/>
        <v>11077.192888283747</v>
      </c>
      <c r="I36" s="23">
        <f t="shared" ref="I36" si="83">I4-(I24-I4)</f>
        <v>11149.553293021843</v>
      </c>
      <c r="J36" s="23"/>
      <c r="K36" s="23"/>
    </row>
    <row r="37" spans="1:251" ht="14.7" customHeight="1" x14ac:dyDescent="0.3">
      <c r="A37" s="233" t="s">
        <v>34</v>
      </c>
      <c r="B37" s="234"/>
      <c r="C37" s="234"/>
      <c r="D37" s="234"/>
      <c r="E37" s="26" t="s">
        <v>35</v>
      </c>
      <c r="F37" s="9"/>
      <c r="G37" s="9"/>
      <c r="H37" s="9"/>
      <c r="I37" s="9"/>
      <c r="J37" s="9"/>
      <c r="K37" s="9"/>
    </row>
    <row r="38" spans="1:251" ht="14.7" customHeight="1" x14ac:dyDescent="0.3">
      <c r="A38" s="91"/>
      <c r="B38" s="91"/>
      <c r="C38" s="91"/>
      <c r="D38" s="91"/>
      <c r="E38" s="15"/>
      <c r="F38" s="15"/>
      <c r="G38" s="15"/>
      <c r="H38" s="15"/>
      <c r="I38" s="15"/>
      <c r="J38" s="15"/>
      <c r="K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row>
    <row r="39" spans="1:251" ht="14.7" customHeight="1" x14ac:dyDescent="0.3">
      <c r="A39" s="91"/>
      <c r="B39" s="91"/>
      <c r="C39" s="91"/>
      <c r="D39" s="91"/>
      <c r="E39" s="15"/>
      <c r="F39" s="15"/>
      <c r="G39" s="15"/>
      <c r="H39" s="15"/>
      <c r="I39" s="15"/>
      <c r="J39" s="15"/>
      <c r="K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row>
    <row r="40" spans="1:251" ht="14.7" customHeight="1" x14ac:dyDescent="0.3">
      <c r="A40" s="91"/>
      <c r="B40" s="91"/>
      <c r="C40" s="91"/>
      <c r="D40" s="91"/>
      <c r="E40" s="15"/>
      <c r="F40" s="15"/>
      <c r="G40" s="15"/>
      <c r="H40" s="15"/>
      <c r="I40" s="15"/>
      <c r="J40" s="15"/>
      <c r="K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row>
    <row r="41" spans="1:251" ht="14.7" customHeight="1" x14ac:dyDescent="0.3">
      <c r="A41" s="30"/>
      <c r="B41" s="19"/>
      <c r="C41" s="19"/>
      <c r="D41" s="14" t="s">
        <v>36</v>
      </c>
      <c r="E41" s="15"/>
      <c r="F41" s="15"/>
      <c r="G41" s="15"/>
      <c r="H41" s="15"/>
      <c r="I41" s="15">
        <v>11494.6222</v>
      </c>
      <c r="J41" s="15" t="s">
        <v>86</v>
      </c>
      <c r="K41" s="15"/>
    </row>
    <row r="42" spans="1:251" ht="14.7" customHeight="1" x14ac:dyDescent="0.3">
      <c r="A42" s="30"/>
      <c r="B42" s="19"/>
      <c r="C42" s="19"/>
      <c r="D42" s="14" t="s">
        <v>37</v>
      </c>
      <c r="E42" s="17"/>
      <c r="F42" s="17"/>
      <c r="G42" s="17"/>
      <c r="H42" s="17"/>
      <c r="I42" s="77" t="s">
        <v>84</v>
      </c>
      <c r="J42" s="238" t="s">
        <v>85</v>
      </c>
      <c r="K42" s="77"/>
      <c r="L42" s="203"/>
    </row>
    <row r="43" spans="1:251" ht="14.7" customHeight="1" x14ac:dyDescent="0.3">
      <c r="A43" s="12"/>
      <c r="B43" s="19"/>
      <c r="C43" s="13"/>
      <c r="D43" s="14" t="s">
        <v>38</v>
      </c>
      <c r="E43" s="18"/>
      <c r="F43" s="18"/>
      <c r="G43" s="18"/>
      <c r="H43" s="18"/>
      <c r="I43" s="18">
        <v>11392.5</v>
      </c>
      <c r="J43" s="214" t="s">
        <v>83</v>
      </c>
      <c r="K43" s="18"/>
      <c r="L43" s="203"/>
    </row>
    <row r="44" spans="1:251" ht="14.7" customHeight="1" x14ac:dyDescent="0.3">
      <c r="A44" s="12"/>
      <c r="B44" s="13"/>
      <c r="C44" s="13"/>
      <c r="D44" s="14" t="s">
        <v>39</v>
      </c>
      <c r="E44" s="7"/>
      <c r="F44" s="7"/>
      <c r="G44" s="7"/>
      <c r="H44" s="7"/>
      <c r="I44" s="7">
        <v>11321.145399999999</v>
      </c>
      <c r="J44" s="213" t="s">
        <v>81</v>
      </c>
      <c r="K44" s="7"/>
      <c r="L44" s="203"/>
    </row>
    <row r="45" spans="1:251" ht="14.7" customHeight="1" x14ac:dyDescent="0.3">
      <c r="A45" s="12"/>
      <c r="B45" s="13"/>
      <c r="C45" s="13"/>
      <c r="D45" s="136" t="s">
        <v>64</v>
      </c>
      <c r="E45" s="20"/>
      <c r="F45" s="20"/>
      <c r="G45" s="20"/>
      <c r="H45" s="20"/>
      <c r="I45" s="20">
        <v>11303.452800000001</v>
      </c>
      <c r="J45" s="219" t="s">
        <v>82</v>
      </c>
      <c r="K45" s="20"/>
    </row>
    <row r="46" spans="1:251" ht="14.7" customHeight="1" x14ac:dyDescent="0.3">
      <c r="A46" s="12"/>
      <c r="B46" s="13"/>
      <c r="C46" s="13"/>
      <c r="D46" s="14" t="s">
        <v>4</v>
      </c>
      <c r="E46" s="11">
        <f t="shared" ref="E46:F46" si="84">E4</f>
        <v>11474.45</v>
      </c>
      <c r="F46" s="11">
        <f t="shared" si="84"/>
        <v>11174.75</v>
      </c>
      <c r="G46" s="11">
        <f t="shared" ref="G46:H46" si="85">G4</f>
        <v>11126.4</v>
      </c>
      <c r="H46" s="11">
        <f t="shared" si="85"/>
        <v>11313.3</v>
      </c>
      <c r="I46" s="11">
        <f t="shared" ref="I46" si="86">I4</f>
        <v>11234.55</v>
      </c>
      <c r="J46" s="11"/>
      <c r="K46" s="11"/>
    </row>
    <row r="47" spans="1:251" ht="14.7" customHeight="1" x14ac:dyDescent="0.3">
      <c r="A47" s="12"/>
      <c r="B47" s="13"/>
      <c r="C47" s="13"/>
      <c r="D47" s="14" t="s">
        <v>40</v>
      </c>
      <c r="E47" s="21"/>
      <c r="F47" s="21"/>
      <c r="G47" s="21"/>
      <c r="H47" s="21"/>
      <c r="I47" s="21">
        <v>11233.186100000001</v>
      </c>
      <c r="J47" s="21">
        <v>0.38</v>
      </c>
      <c r="K47" s="21"/>
      <c r="L47" s="204"/>
    </row>
    <row r="48" spans="1:251" ht="14.7" customHeight="1" x14ac:dyDescent="0.3">
      <c r="A48" s="12"/>
      <c r="B48" s="13"/>
      <c r="C48" s="13"/>
      <c r="D48" s="14" t="s">
        <v>41</v>
      </c>
      <c r="E48" s="10"/>
      <c r="F48" s="10"/>
      <c r="G48" s="10"/>
      <c r="H48" s="10"/>
      <c r="I48" s="10">
        <v>11205.875</v>
      </c>
      <c r="J48" s="10">
        <v>0.5</v>
      </c>
      <c r="K48" s="10"/>
      <c r="L48" s="205"/>
    </row>
    <row r="49" spans="1:251" ht="14.7" customHeight="1" x14ac:dyDescent="0.3">
      <c r="A49" s="12"/>
      <c r="B49" s="13"/>
      <c r="C49" s="13"/>
      <c r="D49" s="14" t="s">
        <v>42</v>
      </c>
      <c r="E49" s="22"/>
      <c r="F49" s="22"/>
      <c r="G49" s="22"/>
      <c r="H49" s="22"/>
      <c r="I49" s="22">
        <v>11178.563899999999</v>
      </c>
      <c r="J49" s="22">
        <v>0.61</v>
      </c>
      <c r="K49" s="22"/>
      <c r="L49" s="203"/>
    </row>
    <row r="50" spans="1:251" ht="14.7" customHeight="1" x14ac:dyDescent="0.3">
      <c r="A50" s="12"/>
      <c r="B50" s="13"/>
      <c r="C50" s="13"/>
      <c r="D50" s="14" t="s">
        <v>43</v>
      </c>
      <c r="E50" s="23"/>
      <c r="F50" s="23"/>
      <c r="G50" s="23"/>
      <c r="H50" s="23"/>
      <c r="I50" s="23"/>
      <c r="J50" s="23"/>
      <c r="K50" s="23"/>
      <c r="L50" s="203"/>
    </row>
    <row r="51" spans="1:251" ht="14.7" customHeight="1" x14ac:dyDescent="0.3">
      <c r="A51" s="12"/>
      <c r="B51" s="13"/>
      <c r="C51" s="13"/>
      <c r="D51" s="14" t="s">
        <v>44</v>
      </c>
      <c r="E51" s="24"/>
      <c r="F51" s="24"/>
      <c r="G51" s="24"/>
      <c r="H51" s="24"/>
      <c r="I51" s="24"/>
      <c r="J51" s="24"/>
      <c r="K51" s="24"/>
    </row>
    <row r="52" spans="1:251" ht="14.7" customHeight="1" x14ac:dyDescent="0.3">
      <c r="A52" s="91"/>
      <c r="B52" s="91"/>
      <c r="C52" s="91"/>
      <c r="D52" s="91"/>
      <c r="E52" s="24"/>
      <c r="F52" s="24"/>
      <c r="G52" s="24"/>
      <c r="H52" s="24"/>
      <c r="I52" s="24"/>
      <c r="J52" s="24"/>
      <c r="K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row>
    <row r="53" spans="1:251" ht="14.7" customHeight="1" x14ac:dyDescent="0.3">
      <c r="A53" s="91"/>
      <c r="B53" s="91"/>
      <c r="C53" s="91"/>
      <c r="D53" s="91"/>
      <c r="E53" s="24"/>
      <c r="F53" s="24"/>
      <c r="G53" s="24"/>
      <c r="H53" s="24"/>
      <c r="I53" s="24"/>
      <c r="J53" s="24"/>
      <c r="K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row>
    <row r="54" spans="1:251" ht="14.7" customHeight="1" x14ac:dyDescent="0.3">
      <c r="A54" s="91"/>
      <c r="B54" s="91"/>
      <c r="C54" s="91"/>
      <c r="D54" s="91"/>
      <c r="E54" s="24"/>
      <c r="F54" s="24"/>
      <c r="G54" s="24"/>
      <c r="H54" s="24"/>
      <c r="I54" s="24"/>
      <c r="J54" s="24"/>
      <c r="K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row>
    <row r="55" spans="1:251" ht="14.7" customHeight="1" x14ac:dyDescent="0.3">
      <c r="A55" s="233" t="s">
        <v>45</v>
      </c>
      <c r="B55" s="234"/>
      <c r="C55" s="234"/>
      <c r="D55" s="234"/>
      <c r="E55" s="25"/>
      <c r="F55" s="25"/>
      <c r="G55" s="25"/>
      <c r="H55" s="25"/>
      <c r="I55" s="25"/>
      <c r="J55" s="25"/>
      <c r="K55" s="25"/>
    </row>
    <row r="56" spans="1:251" ht="14.7" customHeight="1" x14ac:dyDescent="0.3">
      <c r="A56" s="12"/>
      <c r="B56" s="13"/>
      <c r="C56" s="13"/>
      <c r="D56" s="14" t="s">
        <v>46</v>
      </c>
      <c r="E56" s="16">
        <f t="shared" ref="E56:F56" si="87">ABS(E2-E3)</f>
        <v>1024.6000000000004</v>
      </c>
      <c r="F56" s="16">
        <f t="shared" si="87"/>
        <v>395.85000000000036</v>
      </c>
      <c r="G56" s="16">
        <f t="shared" ref="G56:H56" si="88">ABS(G2-G3)</f>
        <v>121.20000000000073</v>
      </c>
      <c r="H56" s="16">
        <f t="shared" si="88"/>
        <v>231.45000000000073</v>
      </c>
      <c r="I56" s="16">
        <f t="shared" ref="I56" si="89">ABS(I2-I3)</f>
        <v>84.800000000001091</v>
      </c>
      <c r="J56" s="16"/>
      <c r="K56" s="16"/>
    </row>
    <row r="57" spans="1:251" ht="14.7" customHeight="1" x14ac:dyDescent="0.3">
      <c r="A57" s="12"/>
      <c r="B57" s="13"/>
      <c r="C57" s="13"/>
      <c r="D57" s="14" t="s">
        <v>47</v>
      </c>
      <c r="E57" s="16">
        <f t="shared" ref="E57:F57" si="90">E56*1.1</f>
        <v>1127.0600000000004</v>
      </c>
      <c r="F57" s="16">
        <f t="shared" si="90"/>
        <v>435.43500000000046</v>
      </c>
      <c r="G57" s="16">
        <f t="shared" ref="G57:H57" si="91">G56*1.1</f>
        <v>133.32000000000082</v>
      </c>
      <c r="H57" s="16">
        <f t="shared" si="91"/>
        <v>254.59500000000082</v>
      </c>
      <c r="I57" s="16">
        <f t="shared" ref="I57" si="92">I56*1.1</f>
        <v>93.280000000001209</v>
      </c>
      <c r="J57" s="16"/>
      <c r="K57" s="16"/>
    </row>
    <row r="58" spans="1:251" ht="14.7" customHeight="1" x14ac:dyDescent="0.3">
      <c r="A58" s="12"/>
      <c r="B58" s="13"/>
      <c r="C58" s="13"/>
      <c r="D58" s="14" t="s">
        <v>48</v>
      </c>
      <c r="E58" s="16">
        <f t="shared" ref="E58:F58" si="93">(E2+E3)</f>
        <v>22365.1</v>
      </c>
      <c r="F58" s="16">
        <f t="shared" si="93"/>
        <v>22712.550000000003</v>
      </c>
      <c r="G58" s="16">
        <f t="shared" ref="G58:H58" si="94">(G2+G3)</f>
        <v>22346.5</v>
      </c>
      <c r="H58" s="16">
        <f t="shared" si="94"/>
        <v>22411.75</v>
      </c>
      <c r="I58" s="16">
        <f t="shared" ref="I58" si="95">(I2+I3)</f>
        <v>22501.9</v>
      </c>
      <c r="J58" s="16"/>
      <c r="K58" s="16"/>
    </row>
    <row r="59" spans="1:251" ht="14.7" customHeight="1" x14ac:dyDescent="0.3">
      <c r="A59" s="12"/>
      <c r="B59" s="13"/>
      <c r="C59" s="13"/>
      <c r="D59" s="14" t="s">
        <v>49</v>
      </c>
      <c r="E59" s="16">
        <f t="shared" ref="E59:F59" si="96">(E2+E3)/2</f>
        <v>11182.55</v>
      </c>
      <c r="F59" s="16">
        <f t="shared" si="96"/>
        <v>11356.275000000001</v>
      </c>
      <c r="G59" s="16">
        <f t="shared" ref="G59:H59" si="97">(G2+G3)/2</f>
        <v>11173.25</v>
      </c>
      <c r="H59" s="16">
        <f t="shared" si="97"/>
        <v>11205.875</v>
      </c>
      <c r="I59" s="16">
        <f t="shared" ref="I59" si="98">(I2+I3)/2</f>
        <v>11250.95</v>
      </c>
      <c r="J59" s="16"/>
      <c r="K59" s="16"/>
    </row>
    <row r="60" spans="1:251" ht="14.7" customHeight="1" x14ac:dyDescent="0.3">
      <c r="A60" s="12"/>
      <c r="B60" s="13"/>
      <c r="C60" s="13"/>
      <c r="D60" s="14" t="s">
        <v>12</v>
      </c>
      <c r="E60" s="16">
        <f t="shared" ref="E60:F60" si="99">E61-E62+E61</f>
        <v>11377.150000000001</v>
      </c>
      <c r="F60" s="16">
        <f t="shared" si="99"/>
        <v>11235.258333333335</v>
      </c>
      <c r="G60" s="16">
        <f t="shared" ref="G60:H60" si="100">G61-G62+G61</f>
        <v>11142.016666666666</v>
      </c>
      <c r="H60" s="16">
        <f t="shared" si="100"/>
        <v>11277.491666666669</v>
      </c>
      <c r="I60" s="16">
        <f t="shared" ref="I60" si="101">I61-I62+I61</f>
        <v>11240.016666666663</v>
      </c>
      <c r="J60" s="16"/>
      <c r="K60" s="16"/>
    </row>
    <row r="61" spans="1:251" ht="14.7" customHeight="1" x14ac:dyDescent="0.3">
      <c r="A61" s="12"/>
      <c r="B61" s="13"/>
      <c r="C61" s="13"/>
      <c r="D61" s="14" t="s">
        <v>50</v>
      </c>
      <c r="E61" s="16">
        <f t="shared" ref="E61:F61" si="102">(E2+E3+E4)/3</f>
        <v>11279.85</v>
      </c>
      <c r="F61" s="16">
        <f t="shared" si="102"/>
        <v>11295.766666666668</v>
      </c>
      <c r="G61" s="16">
        <f t="shared" ref="G61:H61" si="103">(G2+G3+G4)/3</f>
        <v>11157.633333333333</v>
      </c>
      <c r="H61" s="16">
        <f t="shared" si="103"/>
        <v>11241.683333333334</v>
      </c>
      <c r="I61" s="16">
        <f t="shared" ref="I61" si="104">(I2+I3+I4)/3</f>
        <v>11245.483333333332</v>
      </c>
      <c r="J61" s="16"/>
      <c r="K61" s="16"/>
    </row>
    <row r="62" spans="1:251" ht="14.7" customHeight="1" x14ac:dyDescent="0.3">
      <c r="A62" s="12"/>
      <c r="B62" s="13"/>
      <c r="C62" s="13"/>
      <c r="D62" s="14" t="s">
        <v>14</v>
      </c>
      <c r="E62" s="16">
        <f t="shared" ref="E62:F62" si="105">E59</f>
        <v>11182.55</v>
      </c>
      <c r="F62" s="16">
        <f t="shared" si="105"/>
        <v>11356.275000000001</v>
      </c>
      <c r="G62" s="16">
        <f t="shared" ref="G62:H62" si="106">G59</f>
        <v>11173.25</v>
      </c>
      <c r="H62" s="16">
        <f t="shared" si="106"/>
        <v>11205.875</v>
      </c>
      <c r="I62" s="16">
        <f t="shared" ref="I62" si="107">I59</f>
        <v>11250.95</v>
      </c>
      <c r="J62" s="16"/>
      <c r="K62" s="16"/>
    </row>
    <row r="63" spans="1:251" ht="14.7" customHeight="1" x14ac:dyDescent="0.3">
      <c r="A63" s="12"/>
      <c r="B63" s="13"/>
      <c r="C63" s="13"/>
      <c r="D63" s="14" t="s">
        <v>51</v>
      </c>
      <c r="E63" s="31">
        <f>(E60-E62)</f>
        <v>194.60000000000218</v>
      </c>
      <c r="F63" s="31">
        <f t="shared" ref="F63" si="108">ABS(F60-F62)</f>
        <v>121.01666666666642</v>
      </c>
      <c r="G63" s="31">
        <f t="shared" ref="G63:H63" si="109">ABS(G60-G62)</f>
        <v>31.233333333333576</v>
      </c>
      <c r="H63" s="31">
        <f t="shared" si="109"/>
        <v>71.616666666668607</v>
      </c>
      <c r="I63" s="31">
        <f t="shared" ref="I63" si="110">ABS(I60-I62)</f>
        <v>10.933333333337941</v>
      </c>
      <c r="J63" s="31"/>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D19" sqref="D1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11694.85</v>
      </c>
      <c r="E6" s="111"/>
      <c r="F6" s="237">
        <v>11090.15</v>
      </c>
      <c r="G6" s="109"/>
      <c r="H6" s="176"/>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11090.15</v>
      </c>
      <c r="E9" s="111"/>
      <c r="F9" s="178">
        <v>11321.6</v>
      </c>
      <c r="G9" s="109"/>
      <c r="H9" s="176"/>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v>11208.55</v>
      </c>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11232.859199999999</v>
      </c>
      <c r="E16" s="186"/>
      <c r="F16" s="186">
        <f>VALUE(23.6/100*(F6-F9)+F9)</f>
        <v>11266.977800000001</v>
      </c>
      <c r="G16" s="186"/>
      <c r="H16" s="186">
        <f>VALUE(23.6/100*(H6-H9)+H9)</f>
        <v>0</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11321.145399999999</v>
      </c>
      <c r="E17" s="188"/>
      <c r="F17" s="188">
        <f>VALUE(38.2/100*(F6-F9)+F9)</f>
        <v>11233.186100000001</v>
      </c>
      <c r="G17" s="188"/>
      <c r="H17" s="188">
        <f>38.2/100*(H6-H9)+H9</f>
        <v>0</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11392.5</v>
      </c>
      <c r="E18" s="186"/>
      <c r="F18" s="186">
        <f>VALUE(50/100*(F6-F9)+F9)</f>
        <v>11205.875</v>
      </c>
      <c r="G18" s="186"/>
      <c r="H18" s="186">
        <f>VALUE(50/100*(H6-H9)+H9)</f>
        <v>0</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11463.854600000001</v>
      </c>
      <c r="E19" s="186"/>
      <c r="F19" s="186">
        <f>VALUE(61.8/100*(F6-F9)+F9)</f>
        <v>11178.563899999999</v>
      </c>
      <c r="G19" s="186"/>
      <c r="H19" s="186">
        <f>VALUE(61.8/100*(H6-H9)+H9)</f>
        <v>0</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11517.6729</v>
      </c>
      <c r="E20" s="191"/>
      <c r="F20" s="190">
        <f>VALUE(70.7/100*(F6-F9)+F9)</f>
        <v>11157.96485</v>
      </c>
      <c r="G20" s="190"/>
      <c r="H20" s="190">
        <f>VALUE(70.7/100*(H6-H9)+H9)</f>
        <v>0</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11565.4442</v>
      </c>
      <c r="E21" s="186"/>
      <c r="F21" s="186">
        <f>VALUE(78.6/100*(F6-F9)+F9)</f>
        <v>11139.6803</v>
      </c>
      <c r="G21" s="186"/>
      <c r="H21" s="186">
        <f>VALUE(78.6/100*(H6-H9)+H9)</f>
        <v>0</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11694.85</v>
      </c>
      <c r="E22" s="191"/>
      <c r="F22" s="190">
        <f>VALUE(100/100*(F6-F9)+F9)</f>
        <v>11090.15</v>
      </c>
      <c r="G22" s="190"/>
      <c r="H22" s="190">
        <f>VALUE(100/100*(H6-H9)+H9)</f>
        <v>0</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11837.5592</v>
      </c>
      <c r="E23" s="198"/>
      <c r="F23" s="198">
        <f t="shared" si="0"/>
        <v>11035.5278</v>
      </c>
      <c r="G23" s="198"/>
      <c r="H23" s="198">
        <f t="shared" si="0"/>
        <v>0</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-230.99540000000027</v>
      </c>
      <c r="E26" s="193"/>
      <c r="F26" s="193">
        <f>VALUE(F12-38.2/100*(F6-F9))</f>
        <v>11296.963899999999</v>
      </c>
      <c r="G26" s="193"/>
      <c r="H26" s="193">
        <f>VALUE(H12-38.2/100*(H6-H9))</f>
        <v>0</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-302.35000000000036</v>
      </c>
      <c r="E27" s="193"/>
      <c r="F27" s="193">
        <f>VALUE(F12-50/100*(F6-F9))</f>
        <v>11324.275</v>
      </c>
      <c r="G27" s="193"/>
      <c r="H27" s="193">
        <f>VALUE(H12-50/100*(H6-H9))</f>
        <v>0</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-373.70460000000043</v>
      </c>
      <c r="E28" s="196"/>
      <c r="F28" s="196">
        <f>VALUE(F12-61.8/100*(F6-F9))</f>
        <v>11351.5861</v>
      </c>
      <c r="G28" s="196"/>
      <c r="H28" s="196">
        <f>VALUE(H12-61.8/100*(H6-H9))</f>
        <v>0</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-423.71329000000043</v>
      </c>
      <c r="E29" s="191"/>
      <c r="F29" s="190">
        <f>VALUE(F12-70.07/100*(F6-F9))</f>
        <v>11370.727015</v>
      </c>
      <c r="G29" s="190"/>
      <c r="H29" s="190">
        <f>VALUE(H12-70.07/100*(H6-H9))</f>
        <v>0</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-604.70000000000073</v>
      </c>
      <c r="E30" s="193"/>
      <c r="F30" s="193">
        <f>VALUE(F12-100/100*(F6-F9))</f>
        <v>11440</v>
      </c>
      <c r="G30" s="193"/>
      <c r="H30" s="193">
        <f>VALUE(H12-100/100*(H6-H9))</f>
        <v>0</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-747.40920000000085</v>
      </c>
      <c r="E31" s="198"/>
      <c r="F31" s="198">
        <f>VALUE(F12-123.6/100*(F6-F9))</f>
        <v>11494.6222</v>
      </c>
      <c r="G31" s="198"/>
      <c r="H31" s="198">
        <f>VALUE(H12-123.6/100*(H6-H9))</f>
        <v>0</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-835.69540000000097</v>
      </c>
      <c r="E32" s="191"/>
      <c r="F32" s="190">
        <f>VALUE(F12-138.2/100*(F6-F9))</f>
        <v>11528.4139</v>
      </c>
      <c r="G32" s="190"/>
      <c r="H32" s="190">
        <f>VALUE(H12-138.2/100*(H6-H9))</f>
        <v>0</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-907.05000000000109</v>
      </c>
      <c r="E33" s="191"/>
      <c r="F33" s="190">
        <f>VALUE(F12-150/100*(F6-F9))</f>
        <v>11555.725</v>
      </c>
      <c r="G33" s="190"/>
      <c r="H33" s="190">
        <f>VALUE(H12-150/100*(H6-H9))</f>
        <v>0</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-978.40460000000121</v>
      </c>
      <c r="E34" s="225"/>
      <c r="F34" s="225">
        <f>VALUE(F12-161.8/100*(F6-F9))</f>
        <v>11583.036100000001</v>
      </c>
      <c r="G34" s="225"/>
      <c r="H34" s="225">
        <f>VALUE(H12-161.8/100*(H6-H9))</f>
        <v>0</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-1028.4132900000011</v>
      </c>
      <c r="E35" s="191"/>
      <c r="F35" s="190">
        <f>VALUE(F12-170.07/100*(F6-F9))</f>
        <v>11602.177015000001</v>
      </c>
      <c r="G35" s="190"/>
      <c r="H35" s="190">
        <f>VALUE(H12-170.07/100*(H6-H9))</f>
        <v>0</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-1209.4000000000015</v>
      </c>
      <c r="E36" s="193"/>
      <c r="F36" s="193">
        <f>VALUE(F12-200/100*(F6-F9))</f>
        <v>11671.45</v>
      </c>
      <c r="G36" s="193"/>
      <c r="H36" s="193">
        <f>VALUE(H12-200/100*(H6-H9))</f>
        <v>0</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-1352.1092000000015</v>
      </c>
      <c r="E37" s="191"/>
      <c r="F37" s="190">
        <f>VALUE(F12-223.6/100*(F6-F9))</f>
        <v>11726.072200000001</v>
      </c>
      <c r="G37" s="190"/>
      <c r="H37" s="190">
        <f>VALUE(H12-223.6/100*(H6-H9))</f>
        <v>0</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-1440.3954000000015</v>
      </c>
      <c r="E38" s="193"/>
      <c r="F38" s="193">
        <f>VALUE(F12-238.2/100*(F6-F9))</f>
        <v>11759.8639</v>
      </c>
      <c r="G38" s="193"/>
      <c r="H38" s="193">
        <f>VALUE(H12-238.2/100*(H6-H9))</f>
        <v>0</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-1583.1046000000022</v>
      </c>
      <c r="E39" s="193"/>
      <c r="F39" s="193">
        <f>VALUE(F12-261.8/100*(F6-F9))</f>
        <v>11814.486100000002</v>
      </c>
      <c r="G39" s="193"/>
      <c r="H39" s="193">
        <f>VALUE(H12-261.8/100*(H6-H9))</f>
        <v>0</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-1814.1000000000022</v>
      </c>
      <c r="E40" s="193"/>
      <c r="F40" s="193">
        <f>VALUE(F12-300/100*(F6-F9))</f>
        <v>11902.900000000001</v>
      </c>
      <c r="G40" s="193"/>
      <c r="H40" s="193">
        <f>VALUE(H12-300/100*(H6-H9))</f>
        <v>0</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-1956.8092000000024</v>
      </c>
      <c r="E41" s="191"/>
      <c r="F41" s="190">
        <f>VALUE(F12-323.6/100*(F6-F9))</f>
        <v>11957.522200000001</v>
      </c>
      <c r="G41" s="190"/>
      <c r="H41" s="190">
        <f>VALUE(H12-323.6/100*(H6-H9))</f>
        <v>0</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-2045.0954000000022</v>
      </c>
      <c r="E42" s="193"/>
      <c r="F42" s="193">
        <f>VALUE(F12-338.2/100*(F6-F9))</f>
        <v>11991.313900000001</v>
      </c>
      <c r="G42" s="193"/>
      <c r="H42" s="193">
        <f>VALUE(H12-338.2/100*(H6-H9))</f>
        <v>0</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-2187.8046000000027</v>
      </c>
      <c r="E43" s="193"/>
      <c r="F43" s="193">
        <f>VALUE(F12-361.8/100*(F6-F9))</f>
        <v>12045.936100000003</v>
      </c>
      <c r="G43" s="193"/>
      <c r="H43" s="193">
        <f>VALUE(H12-361.8/100*(H6-H9))</f>
        <v>0</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-2418.8000000000029</v>
      </c>
      <c r="E44" s="193"/>
      <c r="F44" s="193">
        <f>VALUE(F12-400/100*(F6-F9))</f>
        <v>12134.350000000002</v>
      </c>
      <c r="G44" s="193"/>
      <c r="H44" s="193">
        <f>VALUE(H12-400/100*(H6-H9))</f>
        <v>0</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-2561.5092000000036</v>
      </c>
      <c r="E45" s="191"/>
      <c r="F45" s="190">
        <f>VALUE(F12-423.6/100*(F6-F9))</f>
        <v>12188.972200000002</v>
      </c>
      <c r="G45" s="190"/>
      <c r="H45" s="190">
        <f>VALUE(H12-423.6/100*(H6-H9))</f>
        <v>0</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-2649.7954000000032</v>
      </c>
      <c r="E46" s="191"/>
      <c r="F46" s="190">
        <f>VALUE(F12-438.2/100*(F6-F9))</f>
        <v>12222.763900000002</v>
      </c>
      <c r="G46" s="190"/>
      <c r="H46" s="190">
        <f>VALUE(H12-438.2/100*(H6-H9))</f>
        <v>0</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-2792.5046000000034</v>
      </c>
      <c r="E47" s="191"/>
      <c r="F47" s="190">
        <f>VALUE(F12-461.8/100*(F6-F9))</f>
        <v>12277.386100000003</v>
      </c>
      <c r="G47" s="190"/>
      <c r="H47" s="190">
        <f>VALUE(H12-461.8/100*(H6-H9))</f>
        <v>0</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-3023.5000000000036</v>
      </c>
      <c r="E48" s="191"/>
      <c r="F48" s="190">
        <f>VALUE(F12-500/100*(F6-F9))</f>
        <v>12365.800000000003</v>
      </c>
      <c r="G48" s="190"/>
      <c r="H48" s="190">
        <f>VALUE(H12-500/100*(H6-H9))</f>
        <v>0</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-3166.2092000000043</v>
      </c>
      <c r="E49" s="191"/>
      <c r="F49" s="190">
        <f>VALUE(F12-523.6/100*(F6-F9))</f>
        <v>12420.422200000003</v>
      </c>
      <c r="G49" s="190"/>
      <c r="H49" s="190">
        <f>VALUE(H12-523.6/100*(H6-H9))</f>
        <v>0</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-3254.4954000000043</v>
      </c>
      <c r="E50" s="191"/>
      <c r="F50" s="190">
        <f>VALUE(F12-538.2/100*(F6-F9))</f>
        <v>12454.213900000002</v>
      </c>
      <c r="G50" s="190"/>
      <c r="H50" s="190">
        <f>VALUE(H12-538.2/100*(H6-H9))</f>
        <v>0</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-3397.2046000000037</v>
      </c>
      <c r="E51" s="191"/>
      <c r="F51" s="190">
        <f>VALUE(F12-561.8/100*(F6-F9))</f>
        <v>12508.836100000004</v>
      </c>
      <c r="G51" s="190"/>
      <c r="H51" s="190">
        <f>VALUE(H12-561.8/100*(H6-H9))</f>
        <v>0</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D75"/>
  <sheetViews>
    <sheetView showGridLines="0" topLeftCell="GO1" zoomScaleNormal="100" workbookViewId="0">
      <selection activeCell="HC1" sqref="HC1:HE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3" width="10.77734375" style="91" customWidth="1"/>
    <col min="214" max="420" width="8.77734375" style="33" customWidth="1"/>
  </cols>
  <sheetData>
    <row r="1" spans="1:213"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row>
    <row r="2" spans="1:21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row>
    <row r="3" spans="1:21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row>
    <row r="4" spans="1:21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row>
    <row r="5" spans="1:213"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row>
    <row r="6" spans="1:21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E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row>
    <row r="7" spans="1:213"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E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row>
    <row r="8" spans="1:213"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E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row>
    <row r="9" spans="1:213"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E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row>
    <row r="10" spans="1:213"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E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row>
    <row r="11" spans="1:213"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E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row>
    <row r="12" spans="1:21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row>
    <row r="13" spans="1:213"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E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row>
    <row r="14" spans="1:213"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E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row>
    <row r="15" spans="1:213"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E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row>
    <row r="16" spans="1:21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row>
    <row r="17" spans="1:213"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E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row>
    <row r="18" spans="1:213"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E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row>
    <row r="19" spans="1:213"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E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row>
    <row r="20" spans="1:213"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E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row>
    <row r="21" spans="1:213"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E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row>
    <row r="22" spans="1:213"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E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row>
    <row r="23" spans="1:213"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row>
    <row r="24" spans="1:213"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E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row>
    <row r="25" spans="1:213"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E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row>
    <row r="26" spans="1:213"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E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row>
    <row r="27" spans="1:213"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E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row>
    <row r="28" spans="1:213"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E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row>
    <row r="29" spans="1:213"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E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row>
    <row r="30" spans="1:213"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E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row>
    <row r="31" spans="1:213"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E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row>
    <row r="32" spans="1:213"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E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row>
    <row r="33" spans="1:213"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E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row>
    <row r="34" spans="1:213"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E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row>
    <row r="35" spans="1:213"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E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row>
    <row r="36" spans="1:213"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E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row>
    <row r="37" spans="1:213"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row>
    <row r="38" spans="1:21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row>
    <row r="39" spans="1:21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row>
    <row r="40" spans="1:21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row>
    <row r="41" spans="1:21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row>
    <row r="42" spans="1:21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row>
    <row r="43" spans="1:213"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row>
    <row r="44" spans="1:21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row>
    <row r="45" spans="1:21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row>
    <row r="46" spans="1:21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E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row>
    <row r="47" spans="1:21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row>
    <row r="48" spans="1:21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row>
    <row r="49" spans="1:213"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row>
    <row r="50" spans="1:213"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row>
    <row r="51" spans="1:213"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row>
    <row r="52" spans="1:213"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row>
    <row r="53" spans="1:213"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row>
    <row r="54" spans="1:213"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row>
    <row r="55" spans="1:213"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row>
    <row r="56" spans="1:213"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E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row>
    <row r="57" spans="1:213"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E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row>
    <row r="58" spans="1:21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E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row>
    <row r="59" spans="1:21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E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row>
    <row r="60" spans="1:21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E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row>
    <row r="61" spans="1:21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E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row>
    <row r="62" spans="1:21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E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row>
    <row r="63" spans="1:21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E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row>
    <row r="64" spans="1:21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EW38</vt:lpstr>
      <vt:lpstr>Emeter</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2019-10-10T20:21:32Z</dcterms:modified>
</cp:coreProperties>
</file>